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Апрель/"/>
    </mc:Choice>
  </mc:AlternateContent>
  <xr:revisionPtr revIDLastSave="0" documentId="13_ncr:1_{F7C439EE-4FD6-7740-BD47-D7A42EF673DE}" xr6:coauthVersionLast="45" xr6:coauthVersionMax="45" xr10:uidLastSave="{00000000-0000-0000-0000-000000000000}"/>
  <bookViews>
    <workbookView xWindow="480" yWindow="460" windowWidth="28220" windowHeight="16060" firstSheet="17" activeTab="22" xr2:uid="{00000000-000D-0000-FFFF-FFFF00000000}"/>
  </bookViews>
  <sheets>
    <sheet name="WRPF ПЛ без экипировки ДК" sheetId="9" r:id="rId1"/>
    <sheet name="WRPF ПЛ без экипировки" sheetId="8" r:id="rId2"/>
    <sheet name="WRPF ПЛ в бинтах ДК" sheetId="6" r:id="rId3"/>
    <sheet name="WRPF ПЛ в бинтах" sheetId="5" r:id="rId4"/>
    <sheet name="WRPF Двоеборье без экип ДК" sheetId="27" r:id="rId5"/>
    <sheet name="WRPF Двоеборье без экип" sheetId="26" r:id="rId6"/>
    <sheet name="WRPF Жим лежа без экип ДК" sheetId="14" r:id="rId7"/>
    <sheet name="WRPF Жим лежа без экип" sheetId="13" r:id="rId8"/>
    <sheet name="WEPF Жим однослой ДК" sheetId="17" r:id="rId9"/>
    <sheet name="WEPF Жим однослой" sheetId="16" r:id="rId10"/>
    <sheet name="WEPF Жим многослой ДК" sheetId="22" r:id="rId11"/>
    <sheet name="WEPF Жим многослой" sheetId="21" r:id="rId12"/>
    <sheet name="WEPF Жим софт однопетельная ДК" sheetId="15" r:id="rId13"/>
    <sheet name="WEPF Жим софт однопетельная" sheetId="11" r:id="rId14"/>
    <sheet name="WEPF Жим софт многопетельнаяДК" sheetId="20" r:id="rId15"/>
    <sheet name="WEPF Жим софт многопетельная" sheetId="19" r:id="rId16"/>
    <sheet name="WRPF Военный жим ДК" sheetId="18" r:id="rId17"/>
    <sheet name="WRPF Военный жим" sheetId="12" r:id="rId18"/>
    <sheet name="WRPF Жим СФО" sheetId="52" r:id="rId19"/>
    <sheet name="WRPF Тяга без экипировки ДК" sheetId="24" r:id="rId20"/>
    <sheet name="WRPF Тяга без экипировки" sheetId="23" r:id="rId21"/>
    <sheet name="WRPF Подъем на бицепс ДК" sheetId="34" r:id="rId22"/>
    <sheet name="WRPF Подъем на бицепс" sheetId="33" r:id="rId23"/>
  </sheets>
  <definedNames>
    <definedName name="_FilterDatabase" localSheetId="3" hidden="1">'WRPF ПЛ в бинтах'!$A$1:$S$3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52" l="1"/>
  <c r="K19" i="52"/>
  <c r="L16" i="52"/>
  <c r="K16" i="52"/>
  <c r="L15" i="52"/>
  <c r="K15" i="52"/>
  <c r="L12" i="52"/>
  <c r="K12" i="52"/>
  <c r="L9" i="52"/>
  <c r="K9" i="52"/>
  <c r="L6" i="52"/>
  <c r="K6" i="52"/>
  <c r="L61" i="34"/>
  <c r="K61" i="34"/>
  <c r="L58" i="34"/>
  <c r="K58" i="34"/>
  <c r="L55" i="34"/>
  <c r="K55" i="34"/>
  <c r="L54" i="34"/>
  <c r="K54" i="34"/>
  <c r="L53" i="34"/>
  <c r="K53" i="34"/>
  <c r="L52" i="34"/>
  <c r="K52" i="34"/>
  <c r="L51" i="34"/>
  <c r="K51" i="34"/>
  <c r="L48" i="34"/>
  <c r="K48" i="34"/>
  <c r="L47" i="34"/>
  <c r="K47" i="34"/>
  <c r="L46" i="34"/>
  <c r="K46" i="34"/>
  <c r="L45" i="34"/>
  <c r="K45" i="34"/>
  <c r="L44" i="34"/>
  <c r="K44" i="34"/>
  <c r="L43" i="34"/>
  <c r="K43" i="34"/>
  <c r="L42" i="34"/>
  <c r="K42" i="34"/>
  <c r="L41" i="34"/>
  <c r="K41" i="34"/>
  <c r="L40" i="34"/>
  <c r="K40" i="34"/>
  <c r="L39" i="34"/>
  <c r="K39" i="34"/>
  <c r="L36" i="34"/>
  <c r="K36" i="34"/>
  <c r="L35" i="34"/>
  <c r="K35" i="34"/>
  <c r="L34" i="34"/>
  <c r="K34" i="34"/>
  <c r="L33" i="34"/>
  <c r="K33" i="34"/>
  <c r="L32" i="34"/>
  <c r="K32" i="34"/>
  <c r="L31" i="34"/>
  <c r="K31" i="34"/>
  <c r="L30" i="34"/>
  <c r="K30" i="34"/>
  <c r="L27" i="34"/>
  <c r="K27" i="34"/>
  <c r="L26" i="34"/>
  <c r="K26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4" i="34"/>
  <c r="K14" i="34"/>
  <c r="L13" i="34"/>
  <c r="K13" i="34"/>
  <c r="L10" i="34"/>
  <c r="K10" i="34"/>
  <c r="L9" i="34"/>
  <c r="K9" i="34"/>
  <c r="L6" i="34"/>
  <c r="K6" i="34"/>
  <c r="L48" i="33"/>
  <c r="K48" i="33"/>
  <c r="L45" i="33"/>
  <c r="K45" i="33"/>
  <c r="L42" i="33"/>
  <c r="K42" i="33"/>
  <c r="L39" i="33"/>
  <c r="K39" i="33"/>
  <c r="L38" i="33"/>
  <c r="K38" i="33"/>
  <c r="L37" i="33"/>
  <c r="K37" i="33"/>
  <c r="L36" i="33"/>
  <c r="K36" i="33"/>
  <c r="L35" i="33"/>
  <c r="K35" i="33"/>
  <c r="L34" i="33"/>
  <c r="K34" i="33"/>
  <c r="L33" i="33"/>
  <c r="K33" i="33"/>
  <c r="L30" i="33"/>
  <c r="K30" i="33"/>
  <c r="L29" i="33"/>
  <c r="K29" i="33"/>
  <c r="L28" i="33"/>
  <c r="K28" i="33"/>
  <c r="L25" i="33"/>
  <c r="K25" i="33"/>
  <c r="L24" i="33"/>
  <c r="K24" i="33"/>
  <c r="L23" i="33"/>
  <c r="K23" i="33"/>
  <c r="L20" i="33"/>
  <c r="K20" i="33"/>
  <c r="L19" i="33"/>
  <c r="K19" i="33"/>
  <c r="L18" i="33"/>
  <c r="K18" i="33"/>
  <c r="L17" i="33"/>
  <c r="L14" i="33"/>
  <c r="K14" i="33"/>
  <c r="L11" i="33"/>
  <c r="K11" i="33"/>
  <c r="L10" i="33"/>
  <c r="K10" i="33"/>
  <c r="L9" i="33"/>
  <c r="K9" i="33"/>
  <c r="L6" i="33"/>
  <c r="K6" i="33"/>
  <c r="P36" i="27"/>
  <c r="O36" i="27"/>
  <c r="P33" i="27"/>
  <c r="O33" i="27"/>
  <c r="P30" i="27"/>
  <c r="O30" i="27"/>
  <c r="P29" i="27"/>
  <c r="O29" i="27"/>
  <c r="P28" i="27"/>
  <c r="O28" i="27"/>
  <c r="P27" i="27"/>
  <c r="O27" i="27"/>
  <c r="P24" i="27"/>
  <c r="O24" i="27"/>
  <c r="P23" i="27"/>
  <c r="O23" i="27"/>
  <c r="P22" i="27"/>
  <c r="O22" i="27"/>
  <c r="P19" i="27"/>
  <c r="O19" i="27"/>
  <c r="P16" i="27"/>
  <c r="O16" i="27"/>
  <c r="P13" i="27"/>
  <c r="O13" i="27"/>
  <c r="P10" i="27"/>
  <c r="O10" i="27"/>
  <c r="P9" i="27"/>
  <c r="O9" i="27"/>
  <c r="P6" i="27"/>
  <c r="O6" i="27"/>
  <c r="P9" i="26"/>
  <c r="O9" i="26"/>
  <c r="P6" i="26"/>
  <c r="O6" i="26"/>
  <c r="L71" i="24"/>
  <c r="K71" i="24"/>
  <c r="L70" i="24"/>
  <c r="K70" i="24"/>
  <c r="L67" i="24"/>
  <c r="K67" i="24"/>
  <c r="L64" i="24"/>
  <c r="K64" i="24"/>
  <c r="L63" i="24"/>
  <c r="K63" i="24"/>
  <c r="L62" i="24"/>
  <c r="K62" i="24"/>
  <c r="L61" i="24"/>
  <c r="K61" i="24"/>
  <c r="L60" i="24"/>
  <c r="K60" i="24"/>
  <c r="L57" i="24"/>
  <c r="K57" i="24"/>
  <c r="L56" i="24"/>
  <c r="K56" i="24"/>
  <c r="L55" i="24"/>
  <c r="L52" i="24"/>
  <c r="K52" i="24"/>
  <c r="L51" i="24"/>
  <c r="K51" i="24"/>
  <c r="L50" i="24"/>
  <c r="K50" i="24"/>
  <c r="L49" i="24"/>
  <c r="K49" i="24"/>
  <c r="L46" i="24"/>
  <c r="K46" i="24"/>
  <c r="L45" i="24"/>
  <c r="K45" i="24"/>
  <c r="L44" i="24"/>
  <c r="K44" i="24"/>
  <c r="L43" i="24"/>
  <c r="K43" i="24"/>
  <c r="L42" i="24"/>
  <c r="K42" i="24"/>
  <c r="L41" i="24"/>
  <c r="K41" i="24"/>
  <c r="L38" i="24"/>
  <c r="K38" i="24"/>
  <c r="L37" i="24"/>
  <c r="K37" i="24"/>
  <c r="L36" i="24"/>
  <c r="K36" i="24"/>
  <c r="L35" i="24"/>
  <c r="K35" i="24"/>
  <c r="L32" i="24"/>
  <c r="K32" i="24"/>
  <c r="L29" i="24"/>
  <c r="K29" i="24"/>
  <c r="L26" i="24"/>
  <c r="K26" i="24"/>
  <c r="L25" i="24"/>
  <c r="K25" i="24"/>
  <c r="L22" i="24"/>
  <c r="K22" i="24"/>
  <c r="L21" i="24"/>
  <c r="K21" i="24"/>
  <c r="L18" i="24"/>
  <c r="K18" i="24"/>
  <c r="L17" i="24"/>
  <c r="K17" i="24"/>
  <c r="L14" i="24"/>
  <c r="K14" i="24"/>
  <c r="L13" i="24"/>
  <c r="K13" i="24"/>
  <c r="L10" i="24"/>
  <c r="K10" i="24"/>
  <c r="L9" i="24"/>
  <c r="K9" i="24"/>
  <c r="L6" i="24"/>
  <c r="K6" i="24"/>
  <c r="L26" i="23"/>
  <c r="K26" i="23"/>
  <c r="L25" i="23"/>
  <c r="K25" i="23"/>
  <c r="L22" i="23"/>
  <c r="K22" i="23"/>
  <c r="L21" i="23"/>
  <c r="K21" i="23"/>
  <c r="L18" i="23"/>
  <c r="K18" i="23"/>
  <c r="L15" i="23"/>
  <c r="K15" i="23"/>
  <c r="L14" i="23"/>
  <c r="K14" i="23"/>
  <c r="L13" i="23"/>
  <c r="K13" i="23"/>
  <c r="L10" i="23"/>
  <c r="K10" i="23"/>
  <c r="L7" i="23"/>
  <c r="K7" i="23"/>
  <c r="L6" i="23"/>
  <c r="K6" i="23"/>
  <c r="L6" i="22"/>
  <c r="K6" i="22"/>
  <c r="L9" i="21"/>
  <c r="K9" i="21"/>
  <c r="L6" i="21"/>
  <c r="K6" i="21"/>
  <c r="L6" i="20"/>
  <c r="K6" i="20"/>
  <c r="L9" i="19"/>
  <c r="K9" i="19"/>
  <c r="L6" i="19"/>
  <c r="K6" i="19"/>
  <c r="L7" i="18"/>
  <c r="K7" i="18"/>
  <c r="L6" i="18"/>
  <c r="K6" i="18"/>
  <c r="L6" i="17"/>
  <c r="K6" i="17"/>
  <c r="L6" i="16"/>
  <c r="K6" i="16"/>
  <c r="L21" i="15"/>
  <c r="K21" i="15"/>
  <c r="L18" i="15"/>
  <c r="K18" i="15"/>
  <c r="L17" i="15"/>
  <c r="K17" i="15"/>
  <c r="L14" i="15"/>
  <c r="K14" i="15"/>
  <c r="L11" i="15"/>
  <c r="K11" i="15"/>
  <c r="L10" i="15"/>
  <c r="K10" i="15"/>
  <c r="L9" i="15"/>
  <c r="K9" i="15"/>
  <c r="L6" i="15"/>
  <c r="K6" i="15"/>
  <c r="L128" i="14"/>
  <c r="K128" i="14"/>
  <c r="L125" i="14"/>
  <c r="K125" i="14"/>
  <c r="L124" i="14"/>
  <c r="K124" i="14"/>
  <c r="L121" i="14"/>
  <c r="K121" i="14"/>
  <c r="L120" i="14"/>
  <c r="K120" i="14"/>
  <c r="L119" i="14"/>
  <c r="K119" i="14"/>
  <c r="L118" i="14"/>
  <c r="K118" i="14"/>
  <c r="L117" i="14"/>
  <c r="K117" i="14"/>
  <c r="L116" i="14"/>
  <c r="K116" i="14"/>
  <c r="L115" i="14"/>
  <c r="K115" i="14"/>
  <c r="L112" i="14"/>
  <c r="K112" i="14"/>
  <c r="L111" i="14"/>
  <c r="K111" i="14"/>
  <c r="L110" i="14"/>
  <c r="K110" i="14"/>
  <c r="L109" i="14"/>
  <c r="K109" i="14"/>
  <c r="L108" i="14"/>
  <c r="K108" i="14"/>
  <c r="L107" i="14"/>
  <c r="K107" i="14"/>
  <c r="L106" i="14"/>
  <c r="K106" i="14"/>
  <c r="L105" i="14"/>
  <c r="K105" i="14"/>
  <c r="L104" i="14"/>
  <c r="K104" i="14"/>
  <c r="L103" i="14"/>
  <c r="K103" i="14"/>
  <c r="L102" i="14"/>
  <c r="K102" i="14"/>
  <c r="L99" i="14"/>
  <c r="K99" i="14"/>
  <c r="L98" i="14"/>
  <c r="K98" i="14"/>
  <c r="L97" i="14"/>
  <c r="K97" i="14"/>
  <c r="L96" i="14"/>
  <c r="L95" i="14"/>
  <c r="L94" i="14"/>
  <c r="K94" i="14"/>
  <c r="L93" i="14"/>
  <c r="K93" i="14"/>
  <c r="L92" i="14"/>
  <c r="K92" i="14"/>
  <c r="L91" i="14"/>
  <c r="K91" i="14"/>
  <c r="L90" i="14"/>
  <c r="K90" i="14"/>
  <c r="L87" i="14"/>
  <c r="K87" i="14"/>
  <c r="L86" i="14"/>
  <c r="K86" i="14"/>
  <c r="L85" i="14"/>
  <c r="K85" i="14"/>
  <c r="L84" i="14"/>
  <c r="K84" i="14"/>
  <c r="L83" i="14"/>
  <c r="K83" i="14"/>
  <c r="L82" i="14"/>
  <c r="K82" i="14"/>
  <c r="L81" i="14"/>
  <c r="K81" i="14"/>
  <c r="L80" i="14"/>
  <c r="K80" i="14"/>
  <c r="L79" i="14"/>
  <c r="K79" i="14"/>
  <c r="L78" i="14"/>
  <c r="K78" i="14"/>
  <c r="L77" i="14"/>
  <c r="K77" i="14"/>
  <c r="L76" i="14"/>
  <c r="K76" i="14"/>
  <c r="L75" i="14"/>
  <c r="K75" i="14"/>
  <c r="L72" i="14"/>
  <c r="K72" i="14"/>
  <c r="L71" i="14"/>
  <c r="K71" i="14"/>
  <c r="L70" i="14"/>
  <c r="K70" i="14"/>
  <c r="L69" i="14"/>
  <c r="K69" i="14"/>
  <c r="L68" i="14"/>
  <c r="K68" i="14"/>
  <c r="L67" i="14"/>
  <c r="K67" i="14"/>
  <c r="L66" i="14"/>
  <c r="K66" i="14"/>
  <c r="L65" i="14"/>
  <c r="K65" i="14"/>
  <c r="L62" i="14"/>
  <c r="K62" i="14"/>
  <c r="L61" i="14"/>
  <c r="K61" i="14"/>
  <c r="L60" i="14"/>
  <c r="K60" i="14"/>
  <c r="L59" i="14"/>
  <c r="K59" i="14"/>
  <c r="L58" i="14"/>
  <c r="K58" i="14"/>
  <c r="L57" i="14"/>
  <c r="K57" i="14"/>
  <c r="L56" i="14"/>
  <c r="K56" i="14"/>
  <c r="L53" i="14"/>
  <c r="K53" i="14"/>
  <c r="L52" i="14"/>
  <c r="K52" i="14"/>
  <c r="L49" i="14"/>
  <c r="K49" i="14"/>
  <c r="L46" i="14"/>
  <c r="K46" i="14"/>
  <c r="L45" i="14"/>
  <c r="K45" i="14"/>
  <c r="L42" i="14"/>
  <c r="K42" i="14"/>
  <c r="L39" i="14"/>
  <c r="K39" i="14"/>
  <c r="L36" i="14"/>
  <c r="K36" i="14"/>
  <c r="L33" i="14"/>
  <c r="K33" i="14"/>
  <c r="L30" i="14"/>
  <c r="K30" i="14"/>
  <c r="L29" i="14"/>
  <c r="K29" i="14"/>
  <c r="L28" i="14"/>
  <c r="K28" i="14"/>
  <c r="L25" i="14"/>
  <c r="K25" i="14"/>
  <c r="L22" i="14"/>
  <c r="K22" i="14"/>
  <c r="L21" i="14"/>
  <c r="K21" i="14"/>
  <c r="L20" i="14"/>
  <c r="K20" i="14"/>
  <c r="L19" i="14"/>
  <c r="K19" i="14"/>
  <c r="L16" i="14"/>
  <c r="K16" i="14"/>
  <c r="L15" i="14"/>
  <c r="K15" i="14"/>
  <c r="L14" i="14"/>
  <c r="K14" i="14"/>
  <c r="L11" i="14"/>
  <c r="K11" i="14"/>
  <c r="L10" i="14"/>
  <c r="K10" i="14"/>
  <c r="L7" i="14"/>
  <c r="K7" i="14"/>
  <c r="L6" i="14"/>
  <c r="K6" i="14"/>
  <c r="L41" i="13"/>
  <c r="K41" i="13"/>
  <c r="L40" i="13"/>
  <c r="K40" i="13"/>
  <c r="L39" i="13"/>
  <c r="K39" i="13"/>
  <c r="L36" i="13"/>
  <c r="K36" i="13"/>
  <c r="L35" i="13"/>
  <c r="K35" i="13"/>
  <c r="L34" i="13"/>
  <c r="K34" i="13"/>
  <c r="L31" i="13"/>
  <c r="K31" i="13"/>
  <c r="L30" i="13"/>
  <c r="K30" i="13"/>
  <c r="L29" i="13"/>
  <c r="L28" i="13"/>
  <c r="L27" i="13"/>
  <c r="K27" i="13"/>
  <c r="L24" i="13"/>
  <c r="K24" i="13"/>
  <c r="L23" i="13"/>
  <c r="K23" i="13"/>
  <c r="L22" i="13"/>
  <c r="K22" i="13"/>
  <c r="L19" i="13"/>
  <c r="K19" i="13"/>
  <c r="L18" i="13"/>
  <c r="K18" i="13"/>
  <c r="L17" i="13"/>
  <c r="K17" i="13"/>
  <c r="L16" i="13"/>
  <c r="K16" i="13"/>
  <c r="L15" i="13"/>
  <c r="K15" i="13"/>
  <c r="L12" i="13"/>
  <c r="K12" i="13"/>
  <c r="L9" i="13"/>
  <c r="K9" i="13"/>
  <c r="L6" i="13"/>
  <c r="K6" i="13"/>
  <c r="L12" i="12"/>
  <c r="K12" i="12"/>
  <c r="L9" i="12"/>
  <c r="K9" i="12"/>
  <c r="L6" i="12"/>
  <c r="K6" i="12"/>
  <c r="L11" i="11"/>
  <c r="K11" i="11"/>
  <c r="L10" i="11"/>
  <c r="K10" i="11"/>
  <c r="L7" i="11"/>
  <c r="K7" i="11"/>
  <c r="L6" i="11"/>
  <c r="K6" i="11"/>
  <c r="T94" i="9"/>
  <c r="S94" i="9"/>
  <c r="T93" i="9"/>
  <c r="S93" i="9"/>
  <c r="T90" i="9"/>
  <c r="S90" i="9"/>
  <c r="T87" i="9"/>
  <c r="S87" i="9"/>
  <c r="T86" i="9"/>
  <c r="S86" i="9"/>
  <c r="T85" i="9"/>
  <c r="S85" i="9"/>
  <c r="T84" i="9"/>
  <c r="S84" i="9"/>
  <c r="T81" i="9"/>
  <c r="S81" i="9"/>
  <c r="T80" i="9"/>
  <c r="S80" i="9"/>
  <c r="T79" i="9"/>
  <c r="T78" i="9"/>
  <c r="S78" i="9"/>
  <c r="T77" i="9"/>
  <c r="S77" i="9"/>
  <c r="T76" i="9"/>
  <c r="S76" i="9"/>
  <c r="T75" i="9"/>
  <c r="S75" i="9"/>
  <c r="T74" i="9"/>
  <c r="S74" i="9"/>
  <c r="T73" i="9"/>
  <c r="S73" i="9"/>
  <c r="T72" i="9"/>
  <c r="S72" i="9"/>
  <c r="T71" i="9"/>
  <c r="S71" i="9"/>
  <c r="T70" i="9"/>
  <c r="S70" i="9"/>
  <c r="T69" i="9"/>
  <c r="S69" i="9"/>
  <c r="T68" i="9"/>
  <c r="S68" i="9"/>
  <c r="T67" i="9"/>
  <c r="S67" i="9"/>
  <c r="T66" i="9"/>
  <c r="S66" i="9"/>
  <c r="T65" i="9"/>
  <c r="S65" i="9"/>
  <c r="T64" i="9"/>
  <c r="S64" i="9"/>
  <c r="T63" i="9"/>
  <c r="S63" i="9"/>
  <c r="T60" i="9"/>
  <c r="S60" i="9"/>
  <c r="T59" i="9"/>
  <c r="S59" i="9"/>
  <c r="T58" i="9"/>
  <c r="S58" i="9"/>
  <c r="T57" i="9"/>
  <c r="S57" i="9"/>
  <c r="T56" i="9"/>
  <c r="S56" i="9"/>
  <c r="T55" i="9"/>
  <c r="S55" i="9"/>
  <c r="T54" i="9"/>
  <c r="T51" i="9"/>
  <c r="S51" i="9"/>
  <c r="T50" i="9"/>
  <c r="S50" i="9"/>
  <c r="T49" i="9"/>
  <c r="S49" i="9"/>
  <c r="T48" i="9"/>
  <c r="S48" i="9"/>
  <c r="T47" i="9"/>
  <c r="S47" i="9"/>
  <c r="T44" i="9"/>
  <c r="T41" i="9"/>
  <c r="T38" i="9"/>
  <c r="S38" i="9"/>
  <c r="T37" i="9"/>
  <c r="S37" i="9"/>
  <c r="T36" i="9"/>
  <c r="S36" i="9"/>
  <c r="T33" i="9"/>
  <c r="S33" i="9"/>
  <c r="T32" i="9"/>
  <c r="S32" i="9"/>
  <c r="T31" i="9"/>
  <c r="S31" i="9"/>
  <c r="T30" i="9"/>
  <c r="S30" i="9"/>
  <c r="T29" i="9"/>
  <c r="S29" i="9"/>
  <c r="T28" i="9"/>
  <c r="S28" i="9"/>
  <c r="T25" i="9"/>
  <c r="S25" i="9"/>
  <c r="T24" i="9"/>
  <c r="S24" i="9"/>
  <c r="T23" i="9"/>
  <c r="S23" i="9"/>
  <c r="T22" i="9"/>
  <c r="S22" i="9"/>
  <c r="T19" i="9"/>
  <c r="S19" i="9"/>
  <c r="T18" i="9"/>
  <c r="S18" i="9"/>
  <c r="T17" i="9"/>
  <c r="S17" i="9"/>
  <c r="T16" i="9"/>
  <c r="S16" i="9"/>
  <c r="T13" i="9"/>
  <c r="S13" i="9"/>
  <c r="T12" i="9"/>
  <c r="S12" i="9"/>
  <c r="T11" i="9"/>
  <c r="S11" i="9"/>
  <c r="T10" i="9"/>
  <c r="S10" i="9"/>
  <c r="T9" i="9"/>
  <c r="S9" i="9"/>
  <c r="T6" i="9"/>
  <c r="S6" i="9"/>
  <c r="T33" i="8"/>
  <c r="S33" i="8"/>
  <c r="T30" i="8"/>
  <c r="S30" i="8"/>
  <c r="T27" i="8"/>
  <c r="S27" i="8"/>
  <c r="T24" i="8"/>
  <c r="S24" i="8"/>
  <c r="T23" i="8"/>
  <c r="S23" i="8"/>
  <c r="T22" i="8"/>
  <c r="S22" i="8"/>
  <c r="T21" i="8"/>
  <c r="S21" i="8"/>
  <c r="T20" i="8"/>
  <c r="S20" i="8"/>
  <c r="T17" i="8"/>
  <c r="T16" i="8"/>
  <c r="S16" i="8"/>
  <c r="T15" i="8"/>
  <c r="S15" i="8"/>
  <c r="T12" i="8"/>
  <c r="S12" i="8"/>
  <c r="T9" i="8"/>
  <c r="S9" i="8"/>
  <c r="T6" i="8"/>
  <c r="S6" i="8"/>
  <c r="T18" i="6"/>
  <c r="S18" i="6"/>
  <c r="T15" i="6"/>
  <c r="S15" i="6"/>
  <c r="T12" i="6"/>
  <c r="S12" i="6"/>
  <c r="T9" i="6"/>
  <c r="T6" i="6"/>
  <c r="S6" i="6"/>
  <c r="T24" i="5"/>
  <c r="S24" i="5"/>
  <c r="T23" i="5"/>
  <c r="S23" i="5"/>
  <c r="T20" i="5"/>
  <c r="S20" i="5"/>
  <c r="T19" i="5"/>
  <c r="S19" i="5"/>
  <c r="T18" i="5"/>
  <c r="S18" i="5"/>
  <c r="T17" i="5"/>
  <c r="S17" i="5"/>
  <c r="T14" i="5"/>
  <c r="S14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<sst xmlns="http://schemas.openxmlformats.org/spreadsheetml/2006/main" count="4986" uniqueCount="1377">
  <si>
    <t>ФИО</t>
  </si>
  <si>
    <t>Сумма</t>
  </si>
  <si>
    <t>Тренер</t>
  </si>
  <si>
    <t>Очки</t>
  </si>
  <si>
    <t>Рек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</si>
  <si>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</si>
  <si>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</si>
  <si>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</si>
  <si>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</si>
  <si>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</si>
  <si>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75</t>
  </si>
  <si>
    <t>Каширина Маргарита</t>
  </si>
  <si>
    <t>Открытая (07.07.1992)/29</t>
  </si>
  <si>
    <t>73,40</t>
  </si>
  <si>
    <t>170,0</t>
  </si>
  <si>
    <t>175,0</t>
  </si>
  <si>
    <t>180,0</t>
  </si>
  <si>
    <t>80,0</t>
  </si>
  <si>
    <t>85,0</t>
  </si>
  <si>
    <t>87,5</t>
  </si>
  <si>
    <t>190,0</t>
  </si>
  <si>
    <t>195,0</t>
  </si>
  <si>
    <t>ВЕСОВАЯ КАТЕГОРИЯ   82.5</t>
  </si>
  <si>
    <t>Климась Ольга</t>
  </si>
  <si>
    <t>Открытая (24.09.1975)/46</t>
  </si>
  <si>
    <t>79,60</t>
  </si>
  <si>
    <t>150,0</t>
  </si>
  <si>
    <t>160,0</t>
  </si>
  <si>
    <t>67,5</t>
  </si>
  <si>
    <t>72,5</t>
  </si>
  <si>
    <t>185,0</t>
  </si>
  <si>
    <t>200,0</t>
  </si>
  <si>
    <t>ВЕСОВАЯ КАТЕГОРИЯ   90</t>
  </si>
  <si>
    <t>Бортник Артём</t>
  </si>
  <si>
    <t>Открытая (17.07.1995)/26</t>
  </si>
  <si>
    <t>87,70</t>
  </si>
  <si>
    <t xml:space="preserve">BLR/Минск </t>
  </si>
  <si>
    <t>285,0</t>
  </si>
  <si>
    <t>295,0</t>
  </si>
  <si>
    <t>302,5</t>
  </si>
  <si>
    <t>182,5</t>
  </si>
  <si>
    <t>280,0</t>
  </si>
  <si>
    <t>292,5</t>
  </si>
  <si>
    <t>300,0</t>
  </si>
  <si>
    <t xml:space="preserve">Винокуров Д. </t>
  </si>
  <si>
    <t>Тарасов Виталий</t>
  </si>
  <si>
    <t>Открытая (09.06.1977)/44</t>
  </si>
  <si>
    <t>88,60</t>
  </si>
  <si>
    <t>250,0</t>
  </si>
  <si>
    <t>260,0</t>
  </si>
  <si>
    <t>145,0</t>
  </si>
  <si>
    <t>152,5</t>
  </si>
  <si>
    <t>255,0</t>
  </si>
  <si>
    <t>265,0</t>
  </si>
  <si>
    <t>Марков Анатолий</t>
  </si>
  <si>
    <t>Мастера 70-79 (13.01.1951)/71</t>
  </si>
  <si>
    <t>87,90</t>
  </si>
  <si>
    <t>130,0</t>
  </si>
  <si>
    <t>140,0</t>
  </si>
  <si>
    <t>205,0</t>
  </si>
  <si>
    <t>ВЕСОВАЯ КАТЕГОРИЯ   100</t>
  </si>
  <si>
    <t>Marku Simion</t>
  </si>
  <si>
    <t>Юниоры (15.09.2002)/19</t>
  </si>
  <si>
    <t>100,00</t>
  </si>
  <si>
    <t xml:space="preserve">BGR/Sofia </t>
  </si>
  <si>
    <t>240,0</t>
  </si>
  <si>
    <t>252,5</t>
  </si>
  <si>
    <t xml:space="preserve"> </t>
  </si>
  <si>
    <t>Шихгасанов Рамазан</t>
  </si>
  <si>
    <t>Открытая (23.02.1995)/27</t>
  </si>
  <si>
    <t>98,80</t>
  </si>
  <si>
    <t>330,0</t>
  </si>
  <si>
    <t>340,0</t>
  </si>
  <si>
    <t>215,0</t>
  </si>
  <si>
    <t>220,0</t>
  </si>
  <si>
    <t>290,0</t>
  </si>
  <si>
    <t xml:space="preserve">Смирнов Д. </t>
  </si>
  <si>
    <t>Сидягин Александр</t>
  </si>
  <si>
    <t>Открытая (20.05.1988)/33</t>
  </si>
  <si>
    <t>97,10</t>
  </si>
  <si>
    <t>275,0</t>
  </si>
  <si>
    <t>162,5</t>
  </si>
  <si>
    <t>172,5</t>
  </si>
  <si>
    <t>230,0</t>
  </si>
  <si>
    <t>277,5</t>
  </si>
  <si>
    <t>Открытая (15.09.2002)/19</t>
  </si>
  <si>
    <t>ВЕСОВАЯ КАТЕГОРИЯ   110</t>
  </si>
  <si>
    <t>Tsvetkov Boris</t>
  </si>
  <si>
    <t>Открытая (21.06.1998)/23</t>
  </si>
  <si>
    <t>108,20</t>
  </si>
  <si>
    <t>360,0</t>
  </si>
  <si>
    <t>210,0</t>
  </si>
  <si>
    <t>355,0</t>
  </si>
  <si>
    <t>380,0</t>
  </si>
  <si>
    <t>405,0</t>
  </si>
  <si>
    <t>Петров Артем</t>
  </si>
  <si>
    <t>Открытая (05.03.1997)/25</t>
  </si>
  <si>
    <t>105,90</t>
  </si>
  <si>
    <t>270,0</t>
  </si>
  <si>
    <t>177,5</t>
  </si>
  <si>
    <t xml:space="preserve">Луговой А.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</si>
  <si>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</si>
  <si>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</si>
  <si>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</si>
  <si>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</si>
  <si>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</si>
  <si>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</si>
  <si>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</si>
  <si>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</si>
  <si>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75</t>
  </si>
  <si>
    <t>82.5</t>
  </si>
  <si>
    <t xml:space="preserve">Мужчины </t>
  </si>
  <si>
    <t xml:space="preserve">Юниоры </t>
  </si>
  <si>
    <t>100</t>
  </si>
  <si>
    <t>110</t>
  </si>
  <si>
    <t>930,0</t>
  </si>
  <si>
    <t>550,1880</t>
  </si>
  <si>
    <t>840,0</t>
  </si>
  <si>
    <t>513,7440</t>
  </si>
  <si>
    <t>90</t>
  </si>
  <si>
    <t>792,5</t>
  </si>
  <si>
    <t>512,8267</t>
  </si>
  <si>
    <t xml:space="preserve">Мастера </t>
  </si>
  <si>
    <t xml:space="preserve">Мастера 70-79 </t>
  </si>
  <si>
    <t>1</t>
  </si>
  <si>
    <t/>
  </si>
  <si>
    <t>2</t>
  </si>
  <si>
    <t>3</t>
  </si>
  <si>
    <t>-</t>
  </si>
  <si>
    <t>Рыжова Анастасия</t>
  </si>
  <si>
    <t>Открытая (20.04.1997)/24</t>
  </si>
  <si>
    <t>72,10</t>
  </si>
  <si>
    <t>135,0</t>
  </si>
  <si>
    <t>137,5</t>
  </si>
  <si>
    <t>65,0</t>
  </si>
  <si>
    <t>70,0</t>
  </si>
  <si>
    <t>100,0</t>
  </si>
  <si>
    <t>105,0</t>
  </si>
  <si>
    <t>110,0</t>
  </si>
  <si>
    <t xml:space="preserve">Алышев Н. </t>
  </si>
  <si>
    <t>Савицкий Егор</t>
  </si>
  <si>
    <t>Юноши 17-19 (13.09.2003)/18</t>
  </si>
  <si>
    <t>73,20</t>
  </si>
  <si>
    <t>117,5</t>
  </si>
  <si>
    <t>Дроздов Кирилл</t>
  </si>
  <si>
    <t>Мастера 40-49 (21.12.1979)/42</t>
  </si>
  <si>
    <t>82,00</t>
  </si>
  <si>
    <t>155,0</t>
  </si>
  <si>
    <t>165,0</t>
  </si>
  <si>
    <t>95,0</t>
  </si>
  <si>
    <t>102,5</t>
  </si>
  <si>
    <t>Благов Алексей</t>
  </si>
  <si>
    <t>Открытая (24.10.1986)/35</t>
  </si>
  <si>
    <t>89,10</t>
  </si>
  <si>
    <t>147,5</t>
  </si>
  <si>
    <t>225,0</t>
  </si>
  <si>
    <t>Карпычев Сергей</t>
  </si>
  <si>
    <t>Открытая (30.05.1992)/29</t>
  </si>
  <si>
    <t>93,70</t>
  </si>
  <si>
    <t>142,5</t>
  </si>
  <si>
    <t xml:space="preserve">Хренов В. </t>
  </si>
  <si>
    <t xml:space="preserve">Мастера 40-49 </t>
  </si>
  <si>
    <t>ВЕСОВАЯ КАТЕГОРИЯ   67.5</t>
  </si>
  <si>
    <t>Ухарева Мария</t>
  </si>
  <si>
    <t>Открытая (03.05.1988)/33</t>
  </si>
  <si>
    <t>65,20</t>
  </si>
  <si>
    <t>120,0</t>
  </si>
  <si>
    <t>122,5</t>
  </si>
  <si>
    <t>127,5</t>
  </si>
  <si>
    <t>92,5</t>
  </si>
  <si>
    <t>97,5</t>
  </si>
  <si>
    <t>Стародубова Дарья</t>
  </si>
  <si>
    <t>Открытая (27.09.2004)/17</t>
  </si>
  <si>
    <t>74,30</t>
  </si>
  <si>
    <t>112,5</t>
  </si>
  <si>
    <t>197,5</t>
  </si>
  <si>
    <t>202,5</t>
  </si>
  <si>
    <t xml:space="preserve">Кабишов С. </t>
  </si>
  <si>
    <t>Лухин Максим</t>
  </si>
  <si>
    <t>Открытая (16.07.1999)/22</t>
  </si>
  <si>
    <t>75,00</t>
  </si>
  <si>
    <t>245,0</t>
  </si>
  <si>
    <t>Ramsin Vasli</t>
  </si>
  <si>
    <t>Юноши 17-19 (22.09.2003)/18</t>
  </si>
  <si>
    <t>80,70</t>
  </si>
  <si>
    <t xml:space="preserve">IRN/Tehran </t>
  </si>
  <si>
    <t>217,5</t>
  </si>
  <si>
    <t>Калинин Дмитрий</t>
  </si>
  <si>
    <t>Открытая (16.12.1991)/30</t>
  </si>
  <si>
    <t>81,20</t>
  </si>
  <si>
    <t>Новиков Роман</t>
  </si>
  <si>
    <t>Открытая (27.03.1993)/29</t>
  </si>
  <si>
    <t>80,60</t>
  </si>
  <si>
    <t>Салманов Осман</t>
  </si>
  <si>
    <t>Открытая (18.11.1992)/29</t>
  </si>
  <si>
    <t>99,00</t>
  </si>
  <si>
    <t>297,5</t>
  </si>
  <si>
    <t>315,0</t>
  </si>
  <si>
    <t>335,0</t>
  </si>
  <si>
    <t xml:space="preserve">Ступников Р. </t>
  </si>
  <si>
    <t>Сазонов Виталий</t>
  </si>
  <si>
    <t>Открытая (14.08.1988)/33</t>
  </si>
  <si>
    <t>96,90</t>
  </si>
  <si>
    <t>Асташенков Артем</t>
  </si>
  <si>
    <t>Открытая (22.07.1995)/26</t>
  </si>
  <si>
    <t>97,50</t>
  </si>
  <si>
    <t xml:space="preserve">Шишов В. </t>
  </si>
  <si>
    <t>Коньков Андрей</t>
  </si>
  <si>
    <t>Открытая (26.07.1980)/41</t>
  </si>
  <si>
    <t>99,60</t>
  </si>
  <si>
    <t>Полухин Александр</t>
  </si>
  <si>
    <t>Открытая (29.06.1983)/38</t>
  </si>
  <si>
    <t>98,50</t>
  </si>
  <si>
    <t>232,5</t>
  </si>
  <si>
    <t>Бурцев Дмитрий</t>
  </si>
  <si>
    <t>Открытая (02.12.1986)/35</t>
  </si>
  <si>
    <t>109,10</t>
  </si>
  <si>
    <t>157,5</t>
  </si>
  <si>
    <t>ВЕСОВАЯ КАТЕГОРИЯ   125</t>
  </si>
  <si>
    <t>Курякин Дмитрий</t>
  </si>
  <si>
    <t>Открытая (05.12.1982)/39</t>
  </si>
  <si>
    <t>114,80</t>
  </si>
  <si>
    <t>287,5</t>
  </si>
  <si>
    <t>305,0</t>
  </si>
  <si>
    <t>ВЕСОВАЯ КАТЕГОРИЯ   140</t>
  </si>
  <si>
    <t>Rostami Ali</t>
  </si>
  <si>
    <t>Открытая (25.08.1996)/25</t>
  </si>
  <si>
    <t>131,40</t>
  </si>
  <si>
    <t>310,0</t>
  </si>
  <si>
    <t>325,0</t>
  </si>
  <si>
    <t>67.5</t>
  </si>
  <si>
    <t xml:space="preserve">Юноши </t>
  </si>
  <si>
    <t xml:space="preserve">Юноши 17-19 </t>
  </si>
  <si>
    <t>815,0</t>
  </si>
  <si>
    <t>498,0465</t>
  </si>
  <si>
    <t>680,0</t>
  </si>
  <si>
    <t>484,5680</t>
  </si>
  <si>
    <t>140</t>
  </si>
  <si>
    <t>797,5</t>
  </si>
  <si>
    <t>450,1887</t>
  </si>
  <si>
    <t>4</t>
  </si>
  <si>
    <t>5</t>
  </si>
  <si>
    <t>ВЕСОВАЯ КАТЕГОРИЯ   48</t>
  </si>
  <si>
    <t>Бондусь Надежда</t>
  </si>
  <si>
    <t>Открытая (27.07.1990)/31</t>
  </si>
  <si>
    <t>47,80</t>
  </si>
  <si>
    <t>55,0</t>
  </si>
  <si>
    <t>60,0</t>
  </si>
  <si>
    <t>40,0</t>
  </si>
  <si>
    <t>45,0</t>
  </si>
  <si>
    <t>90,0</t>
  </si>
  <si>
    <t>ВЕСОВАЯ КАТЕГОРИЯ   52</t>
  </si>
  <si>
    <t>Гуляева Ангелина</t>
  </si>
  <si>
    <t>Девушки 17-19 (12.12.2004)/17</t>
  </si>
  <si>
    <t>51,90</t>
  </si>
  <si>
    <t>82,5</t>
  </si>
  <si>
    <t>42,5</t>
  </si>
  <si>
    <t xml:space="preserve">Аршинов И. </t>
  </si>
  <si>
    <t>Тюрина Вероника</t>
  </si>
  <si>
    <t>Юниорки (22.02.2001)/21</t>
  </si>
  <si>
    <t>50,40</t>
  </si>
  <si>
    <t xml:space="preserve">Чередниченко А. </t>
  </si>
  <si>
    <t>Смирнова Елизавета</t>
  </si>
  <si>
    <t>Открытая (19.01.1995)/27</t>
  </si>
  <si>
    <t>50,60</t>
  </si>
  <si>
    <t>107,5</t>
  </si>
  <si>
    <t>57,5</t>
  </si>
  <si>
    <t>62,5</t>
  </si>
  <si>
    <t>132,5</t>
  </si>
  <si>
    <t>Мущинкина Елена</t>
  </si>
  <si>
    <t>Открытая (10.09.1983)/38</t>
  </si>
  <si>
    <t>51,40</t>
  </si>
  <si>
    <t>115,0</t>
  </si>
  <si>
    <t>Блохина Екатерина</t>
  </si>
  <si>
    <t>Открытая (04.11.1986)/35</t>
  </si>
  <si>
    <t>49,70</t>
  </si>
  <si>
    <t>32,5</t>
  </si>
  <si>
    <t>35,0</t>
  </si>
  <si>
    <t>37,5</t>
  </si>
  <si>
    <t>75,0</t>
  </si>
  <si>
    <t xml:space="preserve">Трошин А. </t>
  </si>
  <si>
    <t>ВЕСОВАЯ КАТЕГОРИЯ   56</t>
  </si>
  <si>
    <t>Старчикова Светлана</t>
  </si>
  <si>
    <t>Открытая (16.04.1993)/28</t>
  </si>
  <si>
    <t>55,10</t>
  </si>
  <si>
    <t>Шаповалова Кристина</t>
  </si>
  <si>
    <t>Открытая (14.01.1992)/30</t>
  </si>
  <si>
    <t>55,60</t>
  </si>
  <si>
    <t>52,5</t>
  </si>
  <si>
    <t xml:space="preserve">Смирнова Е. </t>
  </si>
  <si>
    <t>Субот Анастасия</t>
  </si>
  <si>
    <t>Открытая (09.01.1990)/32</t>
  </si>
  <si>
    <t>55,90</t>
  </si>
  <si>
    <t>50,0</t>
  </si>
  <si>
    <t>125,0</t>
  </si>
  <si>
    <t>Хуснутдинова Наталья</t>
  </si>
  <si>
    <t>Открытая (28.02.1979)/43</t>
  </si>
  <si>
    <t>55,80</t>
  </si>
  <si>
    <t>ВЕСОВАЯ КАТЕГОРИЯ   60</t>
  </si>
  <si>
    <t>Чупракова Екатерина</t>
  </si>
  <si>
    <t>Открытая (11.05.1982)/39</t>
  </si>
  <si>
    <t>58,60</t>
  </si>
  <si>
    <t>Скрыпник Наталья</t>
  </si>
  <si>
    <t>Открытая (06.06.1976)/45</t>
  </si>
  <si>
    <t>Бочарова Анна</t>
  </si>
  <si>
    <t>Открытая (03.11.1995)/26</t>
  </si>
  <si>
    <t>59,20</t>
  </si>
  <si>
    <t xml:space="preserve">Белкин Ю. </t>
  </si>
  <si>
    <t>Филимонова Ксения</t>
  </si>
  <si>
    <t>Открытая (25.04.1992)/29</t>
  </si>
  <si>
    <t>58,70</t>
  </si>
  <si>
    <t xml:space="preserve">Гребнев Е. </t>
  </si>
  <si>
    <t>Назарук Екатерина</t>
  </si>
  <si>
    <t>Девушки 17-19 (12.07.2002)/19</t>
  </si>
  <si>
    <t>65,80</t>
  </si>
  <si>
    <t>Чигилейчик София</t>
  </si>
  <si>
    <t>Юниорки (11.05.2000)/21</t>
  </si>
  <si>
    <t>66,00</t>
  </si>
  <si>
    <t xml:space="preserve">Этезов В. </t>
  </si>
  <si>
    <t>Крекова Диана</t>
  </si>
  <si>
    <t>Открытая (25.04.1998)/23</t>
  </si>
  <si>
    <t>65,30</t>
  </si>
  <si>
    <t>158,0</t>
  </si>
  <si>
    <t>Ядрихинская Мария</t>
  </si>
  <si>
    <t>Открытая (09.07.1982)/39</t>
  </si>
  <si>
    <t>67,50</t>
  </si>
  <si>
    <t>Сафронова Анфиса</t>
  </si>
  <si>
    <t>Открытая (10.01.2001)/21</t>
  </si>
  <si>
    <t>67,40</t>
  </si>
  <si>
    <t>Тюлькина Татьяна</t>
  </si>
  <si>
    <t>Открытая (01.02.1983)/39</t>
  </si>
  <si>
    <t>66,20</t>
  </si>
  <si>
    <t>Крахмалева Наталья</t>
  </si>
  <si>
    <t>Открытая (06.09.1976)/45</t>
  </si>
  <si>
    <t>73,90</t>
  </si>
  <si>
    <t>Горушкина Мария</t>
  </si>
  <si>
    <t>Открытая (02.05.1992)/29</t>
  </si>
  <si>
    <t>72,80</t>
  </si>
  <si>
    <t xml:space="preserve">Каргина Е. </t>
  </si>
  <si>
    <t>Мастера 40-49 (06.09.1976)/45</t>
  </si>
  <si>
    <t>Кузнецов Сергей</t>
  </si>
  <si>
    <t>Открытая (01.08.1982)/39</t>
  </si>
  <si>
    <t>56,10</t>
  </si>
  <si>
    <t>77,5</t>
  </si>
  <si>
    <t>Иванов Юлиан</t>
  </si>
  <si>
    <t>Открытая (23.09.1997)/24</t>
  </si>
  <si>
    <t>66,60</t>
  </si>
  <si>
    <t>Кочнев Валерий</t>
  </si>
  <si>
    <t>Юноши 17-19 (24.08.2002)/19</t>
  </si>
  <si>
    <t>73,50</t>
  </si>
  <si>
    <t>Плескач Дмитрий</t>
  </si>
  <si>
    <t>Открытая (31.07.1988)/33</t>
  </si>
  <si>
    <t>74,40</t>
  </si>
  <si>
    <t xml:space="preserve">BLR/Могилев </t>
  </si>
  <si>
    <t>Карпов Евгений</t>
  </si>
  <si>
    <t>Открытая (26.10.1979)/42</t>
  </si>
  <si>
    <t>72,50</t>
  </si>
  <si>
    <t>235,0</t>
  </si>
  <si>
    <t>Конякин Дмитрий</t>
  </si>
  <si>
    <t>Открытая (04.05.1988)/33</t>
  </si>
  <si>
    <t>Zhakin Vladimir</t>
  </si>
  <si>
    <t>Мастера 60-69 (15.09.1952)/69</t>
  </si>
  <si>
    <t>71,60</t>
  </si>
  <si>
    <t>Ивакин Юрий</t>
  </si>
  <si>
    <t>Юниоры (14.01.2002)/20</t>
  </si>
  <si>
    <t>78,20</t>
  </si>
  <si>
    <t>Елсаков Константин</t>
  </si>
  <si>
    <t>Открытая (26.05.1990)/31</t>
  </si>
  <si>
    <t>82,40</t>
  </si>
  <si>
    <t>243,0</t>
  </si>
  <si>
    <t>247,5</t>
  </si>
  <si>
    <t>Марасов Динар</t>
  </si>
  <si>
    <t>Открытая (26.08.1996)/25</t>
  </si>
  <si>
    <t>81,30</t>
  </si>
  <si>
    <t>207,5</t>
  </si>
  <si>
    <t xml:space="preserve">Рахматуллин Б. </t>
  </si>
  <si>
    <t>Абаринов Александр</t>
  </si>
  <si>
    <t>Открытая (01.06.1986)/35</t>
  </si>
  <si>
    <t>80,90</t>
  </si>
  <si>
    <t xml:space="preserve">Насонов Д. </t>
  </si>
  <si>
    <t>Шлыков Александр</t>
  </si>
  <si>
    <t>Открытая (26.08.1992)/29</t>
  </si>
  <si>
    <t>167,5</t>
  </si>
  <si>
    <t xml:space="preserve">Здобников Н. </t>
  </si>
  <si>
    <t>Стацкий Амир</t>
  </si>
  <si>
    <t>Открытая (28.05.1997)/24</t>
  </si>
  <si>
    <t>75,40</t>
  </si>
  <si>
    <t>Михайлов Александр</t>
  </si>
  <si>
    <t>Мастера 40-49 (28.02.1982)/40</t>
  </si>
  <si>
    <t>80,80</t>
  </si>
  <si>
    <t>Калашников Макар</t>
  </si>
  <si>
    <t>Юноши 17-19 (28.02.2005)/17</t>
  </si>
  <si>
    <t>89,50</t>
  </si>
  <si>
    <t>Ефремов Николай</t>
  </si>
  <si>
    <t>Юниоры (24.11.1998)/23</t>
  </si>
  <si>
    <t>89,70</t>
  </si>
  <si>
    <t>Коробов Максим</t>
  </si>
  <si>
    <t>Юниоры (31.03.2001)/21</t>
  </si>
  <si>
    <t>88,90</t>
  </si>
  <si>
    <t>192,5</t>
  </si>
  <si>
    <t>Ильясов Илья</t>
  </si>
  <si>
    <t>Юниоры (06.09.2001)/20</t>
  </si>
  <si>
    <t>86,20</t>
  </si>
  <si>
    <t>Байбашев Камал</t>
  </si>
  <si>
    <t>Юниоры (08.02.2000)/22</t>
  </si>
  <si>
    <t>89,60</t>
  </si>
  <si>
    <t xml:space="preserve">Федорец М </t>
  </si>
  <si>
    <t>Симкин Андрей</t>
  </si>
  <si>
    <t>Открытая (27.05.1983)/38</t>
  </si>
  <si>
    <t>90,00</t>
  </si>
  <si>
    <t xml:space="preserve">Суслов Н. </t>
  </si>
  <si>
    <t>Собцов Дмитрий</t>
  </si>
  <si>
    <t>Открытая (04.06.1991)/30</t>
  </si>
  <si>
    <t>242,5</t>
  </si>
  <si>
    <t xml:space="preserve">Беловал Е. </t>
  </si>
  <si>
    <t>Вострокнутов Артем</t>
  </si>
  <si>
    <t>Открытая (10.09.1985)/36</t>
  </si>
  <si>
    <t>Жигадло Никита</t>
  </si>
  <si>
    <t>Открытая (01.05.1994)/27</t>
  </si>
  <si>
    <t>89,20</t>
  </si>
  <si>
    <t>Нарожный Иван</t>
  </si>
  <si>
    <t>Открытая (30.05.1990)/31</t>
  </si>
  <si>
    <t>88,00</t>
  </si>
  <si>
    <t>222,5</t>
  </si>
  <si>
    <t>227,5</t>
  </si>
  <si>
    <t>Стрешный Иван</t>
  </si>
  <si>
    <t>Открытая (01.06.1984)/37</t>
  </si>
  <si>
    <t>88,30</t>
  </si>
  <si>
    <t>Какауллин Егор</t>
  </si>
  <si>
    <t>Открытая (25.10.1997)/24</t>
  </si>
  <si>
    <t>87,00</t>
  </si>
  <si>
    <t>Волков Дмитрий</t>
  </si>
  <si>
    <t>Открытая (24.09.1996)/25</t>
  </si>
  <si>
    <t>85,30</t>
  </si>
  <si>
    <t>Замятин Виктор</t>
  </si>
  <si>
    <t>Открытая (02.02.1991)/31</t>
  </si>
  <si>
    <t>83,40</t>
  </si>
  <si>
    <t xml:space="preserve">Пономарев В. </t>
  </si>
  <si>
    <t>Мурсюкаев Марс</t>
  </si>
  <si>
    <t>Открытая (11.12.1984)/37</t>
  </si>
  <si>
    <t>89,80</t>
  </si>
  <si>
    <t xml:space="preserve">Пономарев В., Кончакова Н. </t>
  </si>
  <si>
    <t>Крылов Антон</t>
  </si>
  <si>
    <t>Открытая (16.06.1990)/31</t>
  </si>
  <si>
    <t>87,80</t>
  </si>
  <si>
    <t xml:space="preserve">Лысенко В. </t>
  </si>
  <si>
    <t>Василенко Иван</t>
  </si>
  <si>
    <t>Открытая (20.06.1985)/36</t>
  </si>
  <si>
    <t>89,00</t>
  </si>
  <si>
    <t>Зубарев Игорь</t>
  </si>
  <si>
    <t>Мастера 40-49 (21.01.1980)/42</t>
  </si>
  <si>
    <t>Кунашев Руслан</t>
  </si>
  <si>
    <t>Мастера 60-69 (27.08.1956)/65</t>
  </si>
  <si>
    <t>87,50</t>
  </si>
  <si>
    <t xml:space="preserve">Хашпаков М. </t>
  </si>
  <si>
    <t>Каминский Евгений</t>
  </si>
  <si>
    <t>Открытая (07.06.1991)/30</t>
  </si>
  <si>
    <t>99,70</t>
  </si>
  <si>
    <t>320,0</t>
  </si>
  <si>
    <t>Беркун Олег</t>
  </si>
  <si>
    <t>Открытая (10.09.1998)/23</t>
  </si>
  <si>
    <t>98,40</t>
  </si>
  <si>
    <t>Киселев Андрей</t>
  </si>
  <si>
    <t>Открытая (17.08.1995)/26</t>
  </si>
  <si>
    <t>Макаров Владимир</t>
  </si>
  <si>
    <t>Мастера 70-79 (25.07.1946)/75</t>
  </si>
  <si>
    <t>98,30</t>
  </si>
  <si>
    <t>143,0</t>
  </si>
  <si>
    <t>98,0</t>
  </si>
  <si>
    <t>168,0</t>
  </si>
  <si>
    <t>Маклаков Денис</t>
  </si>
  <si>
    <t>Открытая (02.05.1997)/24</t>
  </si>
  <si>
    <t>109,50</t>
  </si>
  <si>
    <t>Тхакахов Марат</t>
  </si>
  <si>
    <t>Открытая (04.04.1983)/38</t>
  </si>
  <si>
    <t>117,40</t>
  </si>
  <si>
    <t>262,5</t>
  </si>
  <si>
    <t>Гребнев Евгений</t>
  </si>
  <si>
    <t>Мастера 40-49 (07.05.1980)/41</t>
  </si>
  <si>
    <t>117,60</t>
  </si>
  <si>
    <t>52</t>
  </si>
  <si>
    <t>390,0</t>
  </si>
  <si>
    <t>407,7450</t>
  </si>
  <si>
    <t>372,3525</t>
  </si>
  <si>
    <t>352,1840</t>
  </si>
  <si>
    <t>648,0</t>
  </si>
  <si>
    <t>434,4192</t>
  </si>
  <si>
    <t>712,5</t>
  </si>
  <si>
    <t>434,1263</t>
  </si>
  <si>
    <t>670,0</t>
  </si>
  <si>
    <t>427,7280</t>
  </si>
  <si>
    <t xml:space="preserve">Мастера 60-69 </t>
  </si>
  <si>
    <t>6</t>
  </si>
  <si>
    <t>7</t>
  </si>
  <si>
    <t>8</t>
  </si>
  <si>
    <t>9</t>
  </si>
  <si>
    <t>10</t>
  </si>
  <si>
    <t>11</t>
  </si>
  <si>
    <t>Решетник Константин</t>
  </si>
  <si>
    <t>Открытая (10.03.1987)/35</t>
  </si>
  <si>
    <t>99,90</t>
  </si>
  <si>
    <t>Харыбин Денис</t>
  </si>
  <si>
    <t>Мастера 40-49 (12.07.1980)/41</t>
  </si>
  <si>
    <t>99,20</t>
  </si>
  <si>
    <t>Пузырев Денис</t>
  </si>
  <si>
    <t>Открытая (31.03.1974)/48</t>
  </si>
  <si>
    <t>107,60</t>
  </si>
  <si>
    <t xml:space="preserve">Грудев А. </t>
  </si>
  <si>
    <t>Мастера 40-49 (31.03.1974)/48</t>
  </si>
  <si>
    <t xml:space="preserve">Результат </t>
  </si>
  <si>
    <t xml:space="preserve">Gloss </t>
  </si>
  <si>
    <t>Результат</t>
  </si>
  <si>
    <t>Смирнов Леонид</t>
  </si>
  <si>
    <t>Мастера 60-69 (26.09.1957)/64</t>
  </si>
  <si>
    <t>95,60</t>
  </si>
  <si>
    <t>Лаппалайнен Дмитрий</t>
  </si>
  <si>
    <t>Открытая (01.06.1989)/32</t>
  </si>
  <si>
    <t>115,80</t>
  </si>
  <si>
    <t>Жемаркин Дмитрий</t>
  </si>
  <si>
    <t>Открытая (29.01.1997)/25</t>
  </si>
  <si>
    <t>130,10</t>
  </si>
  <si>
    <t>125</t>
  </si>
  <si>
    <t>Алексеева Ирина</t>
  </si>
  <si>
    <t>Открытая (05.05.1984)/37</t>
  </si>
  <si>
    <t>58,30</t>
  </si>
  <si>
    <t xml:space="preserve">Зайцев В. </t>
  </si>
  <si>
    <t>Бегинин Андрей</t>
  </si>
  <si>
    <t>Открытая (10.11.1995)/26</t>
  </si>
  <si>
    <t>65,50</t>
  </si>
  <si>
    <t>Сычёв Сергей</t>
  </si>
  <si>
    <t>Открытая (18.07.1978)/43</t>
  </si>
  <si>
    <t>79,70</t>
  </si>
  <si>
    <t>Захарчук Илья</t>
  </si>
  <si>
    <t>Юниоры (25.07.2001)/20</t>
  </si>
  <si>
    <t>88,50</t>
  </si>
  <si>
    <t>Суший Илья</t>
  </si>
  <si>
    <t>Открытая (20.08.1984)/37</t>
  </si>
  <si>
    <t>84,00</t>
  </si>
  <si>
    <t>187,5</t>
  </si>
  <si>
    <t>Ширяев Андрей</t>
  </si>
  <si>
    <t>Открытая (06.06.1997)/24</t>
  </si>
  <si>
    <t xml:space="preserve">Марченко В. </t>
  </si>
  <si>
    <t>Ткачёв Алексей</t>
  </si>
  <si>
    <t>Мастера 40-49 (27.03.1981)/41</t>
  </si>
  <si>
    <t>Markovic Zivorad</t>
  </si>
  <si>
    <t>Мастера 60-69 (29.09.1960)/61</t>
  </si>
  <si>
    <t>87,40</t>
  </si>
  <si>
    <t xml:space="preserve">SRB/Leskovac </t>
  </si>
  <si>
    <t>Андрюхин Даниил</t>
  </si>
  <si>
    <t>Юниоры (14.08.1998)/23</t>
  </si>
  <si>
    <t>97,60</t>
  </si>
  <si>
    <t>Мищенко Артем</t>
  </si>
  <si>
    <t>Открытая (26.06.1984)/37</t>
  </si>
  <si>
    <t>97,30</t>
  </si>
  <si>
    <t xml:space="preserve">Чокаев У. </t>
  </si>
  <si>
    <t>Рящиков Александр</t>
  </si>
  <si>
    <t>Открытая (10.12.1983)/38</t>
  </si>
  <si>
    <t>97,40</t>
  </si>
  <si>
    <t>Мишин Алексей</t>
  </si>
  <si>
    <t>Открытая (06.02.1998)/24</t>
  </si>
  <si>
    <t>108,10</t>
  </si>
  <si>
    <t>Долгополов Максим</t>
  </si>
  <si>
    <t>Открытая (16.10.1994)/27</t>
  </si>
  <si>
    <t>Иошин Александр</t>
  </si>
  <si>
    <t>Открытая (11.04.1993)/28</t>
  </si>
  <si>
    <t>108,00</t>
  </si>
  <si>
    <t>Герштанский Сергей</t>
  </si>
  <si>
    <t>Мастера 40-49 (06.04.1974)/47</t>
  </si>
  <si>
    <t>107,30</t>
  </si>
  <si>
    <t>Зяблов Николай</t>
  </si>
  <si>
    <t>Мастера 60-69 (05.04.1958)/63</t>
  </si>
  <si>
    <t>102,50</t>
  </si>
  <si>
    <t xml:space="preserve">Разумов А. </t>
  </si>
  <si>
    <t>Романов Дмитрий</t>
  </si>
  <si>
    <t>Открытая (16.06.1987)/34</t>
  </si>
  <si>
    <t>124,40</t>
  </si>
  <si>
    <t xml:space="preserve">Чибисов С. </t>
  </si>
  <si>
    <t>Пешко Владимир</t>
  </si>
  <si>
    <t>Мастера 50-59 (12.02.1970)/52</t>
  </si>
  <si>
    <t>115,90</t>
  </si>
  <si>
    <t>Аствацатуров Александр</t>
  </si>
  <si>
    <t>Мастера 60-69 (11.04.1959)/62</t>
  </si>
  <si>
    <t>111,30</t>
  </si>
  <si>
    <t>Горбунов Александр</t>
  </si>
  <si>
    <t>Открытая (15.09.1986)/35</t>
  </si>
  <si>
    <t>139,60</t>
  </si>
  <si>
    <t>Сидоров Александр</t>
  </si>
  <si>
    <t>Мастера 40-49 (20.07.1980)/41</t>
  </si>
  <si>
    <t>130,90</t>
  </si>
  <si>
    <t>Маринин Александр</t>
  </si>
  <si>
    <t>Мастера 40-49 (10.07.1980)/41</t>
  </si>
  <si>
    <t>131,30</t>
  </si>
  <si>
    <t>60</t>
  </si>
  <si>
    <t>147,1245</t>
  </si>
  <si>
    <t>132,3325</t>
  </si>
  <si>
    <t>124,0620</t>
  </si>
  <si>
    <t>139,3286</t>
  </si>
  <si>
    <t>133,4153</t>
  </si>
  <si>
    <t xml:space="preserve">Мастера 50-59 </t>
  </si>
  <si>
    <t>132,5057</t>
  </si>
  <si>
    <t>ВЕСОВАЯ КАТЕГОРИЯ   44</t>
  </si>
  <si>
    <t>Фарахманд Сохайла</t>
  </si>
  <si>
    <t>Открытая (13.04.1988)/33</t>
  </si>
  <si>
    <t>42,80</t>
  </si>
  <si>
    <t xml:space="preserve">Боев В. </t>
  </si>
  <si>
    <t>Идиятуллина Алия</t>
  </si>
  <si>
    <t>Открытая (01.04.1990)/32</t>
  </si>
  <si>
    <t>43,60</t>
  </si>
  <si>
    <t>47,5</t>
  </si>
  <si>
    <t>Шевелкина Екатерина</t>
  </si>
  <si>
    <t>Открытая (05.07.1991)/30</t>
  </si>
  <si>
    <t>47,70</t>
  </si>
  <si>
    <t xml:space="preserve">Шарынкина С. </t>
  </si>
  <si>
    <t>Грибахо Оксана</t>
  </si>
  <si>
    <t>Открытая (30.12.1990)/31</t>
  </si>
  <si>
    <t>48,40</t>
  </si>
  <si>
    <t xml:space="preserve">Муратова А. </t>
  </si>
  <si>
    <t>Артемьева Ирина</t>
  </si>
  <si>
    <t>Открытая (26.09.1985)/36</t>
  </si>
  <si>
    <t xml:space="preserve">Иошин А. </t>
  </si>
  <si>
    <t>Фомичева Елена</t>
  </si>
  <si>
    <t>Открытая (15.03.1990)/32</t>
  </si>
  <si>
    <t>55,50</t>
  </si>
  <si>
    <t>Савельева Дарья</t>
  </si>
  <si>
    <t>Открытая (02.06.1994)/27</t>
  </si>
  <si>
    <t>55,40</t>
  </si>
  <si>
    <t>Жилина Яна</t>
  </si>
  <si>
    <t>Открытая (30.10.1990)/31</t>
  </si>
  <si>
    <t>53,90</t>
  </si>
  <si>
    <t>Дмитриева Наталья</t>
  </si>
  <si>
    <t>Открытая (27.03.1988)/34</t>
  </si>
  <si>
    <t>59,90</t>
  </si>
  <si>
    <t>Кочесокова Алина</t>
  </si>
  <si>
    <t>Открытая (22.09.1987)/34</t>
  </si>
  <si>
    <t>67,20</t>
  </si>
  <si>
    <t>Крынкина Ольга</t>
  </si>
  <si>
    <t>Открытая (24.06.1987)/34</t>
  </si>
  <si>
    <t>66,80</t>
  </si>
  <si>
    <t>Калченаева Светлана</t>
  </si>
  <si>
    <t>Открытая (18.07.1986)/35</t>
  </si>
  <si>
    <t>72,20</t>
  </si>
  <si>
    <t>Горская Наталия</t>
  </si>
  <si>
    <t>Открытая (16.12.1984)/37</t>
  </si>
  <si>
    <t>81,60</t>
  </si>
  <si>
    <t>Соловьева Ирина</t>
  </si>
  <si>
    <t>Мастера 40-49 (04.07.1981)/40</t>
  </si>
  <si>
    <t>85,80</t>
  </si>
  <si>
    <t>ВЕСОВАЯ КАТЕГОРИЯ   90+</t>
  </si>
  <si>
    <t>Орлова Александра</t>
  </si>
  <si>
    <t>Мастера 40-49 (15.09.1980)/41</t>
  </si>
  <si>
    <t>114,10</t>
  </si>
  <si>
    <t>Котов Глеб</t>
  </si>
  <si>
    <t>Юноши 14-16 (14.06.2011)/10</t>
  </si>
  <si>
    <t>43,80</t>
  </si>
  <si>
    <t xml:space="preserve">Дурандин С. </t>
  </si>
  <si>
    <t>Архипов Александр</t>
  </si>
  <si>
    <t>Юноши 14-16 (03.08.2012)/9</t>
  </si>
  <si>
    <t>51,10</t>
  </si>
  <si>
    <t>20,0</t>
  </si>
  <si>
    <t>22,5</t>
  </si>
  <si>
    <t>25,0</t>
  </si>
  <si>
    <t>Качалов Александр</t>
  </si>
  <si>
    <t>Юноши 14-16 (15.09.2008)/13</t>
  </si>
  <si>
    <t>54,20</t>
  </si>
  <si>
    <t xml:space="preserve">Докучаев К., Сюмайкин М. </t>
  </si>
  <si>
    <t>Орлов Владислав</t>
  </si>
  <si>
    <t>Юноши 14-16 (02.11.2005)/16</t>
  </si>
  <si>
    <t>Щербаков Иван</t>
  </si>
  <si>
    <t>Юноши 17-19 (26.09.2002)/19</t>
  </si>
  <si>
    <t>59,50</t>
  </si>
  <si>
    <t xml:space="preserve">Щербаков Е. </t>
  </si>
  <si>
    <t>Грешняков Артём</t>
  </si>
  <si>
    <t>Юноши 14-16 (03.11.2006)/15</t>
  </si>
  <si>
    <t>67,10</t>
  </si>
  <si>
    <t>Идрисов Мухамед</t>
  </si>
  <si>
    <t>Юноши 14-16 (27.06.2007)/14</t>
  </si>
  <si>
    <t>64,70</t>
  </si>
  <si>
    <t xml:space="preserve">Абдурахманов З. </t>
  </si>
  <si>
    <t>Быков Андрей</t>
  </si>
  <si>
    <t>Юноши 17-19 (08.02.2005)/17</t>
  </si>
  <si>
    <t>66,50</t>
  </si>
  <si>
    <t>Тагиров Икрам</t>
  </si>
  <si>
    <t>Юноши 17-19 (29.10.2003)/18</t>
  </si>
  <si>
    <t>65,40</t>
  </si>
  <si>
    <t>Храпко Сергей</t>
  </si>
  <si>
    <t>Юниоры (03.11.2000)/21</t>
  </si>
  <si>
    <t>65,90</t>
  </si>
  <si>
    <t>Достовалов Михаил</t>
  </si>
  <si>
    <t>Юниоры (28.09.2001)/20</t>
  </si>
  <si>
    <t>Айвазян Давид</t>
  </si>
  <si>
    <t>Открытая (14.05.1996)/25</t>
  </si>
  <si>
    <t>65,00</t>
  </si>
  <si>
    <t>Беспалов Дмитрий</t>
  </si>
  <si>
    <t>Юноши 14-16 (25.03.2006)/16</t>
  </si>
  <si>
    <t>Рамазанов Бугалдин</t>
  </si>
  <si>
    <t>Юноши 17-19 (26.09.2003)/18</t>
  </si>
  <si>
    <t>74,20</t>
  </si>
  <si>
    <t>Иванов Павел</t>
  </si>
  <si>
    <t>Открытая (21.06.1991)/30</t>
  </si>
  <si>
    <t>73,80</t>
  </si>
  <si>
    <t>Василевский Максим</t>
  </si>
  <si>
    <t>Открытая (03.03.1998)/24</t>
  </si>
  <si>
    <t xml:space="preserve">Дроздов К. </t>
  </si>
  <si>
    <t>Климов Григорий</t>
  </si>
  <si>
    <t>Открытая (26.11.1992)/29</t>
  </si>
  <si>
    <t>74,50</t>
  </si>
  <si>
    <t xml:space="preserve">Мазур Е. </t>
  </si>
  <si>
    <t>Седин Дмитрий</t>
  </si>
  <si>
    <t>Открытая (31.12.1995)/26</t>
  </si>
  <si>
    <t>Голосовский Михаил</t>
  </si>
  <si>
    <t>Открытая (29.10.1984)/37</t>
  </si>
  <si>
    <t>71,20</t>
  </si>
  <si>
    <t>Рябов Роман</t>
  </si>
  <si>
    <t>Открытая (26.12.1984)/37</t>
  </si>
  <si>
    <t>Титов Глеб</t>
  </si>
  <si>
    <t>Юноши 14-16 (24.09.2007)/14</t>
  </si>
  <si>
    <t>77,10</t>
  </si>
  <si>
    <t>Трикулич Владислав</t>
  </si>
  <si>
    <t>Юноши 14-16 (18.11.2006)/15</t>
  </si>
  <si>
    <t>79,30</t>
  </si>
  <si>
    <t>Меликеганов Шамиль</t>
  </si>
  <si>
    <t>Юниоры (27.08.1999)/22</t>
  </si>
  <si>
    <t xml:space="preserve">AZE/Баку </t>
  </si>
  <si>
    <t xml:space="preserve">Исмаилов А. </t>
  </si>
  <si>
    <t>Дороненко Кирилл</t>
  </si>
  <si>
    <t>Юниоры (18.01.2000)/22</t>
  </si>
  <si>
    <t>80,30</t>
  </si>
  <si>
    <t>Кожевников Алексей</t>
  </si>
  <si>
    <t>Открытая (20.12.1983)/38</t>
  </si>
  <si>
    <t>81,90</t>
  </si>
  <si>
    <t>Дробченко Евгений</t>
  </si>
  <si>
    <t>Открытая (05.10.1981)/40</t>
  </si>
  <si>
    <t>Машуков Андрей</t>
  </si>
  <si>
    <t>Открытая (16.09.1992)/29</t>
  </si>
  <si>
    <t>81,80</t>
  </si>
  <si>
    <t>Евсеев Николай</t>
  </si>
  <si>
    <t>Открытая (30.05.1985)/36</t>
  </si>
  <si>
    <t>80,00</t>
  </si>
  <si>
    <t>Ульянов Александр</t>
  </si>
  <si>
    <t>Открытая (20.07.1987)/34</t>
  </si>
  <si>
    <t>80,40</t>
  </si>
  <si>
    <t xml:space="preserve">Козлов А. </t>
  </si>
  <si>
    <t>Хисамутдинов Эдуард</t>
  </si>
  <si>
    <t>Открытая (04.08.1993)/28</t>
  </si>
  <si>
    <t>Мастера 40-49 (05.10.1981)/40</t>
  </si>
  <si>
    <t>Желябовский Дмитрий</t>
  </si>
  <si>
    <t>Мастера 40-49 (02.10.1978)/43</t>
  </si>
  <si>
    <t>81,10</t>
  </si>
  <si>
    <t>Воронов Александр</t>
  </si>
  <si>
    <t>Мастера 40-49 (25.12.1979)/42</t>
  </si>
  <si>
    <t>Максимов Андрей</t>
  </si>
  <si>
    <t>Открытая (21.12.1997)/24</t>
  </si>
  <si>
    <t>Грищенко Дмитрий</t>
  </si>
  <si>
    <t>Открытая (24.07.1994)/27</t>
  </si>
  <si>
    <t xml:space="preserve">Ильин Б. </t>
  </si>
  <si>
    <t>Лабутин Валерий</t>
  </si>
  <si>
    <t>Открытая (23.12.1979)/42</t>
  </si>
  <si>
    <t xml:space="preserve">Пантаев А. </t>
  </si>
  <si>
    <t>Добров Анатолий</t>
  </si>
  <si>
    <t>Открытая (14.06.1995)/26</t>
  </si>
  <si>
    <t>86,40</t>
  </si>
  <si>
    <t>Абульханов Андрей</t>
  </si>
  <si>
    <t>Открытая (29.05.1985)/36</t>
  </si>
  <si>
    <t>Никонов Денис</t>
  </si>
  <si>
    <t>Мастера 40-49 (21.03.1982)/40</t>
  </si>
  <si>
    <t>85,40</t>
  </si>
  <si>
    <t xml:space="preserve">Чекренев А. </t>
  </si>
  <si>
    <t>Мастера 40-49 (23.12.1979)/42</t>
  </si>
  <si>
    <t>Клименко Владимир</t>
  </si>
  <si>
    <t>Мастера 70-79 (12.03.1945)/77</t>
  </si>
  <si>
    <t>Никипелов Никита</t>
  </si>
  <si>
    <t>Юниоры (10.11.1998)/23</t>
  </si>
  <si>
    <t>97,20</t>
  </si>
  <si>
    <t>Исмоилов Джовидон</t>
  </si>
  <si>
    <t>Открытая (21.07.1998)/23</t>
  </si>
  <si>
    <t>98,70</t>
  </si>
  <si>
    <t xml:space="preserve">TJK/Вандж </t>
  </si>
  <si>
    <t>211,5</t>
  </si>
  <si>
    <t>Богачев Андрей</t>
  </si>
  <si>
    <t>Открытая (29.04.1994)/27</t>
  </si>
  <si>
    <t>99,80</t>
  </si>
  <si>
    <t>Котиев Ризван</t>
  </si>
  <si>
    <t>Открытая (31.07.1990)/31</t>
  </si>
  <si>
    <t>99,50</t>
  </si>
  <si>
    <t>Родионов Евгений</t>
  </si>
  <si>
    <t>Открытая (02.10.1985)/36</t>
  </si>
  <si>
    <t>93,40</t>
  </si>
  <si>
    <t>Чумаков Геннадий</t>
  </si>
  <si>
    <t>Открытая (31.01.1986)/36</t>
  </si>
  <si>
    <t>97,80</t>
  </si>
  <si>
    <t xml:space="preserve">Суший И. </t>
  </si>
  <si>
    <t>Алексеенко Максим</t>
  </si>
  <si>
    <t>Открытая (17.09.1997)/24</t>
  </si>
  <si>
    <t>Иванцов Олег</t>
  </si>
  <si>
    <t>Открытая (29.07.1982)/39</t>
  </si>
  <si>
    <t>96,60</t>
  </si>
  <si>
    <t>Таперечкин Дмитрий</t>
  </si>
  <si>
    <t>Открытая (19.02.1982)/40</t>
  </si>
  <si>
    <t>Климанов Игорь</t>
  </si>
  <si>
    <t>Мастера 40-49 (30.07.1974)/47</t>
  </si>
  <si>
    <t>Вытришков Вячеслав</t>
  </si>
  <si>
    <t>Мастера 40-49 (08.10.1978)/43</t>
  </si>
  <si>
    <t>98,60</t>
  </si>
  <si>
    <t>Шамин Георгий</t>
  </si>
  <si>
    <t>Юноши 14-16 (02.10.2007)/14</t>
  </si>
  <si>
    <t>104,70</t>
  </si>
  <si>
    <t>Мельников Максим</t>
  </si>
  <si>
    <t>Юниоры (17.03.2001)/21</t>
  </si>
  <si>
    <t>103,40</t>
  </si>
  <si>
    <t>Колян Егор</t>
  </si>
  <si>
    <t>Юниоры (25.11.2000)/21</t>
  </si>
  <si>
    <t>106,30</t>
  </si>
  <si>
    <t xml:space="preserve">Абдуллин М. </t>
  </si>
  <si>
    <t>Спирин Андрей</t>
  </si>
  <si>
    <t>Юниоры (04.01.2002)/20</t>
  </si>
  <si>
    <t>109,00</t>
  </si>
  <si>
    <t>Швецов Сергей</t>
  </si>
  <si>
    <t>Открытая (02.03.1987)/35</t>
  </si>
  <si>
    <t>109,80</t>
  </si>
  <si>
    <t>Лукичев Василий</t>
  </si>
  <si>
    <t>Мастера 40-49 (05.02.1980)/42</t>
  </si>
  <si>
    <t>Яковенко Владимир</t>
  </si>
  <si>
    <t>Мастера 60-69 (27.03.1959)/63</t>
  </si>
  <si>
    <t>108,40</t>
  </si>
  <si>
    <t xml:space="preserve">Савин К. </t>
  </si>
  <si>
    <t>Усков Георгий</t>
  </si>
  <si>
    <t>Открытая (16.09.1983)/38</t>
  </si>
  <si>
    <t>121,20</t>
  </si>
  <si>
    <t>Mesbahi Naser</t>
  </si>
  <si>
    <t>Мастера 50-59 (15.02.1965)/57</t>
  </si>
  <si>
    <t>114,40</t>
  </si>
  <si>
    <t>Чубаров Владимир</t>
  </si>
  <si>
    <t>Мастера 50-59 (03.04.1964)/57</t>
  </si>
  <si>
    <t>133,40</t>
  </si>
  <si>
    <t>79,2050</t>
  </si>
  <si>
    <t>78,9780</t>
  </si>
  <si>
    <t>44</t>
  </si>
  <si>
    <t>78,8590</t>
  </si>
  <si>
    <t>100,9795</t>
  </si>
  <si>
    <t>81,9420</t>
  </si>
  <si>
    <t>79,1100</t>
  </si>
  <si>
    <t>112,0335</t>
  </si>
  <si>
    <t>102,8430</t>
  </si>
  <si>
    <t>97,7880</t>
  </si>
  <si>
    <t>128,4780</t>
  </si>
  <si>
    <t>127,9110</t>
  </si>
  <si>
    <t>124,4865</t>
  </si>
  <si>
    <t>150,8270</t>
  </si>
  <si>
    <t>127,8096</t>
  </si>
  <si>
    <t>112,9783</t>
  </si>
  <si>
    <t>Зализецкий Степан</t>
  </si>
  <si>
    <t>Открытая (01.04.1997)/25</t>
  </si>
  <si>
    <t>73,70</t>
  </si>
  <si>
    <t>212,5</t>
  </si>
  <si>
    <t>Проскурин Дмитрий</t>
  </si>
  <si>
    <t>Открытая (24.06.1994)/27</t>
  </si>
  <si>
    <t>89,90</t>
  </si>
  <si>
    <t xml:space="preserve">Белянин Э. </t>
  </si>
  <si>
    <t>Открытая (21.03.1982)/40</t>
  </si>
  <si>
    <t>Евдокимов Иван</t>
  </si>
  <si>
    <t>Мастера 50-59 (23.02.1964)/58</t>
  </si>
  <si>
    <t>87,10</t>
  </si>
  <si>
    <t>Ли Владимир</t>
  </si>
  <si>
    <t>Мастера 70-79 (16.10.1951)/70</t>
  </si>
  <si>
    <t>92,20</t>
  </si>
  <si>
    <t>Гамаев Александр</t>
  </si>
  <si>
    <t>Открытая (06.02.1983)/39</t>
  </si>
  <si>
    <t>106,20</t>
  </si>
  <si>
    <t>Крутиков Алексей</t>
  </si>
  <si>
    <t>Открытая (07.05.1993)/28</t>
  </si>
  <si>
    <t>110,50</t>
  </si>
  <si>
    <t>Абдуллаев Малик</t>
  </si>
  <si>
    <t>Мастера 40-49 (29.09.1977)/44</t>
  </si>
  <si>
    <t xml:space="preserve">Исраилов А </t>
  </si>
  <si>
    <t>Лукин Юрий</t>
  </si>
  <si>
    <t>Карев Владимир</t>
  </si>
  <si>
    <t>Мастера 70-79 (18.12.1948)/73</t>
  </si>
  <si>
    <t>75,60</t>
  </si>
  <si>
    <t>Максимкин Даниил</t>
  </si>
  <si>
    <t>Открытая (07.08.1992)/29</t>
  </si>
  <si>
    <t>107,00</t>
  </si>
  <si>
    <t xml:space="preserve">Мамедов Э. </t>
  </si>
  <si>
    <t>Исраилов Арби</t>
  </si>
  <si>
    <t>Мастера 50-59 (20.07.1968)/53</t>
  </si>
  <si>
    <t>124,00</t>
  </si>
  <si>
    <t>Гансовский Владислав</t>
  </si>
  <si>
    <t>Мастера 40-49 (29.11.1977)/44</t>
  </si>
  <si>
    <t>79,10</t>
  </si>
  <si>
    <t xml:space="preserve">Кровиков А. </t>
  </si>
  <si>
    <t>Кровиков Александр</t>
  </si>
  <si>
    <t>Мастера 60-69 (26.09.1961)/60</t>
  </si>
  <si>
    <t>93,60</t>
  </si>
  <si>
    <t>Краснобаев Даниил</t>
  </si>
  <si>
    <t>Мастера 40-49 (18.05.1981)/40</t>
  </si>
  <si>
    <t>78,60</t>
  </si>
  <si>
    <t>Петров Павел</t>
  </si>
  <si>
    <t>Открытая (16.02.1991)/31</t>
  </si>
  <si>
    <t xml:space="preserve">Рэй Д. </t>
  </si>
  <si>
    <t>Корж Алексей</t>
  </si>
  <si>
    <t>Открытая (20.04.1991)/30</t>
  </si>
  <si>
    <t>Дмитриев Иван</t>
  </si>
  <si>
    <t>Открытая (11.06.1970)/51</t>
  </si>
  <si>
    <t>96,30</t>
  </si>
  <si>
    <t>Ржановский Александр</t>
  </si>
  <si>
    <t>Открытая (30.03.1994)/28</t>
  </si>
  <si>
    <t>Мастера 50-59 (11.06.1970)/51</t>
  </si>
  <si>
    <t>Крамсков Алексей</t>
  </si>
  <si>
    <t>Открытая (12.01.1994)/28</t>
  </si>
  <si>
    <t>120,30</t>
  </si>
  <si>
    <t>120,20</t>
  </si>
  <si>
    <t>Пермяков Сергей</t>
  </si>
  <si>
    <t>Открытая (09.09.1983)/38</t>
  </si>
  <si>
    <t>133,70</t>
  </si>
  <si>
    <t>350,0</t>
  </si>
  <si>
    <t>224,8080</t>
  </si>
  <si>
    <t>197,0150</t>
  </si>
  <si>
    <t>187,0358</t>
  </si>
  <si>
    <t>Зубарева Мария</t>
  </si>
  <si>
    <t>Девушки 14-16 (27.07.2011)/10</t>
  </si>
  <si>
    <t>42,00</t>
  </si>
  <si>
    <t>Монова Анастасия</t>
  </si>
  <si>
    <t>Девушки 14-16 (22.04.2007)/14</t>
  </si>
  <si>
    <t>Проневская Виктория</t>
  </si>
  <si>
    <t>Открытая (27.02.1997)/25</t>
  </si>
  <si>
    <t>47,00</t>
  </si>
  <si>
    <t xml:space="preserve">Батов О. </t>
  </si>
  <si>
    <t>Гулько Анна</t>
  </si>
  <si>
    <t>Девушки 17-19 (04.11.2004)/17</t>
  </si>
  <si>
    <t>50,20</t>
  </si>
  <si>
    <t xml:space="preserve">Шершков И. </t>
  </si>
  <si>
    <t>Вавилкина Галина</t>
  </si>
  <si>
    <t>Мастера 50-59 (25.04.1971)/50</t>
  </si>
  <si>
    <t>51,20</t>
  </si>
  <si>
    <t>Басина Алёна</t>
  </si>
  <si>
    <t>Девушки 17-19 (05.02.2003)/19</t>
  </si>
  <si>
    <t>58,90</t>
  </si>
  <si>
    <t>Мякишева Галина</t>
  </si>
  <si>
    <t>Открытая (05.11.1983)/38</t>
  </si>
  <si>
    <t>59,80</t>
  </si>
  <si>
    <t>Куренкова Виктория</t>
  </si>
  <si>
    <t>Открытая (09.05.1990)/31</t>
  </si>
  <si>
    <t xml:space="preserve">Синицин Н </t>
  </si>
  <si>
    <t>Вышинский Никита</t>
  </si>
  <si>
    <t>Юноши 14-16 (30.11.2007)/14</t>
  </si>
  <si>
    <t>Тарасов Артемий</t>
  </si>
  <si>
    <t>Юноши 14-16 (07.09.2012)/9</t>
  </si>
  <si>
    <t>72,30</t>
  </si>
  <si>
    <t>Егоров Кирилл</t>
  </si>
  <si>
    <t>Юноши 17-19 (11.08.2004)/17</t>
  </si>
  <si>
    <t>Ступин Максим</t>
  </si>
  <si>
    <t>Открытая (22.03.1988)/34</t>
  </si>
  <si>
    <t>Сошев Павел</t>
  </si>
  <si>
    <t>Открытая (12.07.1990)/31</t>
  </si>
  <si>
    <t>73,60</t>
  </si>
  <si>
    <t>Бобочонов Умедчон</t>
  </si>
  <si>
    <t>Юноши 17-19 (11.04.2003)/18</t>
  </si>
  <si>
    <t>Денисов Денис</t>
  </si>
  <si>
    <t>Открытая (27.10.1993)/28</t>
  </si>
  <si>
    <t>Ванякин Андрей</t>
  </si>
  <si>
    <t>Открытая (24.05.1995)/26</t>
  </si>
  <si>
    <t xml:space="preserve">Самойлов М. </t>
  </si>
  <si>
    <t>Щемелев Владимир</t>
  </si>
  <si>
    <t>Мастера 60-69 (02.04.1961)/61</t>
  </si>
  <si>
    <t>Рыбалка Юрий</t>
  </si>
  <si>
    <t>Открытая (27.06.1991)/30</t>
  </si>
  <si>
    <t>Иванов Данил</t>
  </si>
  <si>
    <t>Юноши 17-19 (13.10.2004)/17</t>
  </si>
  <si>
    <t>Подъячев Алексей</t>
  </si>
  <si>
    <t>Открытая (21.11.1994)/27</t>
  </si>
  <si>
    <t>99,40</t>
  </si>
  <si>
    <t>Дурандин Сергей</t>
  </si>
  <si>
    <t>Мастера 40-49 (04.05.1974)/47</t>
  </si>
  <si>
    <t>99,30</t>
  </si>
  <si>
    <t>Мурзаков Василий</t>
  </si>
  <si>
    <t>Открытая (01.08.1985)/36</t>
  </si>
  <si>
    <t>108,70</t>
  </si>
  <si>
    <t xml:space="preserve">Кравченко Е. </t>
  </si>
  <si>
    <t>Дихтярь Артем</t>
  </si>
  <si>
    <t>Открытая (09.12.1985)/36</t>
  </si>
  <si>
    <t>110,00</t>
  </si>
  <si>
    <t>Новицкий Александр</t>
  </si>
  <si>
    <t>Открытая (15.02.1989)/33</t>
  </si>
  <si>
    <t>108,30</t>
  </si>
  <si>
    <t>Таргонский Чеслав</t>
  </si>
  <si>
    <t>Мастера 60-69 (06.01.1958)/64</t>
  </si>
  <si>
    <t>103,10</t>
  </si>
  <si>
    <t>Мартьянов Кирилл</t>
  </si>
  <si>
    <t>Открытая (13.10.1990)/31</t>
  </si>
  <si>
    <t>126,50</t>
  </si>
  <si>
    <t>Воробьёв Сергей</t>
  </si>
  <si>
    <t>Мастера 40-49 (25.05.1974)/47</t>
  </si>
  <si>
    <t>126,80</t>
  </si>
  <si>
    <t>166,3838</t>
  </si>
  <si>
    <t>56</t>
  </si>
  <si>
    <t>153,1790</t>
  </si>
  <si>
    <t>148,1085</t>
  </si>
  <si>
    <t>182,4930</t>
  </si>
  <si>
    <t>176,6600</t>
  </si>
  <si>
    <t>175,5600</t>
  </si>
  <si>
    <t>Мухин Всеволод</t>
  </si>
  <si>
    <t>Юноши 14-16 (16.01.2009)/13</t>
  </si>
  <si>
    <t>55,70</t>
  </si>
  <si>
    <t>Гребнева Наталья</t>
  </si>
  <si>
    <t>Открытая (30.09.1984)/37</t>
  </si>
  <si>
    <t>53,00</t>
  </si>
  <si>
    <t>Усачева Анна</t>
  </si>
  <si>
    <t>Открытая (05.11.1992)/29</t>
  </si>
  <si>
    <t>73,00</t>
  </si>
  <si>
    <t>Воропаева Ольга</t>
  </si>
  <si>
    <t>Мастера 50-59 (15.07.1965)/56</t>
  </si>
  <si>
    <t>70,00</t>
  </si>
  <si>
    <t>Кравцов Артем</t>
  </si>
  <si>
    <t>Юноши 17-19 (19.11.2002)/19</t>
  </si>
  <si>
    <t>72,00</t>
  </si>
  <si>
    <t>Ершов Глеб</t>
  </si>
  <si>
    <t>Юниоры (31.05.1998)/23</t>
  </si>
  <si>
    <t>75,20</t>
  </si>
  <si>
    <t>Борисов Николай</t>
  </si>
  <si>
    <t>Мастера 60-69 (05.01.1962)/60</t>
  </si>
  <si>
    <t>Киржанов Дмитрий</t>
  </si>
  <si>
    <t>Открытая (28.06.1994)/27</t>
  </si>
  <si>
    <t>88,70</t>
  </si>
  <si>
    <t>Махров Сергей</t>
  </si>
  <si>
    <t>Мастера 60-69 (17.02.1957)/65</t>
  </si>
  <si>
    <t>Костенко Алексей</t>
  </si>
  <si>
    <t>Мастера 40-49 (26.02.1980)/42</t>
  </si>
  <si>
    <t xml:space="preserve">Друкер В. </t>
  </si>
  <si>
    <t>Левенец Евгений</t>
  </si>
  <si>
    <t>Открытая (01.01.1992)/30</t>
  </si>
  <si>
    <t>104,20</t>
  </si>
  <si>
    <t>67,00</t>
  </si>
  <si>
    <t>Володин Денис</t>
  </si>
  <si>
    <t>Открытая (15.07.1994)/27</t>
  </si>
  <si>
    <t>63,0</t>
  </si>
  <si>
    <t>Jaroslavs Matjuhins</t>
  </si>
  <si>
    <t>Открытая (04.07.1992)/29</t>
  </si>
  <si>
    <t>86,90</t>
  </si>
  <si>
    <t xml:space="preserve">LVA/Salaspils </t>
  </si>
  <si>
    <t>27,5</t>
  </si>
  <si>
    <t>Седакова Анастасия</t>
  </si>
  <si>
    <t>Открытая (11.12.1987)/34</t>
  </si>
  <si>
    <t>51,80</t>
  </si>
  <si>
    <t>Зацепин Матвей</t>
  </si>
  <si>
    <t>60,00</t>
  </si>
  <si>
    <t xml:space="preserve">Химченко А. </t>
  </si>
  <si>
    <t>Крищук Олег</t>
  </si>
  <si>
    <t>Открытая (29.05.1975)/46</t>
  </si>
  <si>
    <t>Большаков Алексей</t>
  </si>
  <si>
    <t>Киселев Кирилл</t>
  </si>
  <si>
    <t>Качалин Андрей</t>
  </si>
  <si>
    <t>Открытая (14.10.1997)/24</t>
  </si>
  <si>
    <t>73,95</t>
  </si>
  <si>
    <t>83,5</t>
  </si>
  <si>
    <t>Блинов Максим</t>
  </si>
  <si>
    <t>Открытая (29.12.1988)/33</t>
  </si>
  <si>
    <t>69,90</t>
  </si>
  <si>
    <t>Дуров Сергей</t>
  </si>
  <si>
    <t>69,5</t>
  </si>
  <si>
    <t>Козупица Константин</t>
  </si>
  <si>
    <t>79,80</t>
  </si>
  <si>
    <t>Поляков Владислав</t>
  </si>
  <si>
    <t>Пенько Константин</t>
  </si>
  <si>
    <t>78,70</t>
  </si>
  <si>
    <t>Бенгардт Антон</t>
  </si>
  <si>
    <t>Открытая (15.01.1990)/32</t>
  </si>
  <si>
    <t>Адар Дэниз</t>
  </si>
  <si>
    <t>91,20</t>
  </si>
  <si>
    <t>Медведев Данила</t>
  </si>
  <si>
    <t>83,0</t>
  </si>
  <si>
    <t>86,0</t>
  </si>
  <si>
    <t xml:space="preserve">Никитченко С. </t>
  </si>
  <si>
    <t>Щеблицкий Дмитрий</t>
  </si>
  <si>
    <t>95,20</t>
  </si>
  <si>
    <t>Чибисов Степан</t>
  </si>
  <si>
    <t>Открытая (06.03.1989)/33</t>
  </si>
  <si>
    <t>Открытая (16.06.1999)/22</t>
  </si>
  <si>
    <t>Финохин Алексей</t>
  </si>
  <si>
    <t>96,20</t>
  </si>
  <si>
    <t>Егоров Анатолий</t>
  </si>
  <si>
    <t>Мастера 60+ (12.11.1941)/80</t>
  </si>
  <si>
    <t>94,80</t>
  </si>
  <si>
    <t>Назаров Максим</t>
  </si>
  <si>
    <t>107,20</t>
  </si>
  <si>
    <t>56,7221</t>
  </si>
  <si>
    <t>55,6640</t>
  </si>
  <si>
    <t>54,5772</t>
  </si>
  <si>
    <t>58,2885</t>
  </si>
  <si>
    <t>Лукина Ксения</t>
  </si>
  <si>
    <t>30,70</t>
  </si>
  <si>
    <t>24,0</t>
  </si>
  <si>
    <t>Помогаева Елена</t>
  </si>
  <si>
    <t>Открытая (07.07.1981)/40</t>
  </si>
  <si>
    <t>59,30</t>
  </si>
  <si>
    <t>Зацепин Дмитрий</t>
  </si>
  <si>
    <t>66,10</t>
  </si>
  <si>
    <t>Крюков Максим</t>
  </si>
  <si>
    <t>61,80</t>
  </si>
  <si>
    <t>Колесников Василий</t>
  </si>
  <si>
    <t>Открытая (17.02.1994)/28</t>
  </si>
  <si>
    <t>Тертыш Андрей</t>
  </si>
  <si>
    <t>Открытая (18.02.1980)/42</t>
  </si>
  <si>
    <t>Шкалев Сергей</t>
  </si>
  <si>
    <t>Чугунов Костя</t>
  </si>
  <si>
    <t xml:space="preserve">Медведева Е. </t>
  </si>
  <si>
    <t>Селиверстов Максим</t>
  </si>
  <si>
    <t>Открытая (27.08.1988)/33</t>
  </si>
  <si>
    <t>74,00</t>
  </si>
  <si>
    <t>Алексеев Андрей</t>
  </si>
  <si>
    <t>82,10</t>
  </si>
  <si>
    <t xml:space="preserve">Агапов Д. </t>
  </si>
  <si>
    <t>Марченко Арсений</t>
  </si>
  <si>
    <t>Бырька Александр</t>
  </si>
  <si>
    <t>Калинин Даниил</t>
  </si>
  <si>
    <t>Кувшинов Роман</t>
  </si>
  <si>
    <t>Открытая (25.01.1990)/32</t>
  </si>
  <si>
    <t>77,0</t>
  </si>
  <si>
    <t>Аюпов Арсен</t>
  </si>
  <si>
    <t>Таньчев Алексей</t>
  </si>
  <si>
    <t>85,50</t>
  </si>
  <si>
    <t>Мельяновский Александр</t>
  </si>
  <si>
    <t>Открытая (05.04.1978)/43</t>
  </si>
  <si>
    <t>87,60</t>
  </si>
  <si>
    <t>Косьянов Павел</t>
  </si>
  <si>
    <t>Открытая (31.08.1994)/27</t>
  </si>
  <si>
    <t>89,40</t>
  </si>
  <si>
    <t>84,0</t>
  </si>
  <si>
    <t>Барбье Александр</t>
  </si>
  <si>
    <t>Открытая (25.08.1976)/45</t>
  </si>
  <si>
    <t>87,20</t>
  </si>
  <si>
    <t>Тактаров Сергей</t>
  </si>
  <si>
    <t>Открытая (24.11.1990)/31</t>
  </si>
  <si>
    <t>Литвинов Вадим</t>
  </si>
  <si>
    <t>Филатов Василий</t>
  </si>
  <si>
    <t>Пономарев Владислав</t>
  </si>
  <si>
    <t>93,20</t>
  </si>
  <si>
    <t>Открытая (08.07.1998)/23</t>
  </si>
  <si>
    <t>Шмаков Сергей</t>
  </si>
  <si>
    <t>92,90</t>
  </si>
  <si>
    <t>Молчаков Алексей</t>
  </si>
  <si>
    <t>Открытая (12.03.1992)/30</t>
  </si>
  <si>
    <t>116,00</t>
  </si>
  <si>
    <t>42,0323</t>
  </si>
  <si>
    <t>40,9727</t>
  </si>
  <si>
    <t>39,7703</t>
  </si>
  <si>
    <t>51,5720</t>
  </si>
  <si>
    <t>50,9744</t>
  </si>
  <si>
    <t>53,1708</t>
  </si>
  <si>
    <t>47,6768</t>
  </si>
  <si>
    <t>56,00</t>
  </si>
  <si>
    <t xml:space="preserve">Кленин М. </t>
  </si>
  <si>
    <t>30,0</t>
  </si>
  <si>
    <t>Мерзон Ева</t>
  </si>
  <si>
    <t>Открытая (10.10.1991)/30</t>
  </si>
  <si>
    <t>Данилова Елена</t>
  </si>
  <si>
    <t>Открытая (13.05.1983)/38</t>
  </si>
  <si>
    <t>Егорушкина Надежда</t>
  </si>
  <si>
    <t>Мастера 70-79 (14.07.1947)/74</t>
  </si>
  <si>
    <t>Жирнов Никита</t>
  </si>
  <si>
    <t>74,90</t>
  </si>
  <si>
    <t>136,0</t>
  </si>
  <si>
    <t xml:space="preserve">Кашицын Д. </t>
  </si>
  <si>
    <t>Открытая (09.03.2003)/19</t>
  </si>
  <si>
    <t>Горюнов Артем</t>
  </si>
  <si>
    <t>Открытая (27.08.1983)/38</t>
  </si>
  <si>
    <t>104,90</t>
  </si>
  <si>
    <t>Юноши 13-19 (09.03.2003)/19</t>
  </si>
  <si>
    <t xml:space="preserve">Юноши 13-19 </t>
  </si>
  <si>
    <t>Девушки 13-19 (28.04.2011)/10</t>
  </si>
  <si>
    <t>Мастера 40-49 (07.07.1981)/40</t>
  </si>
  <si>
    <t>Мастера 40-49 (29.05.1975)/46</t>
  </si>
  <si>
    <t>Юноши 13-19 (20.01.2004)/18</t>
  </si>
  <si>
    <t>Юноши 13-19 (08.02.2006)/16</t>
  </si>
  <si>
    <t>Мастера 40-49 (18.02.1980)/42</t>
  </si>
  <si>
    <t>Мастера 40-49 (25.09.1976)/45</t>
  </si>
  <si>
    <t>Юноши 13-19 (14.08.2006)/15</t>
  </si>
  <si>
    <t>Юноши 13-19 (17.06.2004)/17</t>
  </si>
  <si>
    <t>Юноши 13-19 (07.06.2004)/17</t>
  </si>
  <si>
    <t>Юноши 13-19 (30.06.2006)/15</t>
  </si>
  <si>
    <t>Юниоры 20-23 (09.06.1999)/22</t>
  </si>
  <si>
    <t>Мастера 40-49 (20.12.1980)/41</t>
  </si>
  <si>
    <t>Юноши 13-19 (22.11.2003)/18</t>
  </si>
  <si>
    <t>Юноши 13-19 (22.12.2003)/18</t>
  </si>
  <si>
    <t>Мастера 40-49 (05.04.1978)/43</t>
  </si>
  <si>
    <t>Мастера 40-49 (25.08.1976)/45</t>
  </si>
  <si>
    <t>Мастера 40-49 (01.07.1974)/47</t>
  </si>
  <si>
    <t>Юниоры 20-23 (08.07.1998)/23</t>
  </si>
  <si>
    <t>Юниоры 20-23 (17.05.2001)/20</t>
  </si>
  <si>
    <t>Мастера 40-49 (20.02.1977)/45</t>
  </si>
  <si>
    <t>Мастера 50-59 (12.03.1965)/57</t>
  </si>
  <si>
    <t>Юноши 13-19 (28.08.2004)/17</t>
  </si>
  <si>
    <t>Юноши 13-19 (23.08.2006)/15</t>
  </si>
  <si>
    <t>Юниоры 20-23 (29.05.1999)/22</t>
  </si>
  <si>
    <t>Мастера 40-49 (08.09.1974)/47</t>
  </si>
  <si>
    <t>Юниоры 20-23 (30.12.1999)/22</t>
  </si>
  <si>
    <t>Юниоры 20-23 (05.07.2000)/21</t>
  </si>
  <si>
    <t>Мастера 50-59 (10.05.1962)/59</t>
  </si>
  <si>
    <t>Юноши 13-19 (21.04.2004)/17</t>
  </si>
  <si>
    <t>Юниоры 20-23 (26.03.2001)/21</t>
  </si>
  <si>
    <t>Юниоры 20-23 (16.06.1999)/22</t>
  </si>
  <si>
    <t>Юноши 13-19 (08.05.2002)/19</t>
  </si>
  <si>
    <t xml:space="preserve">Пенько К. </t>
  </si>
  <si>
    <t xml:space="preserve">Волков Н. </t>
  </si>
  <si>
    <t xml:space="preserve">Лукин М. </t>
  </si>
  <si>
    <t>Весовая категория</t>
  </si>
  <si>
    <t xml:space="preserve">Медведев К. </t>
  </si>
  <si>
    <t xml:space="preserve">Тагиев Н. </t>
  </si>
  <si>
    <t xml:space="preserve">Воропаева О. </t>
  </si>
  <si>
    <t>Самостоятельно</t>
  </si>
  <si>
    <t xml:space="preserve">Салахетдинов Э. </t>
  </si>
  <si>
    <t xml:space="preserve">Синицин Н. </t>
  </si>
  <si>
    <t xml:space="preserve">Мякишев С. </t>
  </si>
  <si>
    <t xml:space="preserve">Дмитриев И. </t>
  </si>
  <si>
    <t xml:space="preserve">Глушнёв А. </t>
  </si>
  <si>
    <t xml:space="preserve">Пальтов В. </t>
  </si>
  <si>
    <t xml:space="preserve">Телидис К. </t>
  </si>
  <si>
    <t xml:space="preserve">Исраилов А. </t>
  </si>
  <si>
    <t xml:space="preserve">Тукаев А. </t>
  </si>
  <si>
    <t xml:space="preserve">Федорец М. </t>
  </si>
  <si>
    <t xml:space="preserve">Наршиев Б. </t>
  </si>
  <si>
    <t xml:space="preserve">Данилова Е. </t>
  </si>
  <si>
    <t xml:space="preserve">Максимов Р. </t>
  </si>
  <si>
    <t xml:space="preserve">Гончаров В. </t>
  </si>
  <si>
    <t xml:space="preserve">Кафаш М. </t>
  </si>
  <si>
    <t xml:space="preserve">Фальковский О. </t>
  </si>
  <si>
    <t xml:space="preserve">Решетник К. </t>
  </si>
  <si>
    <t xml:space="preserve">Дорошина Я. </t>
  </si>
  <si>
    <t xml:space="preserve">Александр Н. </t>
  </si>
  <si>
    <t xml:space="preserve">Костенко А. </t>
  </si>
  <si>
    <t xml:space="preserve">Сидельников М. </t>
  </si>
  <si>
    <t xml:space="preserve">Панферова М., Коротков М. </t>
  </si>
  <si>
    <t xml:space="preserve">Коновалов С. </t>
  </si>
  <si>
    <t xml:space="preserve">Петросян А. </t>
  </si>
  <si>
    <t xml:space="preserve">Абдулин М. </t>
  </si>
  <si>
    <t xml:space="preserve">Бурлаков М. </t>
  </si>
  <si>
    <t xml:space="preserve">Головатюк С. </t>
  </si>
  <si>
    <t xml:space="preserve">Рощупкин А. </t>
  </si>
  <si>
    <t xml:space="preserve">Гончаров М. </t>
  </si>
  <si>
    <t xml:space="preserve">Матвеев С. </t>
  </si>
  <si>
    <t>Открытый Чемпионат Европы
WRPF Пауэрлифтинг без экипировки ДК
Долгопрудный/Московская область, 02-03 апреля 2022 года</t>
  </si>
  <si>
    <t>Открытый Чемпионат Европы
WRPF Пауэрлифтинг без экипировки
Долгопрудный/Московская область, 02-03 апреля 2022 года</t>
  </si>
  <si>
    <t>Открытый Чемпионат Европы
WRPF Пауэрлифтинг классический в бинтах ДК
Долгопрудный/Московская область, 02-03 апреля 2022 года</t>
  </si>
  <si>
    <t>Открытый Чемпионат Европы
WRPF Пауэрлифтинг классический в бинтах
Долгопрудный/Московская область, 02-03 апреля 2022 года</t>
  </si>
  <si>
    <t>Открытый Чемпионат Европы
WRPF Силовое двоеборье без экипировки ДК
Долгопрудный/Московская область, 02-03 апреля 2022 года</t>
  </si>
  <si>
    <t>Открытый Чемпионат Европы
WRPF Силовое двоеборье без экипировки
Долгопрудный/Московская область, 02-03 апреля 2022 года</t>
  </si>
  <si>
    <t>Открытый Чемпионат Европы
WRPF Жим лежа без экипировки ДК
Долгопрудный/Московская область, 02-03 апреля 2022 года</t>
  </si>
  <si>
    <t>Открытый Чемпионат Европы
WRPF Жим лежа без экипировки
Долгопрудный/Московская область, 02-03 апреля 2022 года</t>
  </si>
  <si>
    <t>Открытый Чемпионат Европы
WEPF Жим лежа в однослойной экипировке ДК
Долгопрудный/Московская область, 02-03 апреля 2022 года</t>
  </si>
  <si>
    <t>Открытый Чемпионат Европы
WEPF Жим лежа в однослойной экипировке
Долгопрудный/Московская область, 02-03 апреля 2022 года</t>
  </si>
  <si>
    <t>Открытый Чемпионат Европы
WEPF Жим лежа в многослойной экипировке ДК
Долгопрудный/Московская область, 02-03 апреля 2022 года</t>
  </si>
  <si>
    <t>Открытый Чемпионат Европы
WEPF Жим лежа в многослойной экипировке
Долгопрудный/Московская область, 02-03 апреля 2022 года</t>
  </si>
  <si>
    <t>Открытый Чемпионат Европы
WEPF Жим лежа в однопетельной софт экипировке ДК
Долгопрудный/Московская область, 02-03 апреля 2022 года</t>
  </si>
  <si>
    <t>Открытый Чемпионат Европы
WEPF Жим лежа в однопетельной софт экипировке
Долгопрудный/Московская область, 02-03 апреля 2022 года</t>
  </si>
  <si>
    <t>Открытый Чемпионат Европы
WEPF Жим лежа в многопетельной софт экипировке ДК
Долгопрудный/Московская область, 02-03 апреля 2022 года</t>
  </si>
  <si>
    <t>Открытый Чемпионат Европы
WEPF Жим лежа в многопетельной софт экипировке
Долгопрудный/Московская область, 02-03 апреля 2022 года</t>
  </si>
  <si>
    <t>Открытый Чемпионат Европы
WRPF Военный жим лежа с ДК
Долгопрудный/Московская область, 02-03 апреля 2022 года</t>
  </si>
  <si>
    <t>Открытый Чемпионат Европы
WRPF Военный жим лежа
Долгопрудный/Московская область, 02-03 апреля 2022 года</t>
  </si>
  <si>
    <t>Открытый Чемпионат Европы
WRPF Жим лежа среди спортсменов с физическими особенностями
Долгопрудный/Московская область, 02-03 апреля 2022 года</t>
  </si>
  <si>
    <t>Открытый Чемпионат Европы
WRPF Становая тяга без экипировки ДК
Долгопрудный/Московская область, 02-03 апреля 2022 года</t>
  </si>
  <si>
    <t>Открытый Чемпионат Европы
WRPF Становая тяга без экипировки
Долгопрудный/Московская область, 02-03 апреля 2022 года</t>
  </si>
  <si>
    <t>Открытый Чемпионат Европы
WRPF Строгий подъем штанги на бицепс ДК
Долгопрудный/Московская область, 02-03 апреля 2022 года</t>
  </si>
  <si>
    <t>Открытый Чемпионат Европы
WRPF Строгий подъем штанги на бицепс
Долгопрудный/Московская область, 02-03 апреля 2022 года</t>
  </si>
  <si>
    <t>Жим</t>
  </si>
  <si>
    <t>№</t>
  </si>
  <si>
    <t xml:space="preserve">
Дата рождения/Возраст</t>
  </si>
  <si>
    <t>Возрастная группа</t>
  </si>
  <si>
    <t xml:space="preserve">Москва </t>
  </si>
  <si>
    <t xml:space="preserve">Нижний Новгород </t>
  </si>
  <si>
    <t xml:space="preserve">Михайловка </t>
  </si>
  <si>
    <t xml:space="preserve">Егорьевск </t>
  </si>
  <si>
    <t xml:space="preserve">Дмитров </t>
  </si>
  <si>
    <t xml:space="preserve">Пушкино </t>
  </si>
  <si>
    <t xml:space="preserve">Михнево </t>
  </si>
  <si>
    <t xml:space="preserve">Электросталь </t>
  </si>
  <si>
    <t xml:space="preserve">Тула </t>
  </si>
  <si>
    <t xml:space="preserve">Серпухов </t>
  </si>
  <si>
    <t xml:space="preserve">Зеленоград </t>
  </si>
  <si>
    <t xml:space="preserve">Снежинск </t>
  </si>
  <si>
    <t xml:space="preserve">Волгоград </t>
  </si>
  <si>
    <t xml:space="preserve">Астрахань </t>
  </si>
  <si>
    <t xml:space="preserve">Нахабино </t>
  </si>
  <si>
    <t xml:space="preserve">Протвино </t>
  </si>
  <si>
    <t xml:space="preserve">Ярославль </t>
  </si>
  <si>
    <t xml:space="preserve">Голицыно </t>
  </si>
  <si>
    <t xml:space="preserve">Набережные Челны </t>
  </si>
  <si>
    <t xml:space="preserve">Железнодорожный </t>
  </si>
  <si>
    <t xml:space="preserve">Липецк </t>
  </si>
  <si>
    <t xml:space="preserve">Новосибирск </t>
  </si>
  <si>
    <t xml:space="preserve">Пенза </t>
  </si>
  <si>
    <t xml:space="preserve">Долгопрудный </t>
  </si>
  <si>
    <t xml:space="preserve">Ижевск </t>
  </si>
  <si>
    <t xml:space="preserve">Ухта </t>
  </si>
  <si>
    <t xml:space="preserve">Люберцы </t>
  </si>
  <si>
    <t xml:space="preserve">Подольск </t>
  </si>
  <si>
    <t xml:space="preserve">Обнинск </t>
  </si>
  <si>
    <t xml:space="preserve">Баксан </t>
  </si>
  <si>
    <t xml:space="preserve">Собинка </t>
  </si>
  <si>
    <t xml:space="preserve">Истра </t>
  </si>
  <si>
    <t xml:space="preserve">Сергиев Посад </t>
  </si>
  <si>
    <t xml:space="preserve">Махачкала </t>
  </si>
  <si>
    <t xml:space="preserve">Куровское </t>
  </si>
  <si>
    <t xml:space="preserve">Духовщина </t>
  </si>
  <si>
    <t xml:space="preserve">Раменское </t>
  </si>
  <si>
    <t xml:space="preserve">Лобня </t>
  </si>
  <si>
    <t xml:space="preserve">Домодедово </t>
  </si>
  <si>
    <t xml:space="preserve">Саратов </t>
  </si>
  <si>
    <t xml:space="preserve">Дербент </t>
  </si>
  <si>
    <t xml:space="preserve">Балахна </t>
  </si>
  <si>
    <t xml:space="preserve">Солнечногорск </t>
  </si>
  <si>
    <t xml:space="preserve">Кострома </t>
  </si>
  <si>
    <t xml:space="preserve">Одинцово </t>
  </si>
  <si>
    <t xml:space="preserve">Ставрополь </t>
  </si>
  <si>
    <t xml:space="preserve">Сочи </t>
  </si>
  <si>
    <t xml:space="preserve">Фрязино </t>
  </si>
  <si>
    <t xml:space="preserve">Чехов </t>
  </si>
  <si>
    <t xml:space="preserve">Тверь </t>
  </si>
  <si>
    <t xml:space="preserve">Орёл </t>
  </si>
  <si>
    <t xml:space="preserve">Андреаполь </t>
  </si>
  <si>
    <t xml:space="preserve">Великие Луки </t>
  </si>
  <si>
    <t xml:space="preserve">Алкадар </t>
  </si>
  <si>
    <t xml:space="preserve">Кашира </t>
  </si>
  <si>
    <t xml:space="preserve">Тимашёвск </t>
  </si>
  <si>
    <t xml:space="preserve">Тюмень </t>
  </si>
  <si>
    <t xml:space="preserve">Мытищи </t>
  </si>
  <si>
    <t xml:space="preserve">Румянцево </t>
  </si>
  <si>
    <t xml:space="preserve">Королёв </t>
  </si>
  <si>
    <t xml:space="preserve">Красногорск </t>
  </si>
  <si>
    <t xml:space="preserve">Иркутск </t>
  </si>
  <si>
    <t xml:space="preserve">Реутов </t>
  </si>
  <si>
    <t xml:space="preserve">Оренбург </t>
  </si>
  <si>
    <t xml:space="preserve">Волгодонск </t>
  </si>
  <si>
    <t xml:space="preserve">Нягань </t>
  </si>
  <si>
    <t xml:space="preserve">Химки </t>
  </si>
  <si>
    <t xml:space="preserve">Дзержинский </t>
  </si>
  <si>
    <t xml:space="preserve">Балашиха </t>
  </si>
  <si>
    <t xml:space="preserve">Владимир </t>
  </si>
  <si>
    <t xml:space="preserve">Гусь-Хрустальный </t>
  </si>
  <si>
    <t xml:space="preserve">Можайск </t>
  </si>
  <si>
    <t xml:space="preserve">Брянск </t>
  </si>
  <si>
    <t xml:space="preserve">Кимры </t>
  </si>
  <si>
    <t xml:space="preserve">Северск </t>
  </si>
  <si>
    <t xml:space="preserve">Барнаул </t>
  </si>
  <si>
    <t xml:space="preserve">Дубна </t>
  </si>
  <si>
    <t xml:space="preserve">Рязань </t>
  </si>
  <si>
    <t xml:space="preserve">Первомайск </t>
  </si>
  <si>
    <t xml:space="preserve">Костерёво </t>
  </si>
  <si>
    <t xml:space="preserve">Пермь </t>
  </si>
  <si>
    <t xml:space="preserve">Тольятти </t>
  </si>
  <si>
    <t xml:space="preserve">Благовещенск </t>
  </si>
  <si>
    <t xml:space="preserve">Ликино-Дулёво </t>
  </si>
  <si>
    <t xml:space="preserve">Мичуринск </t>
  </si>
  <si>
    <t xml:space="preserve">Гатчина </t>
  </si>
  <si>
    <t xml:space="preserve">Муром </t>
  </si>
  <si>
    <t xml:space="preserve">Дзержинск </t>
  </si>
  <si>
    <t xml:space="preserve">Череповец </t>
  </si>
  <si>
    <t xml:space="preserve">Алтайское </t>
  </si>
  <si>
    <t xml:space="preserve">Горячий Ключ </t>
  </si>
  <si>
    <t xml:space="preserve">Новомосковск </t>
  </si>
  <si>
    <t xml:space="preserve">Новодвинск </t>
  </si>
  <si>
    <t xml:space="preserve">Зарайск </t>
  </si>
  <si>
    <t xml:space="preserve">Озёрск </t>
  </si>
  <si>
    <t xml:space="preserve">Мценск </t>
  </si>
  <si>
    <t xml:space="preserve">Сыктывкар </t>
  </si>
  <si>
    <t xml:space="preserve">Острогожск </t>
  </si>
  <si>
    <t xml:space="preserve">Смоленск </t>
  </si>
  <si>
    <t xml:space="preserve">Великий Новгород </t>
  </si>
  <si>
    <t xml:space="preserve">Белгород </t>
  </si>
  <si>
    <t xml:space="preserve">Черемхово </t>
  </si>
  <si>
    <t>O</t>
  </si>
  <si>
    <t>T2</t>
  </si>
  <si>
    <t>J</t>
  </si>
  <si>
    <t>M1</t>
  </si>
  <si>
    <t>M3</t>
  </si>
  <si>
    <t>M4</t>
  </si>
  <si>
    <t>M2</t>
  </si>
  <si>
    <t>T1</t>
  </si>
  <si>
    <t>Дата рождения/Возраст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</si>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</sst>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111"/>
  <sheetViews>
    <sheetView topLeftCell="A73" workbookViewId="0">
      <selection activeCell="E95" sqref="E95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3.5" style="5" bestFit="1" customWidth="1"/>
    <col min="7" max="13" width="5.5" style="6" customWidth="1"/>
    <col min="14" max="14" width="4.83203125" style="6" customWidth="1"/>
    <col min="15" max="18" width="5.5" style="6" customWidth="1"/>
    <col min="19" max="19" width="7.83203125" style="30" bestFit="1" customWidth="1"/>
    <col min="20" max="20" width="8.5" style="6" bestFit="1" customWidth="1"/>
    <col min="21" max="21" width="26.6640625" style="5" bestFit="1" customWidth="1"/>
    <col min="22" max="16384" width="9.1640625" style="3"/>
  </cols>
  <sheetData>
    <row r="1" spans="1:21" s="2" customFormat="1" ht="29" customHeight="1">
      <c r="A1" s="41" t="s">
        <v>1238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242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124</v>
      </c>
      <c r="B6" s="7" t="s">
        <v>243</v>
      </c>
      <c r="C6" s="7" t="s">
        <v>244</v>
      </c>
      <c r="D6" s="7" t="s">
        <v>245</v>
      </c>
      <c r="E6" s="7" t="s">
        <v>1367</v>
      </c>
      <c r="F6" s="7" t="s">
        <v>1265</v>
      </c>
      <c r="G6" s="20" t="s">
        <v>246</v>
      </c>
      <c r="H6" s="20" t="s">
        <v>247</v>
      </c>
      <c r="I6" s="21" t="s">
        <v>134</v>
      </c>
      <c r="J6" s="8"/>
      <c r="K6" s="20" t="s">
        <v>248</v>
      </c>
      <c r="L6" s="21" t="s">
        <v>249</v>
      </c>
      <c r="M6" s="21" t="s">
        <v>249</v>
      </c>
      <c r="N6" s="8"/>
      <c r="O6" s="20" t="s">
        <v>17</v>
      </c>
      <c r="P6" s="20" t="s">
        <v>250</v>
      </c>
      <c r="Q6" s="20" t="s">
        <v>136</v>
      </c>
      <c r="R6" s="8"/>
      <c r="S6" s="29" t="str">
        <f>"200,0"</f>
        <v>200,0</v>
      </c>
      <c r="T6" s="8" t="str">
        <f>"265,7000"</f>
        <v>265,7000</v>
      </c>
      <c r="U6" s="7" t="s">
        <v>1217</v>
      </c>
    </row>
    <row r="7" spans="1:21">
      <c r="B7" s="5" t="s">
        <v>125</v>
      </c>
    </row>
    <row r="8" spans="1:21" ht="16">
      <c r="A8" s="52" t="s">
        <v>251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10" t="s">
        <v>124</v>
      </c>
      <c r="B9" s="9" t="s">
        <v>252</v>
      </c>
      <c r="C9" s="9" t="s">
        <v>253</v>
      </c>
      <c r="D9" s="9" t="s">
        <v>254</v>
      </c>
      <c r="E9" s="9" t="s">
        <v>1368</v>
      </c>
      <c r="F9" s="9" t="s">
        <v>1266</v>
      </c>
      <c r="G9" s="27" t="s">
        <v>255</v>
      </c>
      <c r="H9" s="22" t="s">
        <v>255</v>
      </c>
      <c r="I9" s="22" t="s">
        <v>250</v>
      </c>
      <c r="J9" s="10"/>
      <c r="K9" s="22" t="s">
        <v>248</v>
      </c>
      <c r="L9" s="22" t="s">
        <v>256</v>
      </c>
      <c r="M9" s="27" t="s">
        <v>249</v>
      </c>
      <c r="N9" s="10"/>
      <c r="O9" s="22" t="s">
        <v>250</v>
      </c>
      <c r="P9" s="22" t="s">
        <v>149</v>
      </c>
      <c r="Q9" s="22" t="s">
        <v>136</v>
      </c>
      <c r="R9" s="10"/>
      <c r="S9" s="28" t="str">
        <f>"232,5"</f>
        <v>232,5</v>
      </c>
      <c r="T9" s="10" t="str">
        <f>"290,2762"</f>
        <v>290,2762</v>
      </c>
      <c r="U9" s="9" t="s">
        <v>257</v>
      </c>
    </row>
    <row r="10" spans="1:21">
      <c r="A10" s="12" t="s">
        <v>124</v>
      </c>
      <c r="B10" s="11" t="s">
        <v>258</v>
      </c>
      <c r="C10" s="11" t="s">
        <v>259</v>
      </c>
      <c r="D10" s="11" t="s">
        <v>260</v>
      </c>
      <c r="E10" s="11" t="s">
        <v>1367</v>
      </c>
      <c r="F10" s="11" t="s">
        <v>1267</v>
      </c>
      <c r="G10" s="23" t="s">
        <v>134</v>
      </c>
      <c r="H10" s="24" t="s">
        <v>134</v>
      </c>
      <c r="I10" s="23" t="s">
        <v>135</v>
      </c>
      <c r="J10" s="12"/>
      <c r="K10" s="24" t="s">
        <v>256</v>
      </c>
      <c r="L10" s="23" t="s">
        <v>249</v>
      </c>
      <c r="M10" s="23" t="s">
        <v>249</v>
      </c>
      <c r="N10" s="12"/>
      <c r="O10" s="24" t="s">
        <v>18</v>
      </c>
      <c r="P10" s="24" t="s">
        <v>250</v>
      </c>
      <c r="Q10" s="24" t="s">
        <v>149</v>
      </c>
      <c r="R10" s="12"/>
      <c r="S10" s="32" t="str">
        <f>"202,5"</f>
        <v>202,5</v>
      </c>
      <c r="T10" s="12" t="str">
        <f>"258,5723"</f>
        <v>258,5723</v>
      </c>
      <c r="U10" s="11" t="s">
        <v>261</v>
      </c>
    </row>
    <row r="11" spans="1:21">
      <c r="A11" s="12" t="s">
        <v>124</v>
      </c>
      <c r="B11" s="11" t="s">
        <v>262</v>
      </c>
      <c r="C11" s="11" t="s">
        <v>263</v>
      </c>
      <c r="D11" s="11" t="s">
        <v>264</v>
      </c>
      <c r="E11" s="11" t="s">
        <v>1367</v>
      </c>
      <c r="F11" s="11" t="s">
        <v>1265</v>
      </c>
      <c r="G11" s="24" t="s">
        <v>170</v>
      </c>
      <c r="H11" s="24" t="s">
        <v>150</v>
      </c>
      <c r="I11" s="23" t="s">
        <v>265</v>
      </c>
      <c r="J11" s="12"/>
      <c r="K11" s="24" t="s">
        <v>266</v>
      </c>
      <c r="L11" s="23" t="s">
        <v>267</v>
      </c>
      <c r="M11" s="23" t="s">
        <v>267</v>
      </c>
      <c r="N11" s="12"/>
      <c r="O11" s="24" t="s">
        <v>167</v>
      </c>
      <c r="P11" s="24" t="s">
        <v>168</v>
      </c>
      <c r="Q11" s="24" t="s">
        <v>268</v>
      </c>
      <c r="R11" s="12"/>
      <c r="S11" s="32" t="str">
        <f>"292,5"</f>
        <v>292,5</v>
      </c>
      <c r="T11" s="12" t="str">
        <f>"372,3525"</f>
        <v>372,3525</v>
      </c>
      <c r="U11" s="11"/>
    </row>
    <row r="12" spans="1:21">
      <c r="A12" s="12" t="s">
        <v>126</v>
      </c>
      <c r="B12" s="11" t="s">
        <v>269</v>
      </c>
      <c r="C12" s="11" t="s">
        <v>270</v>
      </c>
      <c r="D12" s="11" t="s">
        <v>271</v>
      </c>
      <c r="E12" s="11" t="s">
        <v>1367</v>
      </c>
      <c r="F12" s="11" t="s">
        <v>1268</v>
      </c>
      <c r="G12" s="24" t="s">
        <v>137</v>
      </c>
      <c r="H12" s="24" t="s">
        <v>138</v>
      </c>
      <c r="I12" s="23" t="s">
        <v>272</v>
      </c>
      <c r="J12" s="12"/>
      <c r="K12" s="24" t="s">
        <v>266</v>
      </c>
      <c r="L12" s="24" t="s">
        <v>247</v>
      </c>
      <c r="M12" s="23" t="s">
        <v>267</v>
      </c>
      <c r="N12" s="12"/>
      <c r="O12" s="24" t="s">
        <v>136</v>
      </c>
      <c r="P12" s="24" t="s">
        <v>137</v>
      </c>
      <c r="Q12" s="24" t="s">
        <v>138</v>
      </c>
      <c r="R12" s="12"/>
      <c r="S12" s="32" t="str">
        <f>"280,0"</f>
        <v>280,0</v>
      </c>
      <c r="T12" s="12" t="str">
        <f>"352,1840"</f>
        <v>352,1840</v>
      </c>
      <c r="U12" s="11"/>
    </row>
    <row r="13" spans="1:21">
      <c r="A13" s="14" t="s">
        <v>127</v>
      </c>
      <c r="B13" s="13" t="s">
        <v>273</v>
      </c>
      <c r="C13" s="13" t="s">
        <v>274</v>
      </c>
      <c r="D13" s="13" t="s">
        <v>275</v>
      </c>
      <c r="E13" s="13" t="s">
        <v>1367</v>
      </c>
      <c r="F13" s="13" t="s">
        <v>1269</v>
      </c>
      <c r="G13" s="25" t="s">
        <v>246</v>
      </c>
      <c r="H13" s="25" t="s">
        <v>267</v>
      </c>
      <c r="I13" s="26" t="s">
        <v>28</v>
      </c>
      <c r="J13" s="14"/>
      <c r="K13" s="26" t="s">
        <v>276</v>
      </c>
      <c r="L13" s="25" t="s">
        <v>277</v>
      </c>
      <c r="M13" s="26" t="s">
        <v>278</v>
      </c>
      <c r="N13" s="14"/>
      <c r="O13" s="25" t="s">
        <v>134</v>
      </c>
      <c r="P13" s="25" t="s">
        <v>135</v>
      </c>
      <c r="Q13" s="26" t="s">
        <v>279</v>
      </c>
      <c r="R13" s="14"/>
      <c r="S13" s="31" t="str">
        <f>"167,5"</f>
        <v>167,5</v>
      </c>
      <c r="T13" s="14" t="str">
        <f>"216,1588"</f>
        <v>216,1588</v>
      </c>
      <c r="U13" s="13" t="s">
        <v>280</v>
      </c>
    </row>
    <row r="14" spans="1:21">
      <c r="B14" s="5" t="s">
        <v>125</v>
      </c>
    </row>
    <row r="15" spans="1:21" ht="16">
      <c r="A15" s="52" t="s">
        <v>281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21">
      <c r="A16" s="10" t="s">
        <v>124</v>
      </c>
      <c r="B16" s="9" t="s">
        <v>282</v>
      </c>
      <c r="C16" s="9" t="s">
        <v>283</v>
      </c>
      <c r="D16" s="9" t="s">
        <v>284</v>
      </c>
      <c r="E16" s="9" t="s">
        <v>1367</v>
      </c>
      <c r="F16" s="9" t="s">
        <v>1270</v>
      </c>
      <c r="G16" s="22" t="s">
        <v>265</v>
      </c>
      <c r="H16" s="27" t="s">
        <v>174</v>
      </c>
      <c r="I16" s="22" t="s">
        <v>174</v>
      </c>
      <c r="J16" s="10"/>
      <c r="K16" s="27" t="s">
        <v>247</v>
      </c>
      <c r="L16" s="22" t="s">
        <v>267</v>
      </c>
      <c r="M16" s="22" t="s">
        <v>134</v>
      </c>
      <c r="N16" s="10"/>
      <c r="O16" s="22" t="s">
        <v>265</v>
      </c>
      <c r="P16" s="22" t="s">
        <v>174</v>
      </c>
      <c r="Q16" s="27" t="s">
        <v>143</v>
      </c>
      <c r="R16" s="10"/>
      <c r="S16" s="28" t="str">
        <f>"290,0"</f>
        <v>290,0</v>
      </c>
      <c r="T16" s="10" t="str">
        <f>"345,5640"</f>
        <v>345,5640</v>
      </c>
      <c r="U16" s="9"/>
    </row>
    <row r="17" spans="1:21">
      <c r="A17" s="12" t="s">
        <v>126</v>
      </c>
      <c r="B17" s="11" t="s">
        <v>285</v>
      </c>
      <c r="C17" s="11" t="s">
        <v>286</v>
      </c>
      <c r="D17" s="11" t="s">
        <v>287</v>
      </c>
      <c r="E17" s="11" t="s">
        <v>1367</v>
      </c>
      <c r="F17" s="11" t="s">
        <v>1265</v>
      </c>
      <c r="G17" s="24" t="s">
        <v>265</v>
      </c>
      <c r="H17" s="24" t="s">
        <v>138</v>
      </c>
      <c r="I17" s="23" t="s">
        <v>272</v>
      </c>
      <c r="J17" s="12"/>
      <c r="K17" s="24" t="s">
        <v>288</v>
      </c>
      <c r="L17" s="23" t="s">
        <v>246</v>
      </c>
      <c r="M17" s="24" t="s">
        <v>246</v>
      </c>
      <c r="N17" s="12"/>
      <c r="O17" s="24" t="s">
        <v>138</v>
      </c>
      <c r="P17" s="23" t="s">
        <v>272</v>
      </c>
      <c r="Q17" s="23" t="s">
        <v>272</v>
      </c>
      <c r="R17" s="12"/>
      <c r="S17" s="32" t="str">
        <f>"275,0"</f>
        <v>275,0</v>
      </c>
      <c r="T17" s="12" t="str">
        <f>"325,3800"</f>
        <v>325,3800</v>
      </c>
      <c r="U17" s="11" t="s">
        <v>289</v>
      </c>
    </row>
    <row r="18" spans="1:21">
      <c r="A18" s="12" t="s">
        <v>127</v>
      </c>
      <c r="B18" s="11" t="s">
        <v>290</v>
      </c>
      <c r="C18" s="11" t="s">
        <v>291</v>
      </c>
      <c r="D18" s="11" t="s">
        <v>292</v>
      </c>
      <c r="E18" s="11" t="s">
        <v>1367</v>
      </c>
      <c r="F18" s="11" t="s">
        <v>1271</v>
      </c>
      <c r="G18" s="23" t="s">
        <v>250</v>
      </c>
      <c r="H18" s="23" t="s">
        <v>250</v>
      </c>
      <c r="I18" s="24" t="s">
        <v>250</v>
      </c>
      <c r="J18" s="12"/>
      <c r="K18" s="24" t="s">
        <v>293</v>
      </c>
      <c r="L18" s="24" t="s">
        <v>246</v>
      </c>
      <c r="M18" s="23" t="s">
        <v>266</v>
      </c>
      <c r="N18" s="12"/>
      <c r="O18" s="23" t="s">
        <v>294</v>
      </c>
      <c r="P18" s="24" t="s">
        <v>294</v>
      </c>
      <c r="Q18" s="24" t="s">
        <v>57</v>
      </c>
      <c r="R18" s="12"/>
      <c r="S18" s="32" t="str">
        <f>"275,0"</f>
        <v>275,0</v>
      </c>
      <c r="T18" s="12" t="str">
        <f>"324,0325"</f>
        <v>324,0325</v>
      </c>
      <c r="U18" s="11"/>
    </row>
    <row r="19" spans="1:21">
      <c r="A19" s="14" t="s">
        <v>240</v>
      </c>
      <c r="B19" s="13" t="s">
        <v>295</v>
      </c>
      <c r="C19" s="13" t="s">
        <v>296</v>
      </c>
      <c r="D19" s="13" t="s">
        <v>297</v>
      </c>
      <c r="E19" s="13" t="s">
        <v>1367</v>
      </c>
      <c r="F19" s="13" t="s">
        <v>1265</v>
      </c>
      <c r="G19" s="25" t="s">
        <v>17</v>
      </c>
      <c r="H19" s="25" t="s">
        <v>18</v>
      </c>
      <c r="I19" s="25" t="s">
        <v>250</v>
      </c>
      <c r="J19" s="14"/>
      <c r="K19" s="25" t="s">
        <v>249</v>
      </c>
      <c r="L19" s="25" t="s">
        <v>293</v>
      </c>
      <c r="M19" s="26" t="s">
        <v>288</v>
      </c>
      <c r="N19" s="14"/>
      <c r="O19" s="25" t="s">
        <v>136</v>
      </c>
      <c r="P19" s="25" t="s">
        <v>137</v>
      </c>
      <c r="Q19" s="25" t="s">
        <v>138</v>
      </c>
      <c r="R19" s="14"/>
      <c r="S19" s="31" t="str">
        <f>"250,0"</f>
        <v>250,0</v>
      </c>
      <c r="T19" s="14" t="str">
        <f>"294,9750"</f>
        <v>294,9750</v>
      </c>
      <c r="U19" s="13" t="s">
        <v>1235</v>
      </c>
    </row>
    <row r="20" spans="1:21">
      <c r="B20" s="5" t="s">
        <v>125</v>
      </c>
    </row>
    <row r="21" spans="1:21" ht="16">
      <c r="A21" s="52" t="s">
        <v>298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1">
      <c r="A22" s="10" t="s">
        <v>124</v>
      </c>
      <c r="B22" s="9" t="s">
        <v>299</v>
      </c>
      <c r="C22" s="9" t="s">
        <v>300</v>
      </c>
      <c r="D22" s="9" t="s">
        <v>301</v>
      </c>
      <c r="E22" s="9" t="s">
        <v>1367</v>
      </c>
      <c r="F22" s="9" t="s">
        <v>1265</v>
      </c>
      <c r="G22" s="22" t="s">
        <v>137</v>
      </c>
      <c r="H22" s="22" t="s">
        <v>272</v>
      </c>
      <c r="I22" s="22" t="s">
        <v>167</v>
      </c>
      <c r="J22" s="10"/>
      <c r="K22" s="22" t="s">
        <v>266</v>
      </c>
      <c r="L22" s="22" t="s">
        <v>247</v>
      </c>
      <c r="M22" s="27" t="s">
        <v>267</v>
      </c>
      <c r="N22" s="10"/>
      <c r="O22" s="22" t="s">
        <v>272</v>
      </c>
      <c r="P22" s="22" t="s">
        <v>167</v>
      </c>
      <c r="Q22" s="27" t="s">
        <v>57</v>
      </c>
      <c r="R22" s="10"/>
      <c r="S22" s="28" t="str">
        <f>"305,0"</f>
        <v>305,0</v>
      </c>
      <c r="T22" s="10" t="str">
        <f>"346,3275"</f>
        <v>346,3275</v>
      </c>
      <c r="U22" s="9" t="s">
        <v>76</v>
      </c>
    </row>
    <row r="23" spans="1:21">
      <c r="A23" s="12" t="s">
        <v>126</v>
      </c>
      <c r="B23" s="11" t="s">
        <v>302</v>
      </c>
      <c r="C23" s="11" t="s">
        <v>303</v>
      </c>
      <c r="D23" s="11" t="s">
        <v>301</v>
      </c>
      <c r="E23" s="11" t="s">
        <v>1367</v>
      </c>
      <c r="F23" s="11" t="s">
        <v>1266</v>
      </c>
      <c r="G23" s="23" t="s">
        <v>137</v>
      </c>
      <c r="H23" s="24" t="s">
        <v>137</v>
      </c>
      <c r="I23" s="23" t="s">
        <v>138</v>
      </c>
      <c r="J23" s="12"/>
      <c r="K23" s="24" t="s">
        <v>293</v>
      </c>
      <c r="L23" s="24" t="s">
        <v>288</v>
      </c>
      <c r="M23" s="23" t="s">
        <v>246</v>
      </c>
      <c r="N23" s="12"/>
      <c r="O23" s="24" t="s">
        <v>166</v>
      </c>
      <c r="P23" s="24" t="s">
        <v>168</v>
      </c>
      <c r="Q23" s="23" t="s">
        <v>268</v>
      </c>
      <c r="R23" s="12"/>
      <c r="S23" s="32" t="str">
        <f>"285,0"</f>
        <v>285,0</v>
      </c>
      <c r="T23" s="12" t="str">
        <f>"323,6175"</f>
        <v>323,6175</v>
      </c>
      <c r="U23" s="11" t="s">
        <v>257</v>
      </c>
    </row>
    <row r="24" spans="1:21">
      <c r="A24" s="12" t="s">
        <v>127</v>
      </c>
      <c r="B24" s="11" t="s">
        <v>304</v>
      </c>
      <c r="C24" s="11" t="s">
        <v>305</v>
      </c>
      <c r="D24" s="11" t="s">
        <v>306</v>
      </c>
      <c r="E24" s="11" t="s">
        <v>1367</v>
      </c>
      <c r="F24" s="11" t="s">
        <v>1272</v>
      </c>
      <c r="G24" s="24" t="s">
        <v>137</v>
      </c>
      <c r="H24" s="24" t="s">
        <v>272</v>
      </c>
      <c r="I24" s="23" t="s">
        <v>167</v>
      </c>
      <c r="J24" s="12"/>
      <c r="K24" s="24" t="s">
        <v>249</v>
      </c>
      <c r="L24" s="23" t="s">
        <v>293</v>
      </c>
      <c r="M24" s="24" t="s">
        <v>293</v>
      </c>
      <c r="N24" s="12"/>
      <c r="O24" s="24" t="s">
        <v>272</v>
      </c>
      <c r="P24" s="23" t="s">
        <v>294</v>
      </c>
      <c r="Q24" s="23" t="s">
        <v>294</v>
      </c>
      <c r="R24" s="12"/>
      <c r="S24" s="32" t="str">
        <f>"280,0"</f>
        <v>280,0</v>
      </c>
      <c r="T24" s="12" t="str">
        <f>"315,4480"</f>
        <v>315,4480</v>
      </c>
      <c r="U24" s="11" t="s">
        <v>307</v>
      </c>
    </row>
    <row r="25" spans="1:21">
      <c r="A25" s="14" t="s">
        <v>240</v>
      </c>
      <c r="B25" s="13" t="s">
        <v>308</v>
      </c>
      <c r="C25" s="13" t="s">
        <v>309</v>
      </c>
      <c r="D25" s="13" t="s">
        <v>310</v>
      </c>
      <c r="E25" s="13" t="s">
        <v>1367</v>
      </c>
      <c r="F25" s="13" t="s">
        <v>1273</v>
      </c>
      <c r="G25" s="25" t="s">
        <v>267</v>
      </c>
      <c r="H25" s="26" t="s">
        <v>279</v>
      </c>
      <c r="I25" s="25" t="s">
        <v>279</v>
      </c>
      <c r="J25" s="14"/>
      <c r="K25" s="25" t="s">
        <v>277</v>
      </c>
      <c r="L25" s="25" t="s">
        <v>248</v>
      </c>
      <c r="M25" s="26" t="s">
        <v>249</v>
      </c>
      <c r="N25" s="14"/>
      <c r="O25" s="25" t="s">
        <v>279</v>
      </c>
      <c r="P25" s="25" t="s">
        <v>255</v>
      </c>
      <c r="Q25" s="25" t="s">
        <v>250</v>
      </c>
      <c r="R25" s="14"/>
      <c r="S25" s="31" t="str">
        <f>"205,0"</f>
        <v>205,0</v>
      </c>
      <c r="T25" s="14" t="str">
        <f>"232,4700"</f>
        <v>232,4700</v>
      </c>
      <c r="U25" s="13" t="s">
        <v>311</v>
      </c>
    </row>
    <row r="26" spans="1:21">
      <c r="B26" s="5" t="s">
        <v>125</v>
      </c>
    </row>
    <row r="27" spans="1:21" ht="16">
      <c r="A27" s="52" t="s">
        <v>162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</row>
    <row r="28" spans="1:21">
      <c r="A28" s="10" t="s">
        <v>124</v>
      </c>
      <c r="B28" s="9" t="s">
        <v>312</v>
      </c>
      <c r="C28" s="9" t="s">
        <v>313</v>
      </c>
      <c r="D28" s="9" t="s">
        <v>314</v>
      </c>
      <c r="E28" s="9" t="s">
        <v>1368</v>
      </c>
      <c r="F28" s="9" t="s">
        <v>1274</v>
      </c>
      <c r="G28" s="22" t="s">
        <v>19</v>
      </c>
      <c r="H28" s="22" t="s">
        <v>169</v>
      </c>
      <c r="I28" s="22" t="s">
        <v>170</v>
      </c>
      <c r="J28" s="10"/>
      <c r="K28" s="22" t="s">
        <v>266</v>
      </c>
      <c r="L28" s="22" t="s">
        <v>247</v>
      </c>
      <c r="M28" s="22" t="s">
        <v>267</v>
      </c>
      <c r="N28" s="10"/>
      <c r="O28" s="22" t="s">
        <v>136</v>
      </c>
      <c r="P28" s="22" t="s">
        <v>150</v>
      </c>
      <c r="Q28" s="22" t="s">
        <v>137</v>
      </c>
      <c r="R28" s="10"/>
      <c r="S28" s="28" t="str">
        <f>"265,0"</f>
        <v>265,0</v>
      </c>
      <c r="T28" s="10" t="str">
        <f>"275,5205"</f>
        <v>275,5205</v>
      </c>
      <c r="U28" s="9" t="s">
        <v>311</v>
      </c>
    </row>
    <row r="29" spans="1:21">
      <c r="A29" s="12" t="s">
        <v>124</v>
      </c>
      <c r="B29" s="11" t="s">
        <v>315</v>
      </c>
      <c r="C29" s="11" t="s">
        <v>316</v>
      </c>
      <c r="D29" s="11" t="s">
        <v>317</v>
      </c>
      <c r="E29" s="11" t="s">
        <v>1369</v>
      </c>
      <c r="F29" s="11" t="s">
        <v>1265</v>
      </c>
      <c r="G29" s="24" t="s">
        <v>17</v>
      </c>
      <c r="H29" s="24" t="s">
        <v>250</v>
      </c>
      <c r="I29" s="24" t="s">
        <v>136</v>
      </c>
      <c r="J29" s="12"/>
      <c r="K29" s="24" t="s">
        <v>266</v>
      </c>
      <c r="L29" s="24" t="s">
        <v>267</v>
      </c>
      <c r="M29" s="23" t="s">
        <v>134</v>
      </c>
      <c r="N29" s="12"/>
      <c r="O29" s="24" t="s">
        <v>138</v>
      </c>
      <c r="P29" s="24" t="s">
        <v>143</v>
      </c>
      <c r="Q29" s="24" t="s">
        <v>167</v>
      </c>
      <c r="R29" s="12"/>
      <c r="S29" s="32" t="str">
        <f>"285,0"</f>
        <v>285,0</v>
      </c>
      <c r="T29" s="12" t="str">
        <f>"295,6590"</f>
        <v>295,6590</v>
      </c>
      <c r="U29" s="11" t="s">
        <v>318</v>
      </c>
    </row>
    <row r="30" spans="1:21">
      <c r="A30" s="12" t="s">
        <v>124</v>
      </c>
      <c r="B30" s="11" t="s">
        <v>319</v>
      </c>
      <c r="C30" s="11" t="s">
        <v>320</v>
      </c>
      <c r="D30" s="11" t="s">
        <v>321</v>
      </c>
      <c r="E30" s="11" t="s">
        <v>1367</v>
      </c>
      <c r="F30" s="11" t="s">
        <v>1275</v>
      </c>
      <c r="G30" s="24" t="s">
        <v>132</v>
      </c>
      <c r="H30" s="24" t="s">
        <v>58</v>
      </c>
      <c r="I30" s="24" t="s">
        <v>159</v>
      </c>
      <c r="J30" s="12"/>
      <c r="K30" s="24" t="s">
        <v>18</v>
      </c>
      <c r="L30" s="24" t="s">
        <v>250</v>
      </c>
      <c r="M30" s="24" t="s">
        <v>149</v>
      </c>
      <c r="N30" s="12"/>
      <c r="O30" s="24" t="s">
        <v>50</v>
      </c>
      <c r="P30" s="24" t="s">
        <v>51</v>
      </c>
      <c r="Q30" s="23" t="s">
        <v>322</v>
      </c>
      <c r="R30" s="12"/>
      <c r="S30" s="32" t="str">
        <f>"390,0"</f>
        <v>390,0</v>
      </c>
      <c r="T30" s="12" t="str">
        <f>"407,7450"</f>
        <v>407,7450</v>
      </c>
      <c r="U30" s="11" t="s">
        <v>1234</v>
      </c>
    </row>
    <row r="31" spans="1:21">
      <c r="A31" s="12" t="s">
        <v>126</v>
      </c>
      <c r="B31" s="11" t="s">
        <v>323</v>
      </c>
      <c r="C31" s="11" t="s">
        <v>324</v>
      </c>
      <c r="D31" s="11" t="s">
        <v>325</v>
      </c>
      <c r="E31" s="11" t="s">
        <v>1367</v>
      </c>
      <c r="F31" s="11" t="s">
        <v>1276</v>
      </c>
      <c r="G31" s="24" t="s">
        <v>294</v>
      </c>
      <c r="H31" s="23" t="s">
        <v>268</v>
      </c>
      <c r="I31" s="23" t="s">
        <v>268</v>
      </c>
      <c r="J31" s="12"/>
      <c r="K31" s="24" t="s">
        <v>28</v>
      </c>
      <c r="L31" s="23" t="s">
        <v>135</v>
      </c>
      <c r="M31" s="23" t="s">
        <v>135</v>
      </c>
      <c r="N31" s="12"/>
      <c r="O31" s="24" t="s">
        <v>57</v>
      </c>
      <c r="P31" s="24" t="s">
        <v>58</v>
      </c>
      <c r="Q31" s="23" t="s">
        <v>50</v>
      </c>
      <c r="R31" s="12"/>
      <c r="S31" s="32" t="str">
        <f>"332,5"</f>
        <v>332,5</v>
      </c>
      <c r="T31" s="12" t="str">
        <f>"339,3495"</f>
        <v>339,3495</v>
      </c>
      <c r="U31" s="11"/>
    </row>
    <row r="32" spans="1:21">
      <c r="A32" s="12" t="s">
        <v>127</v>
      </c>
      <c r="B32" s="11" t="s">
        <v>326</v>
      </c>
      <c r="C32" s="11" t="s">
        <v>327</v>
      </c>
      <c r="D32" s="11" t="s">
        <v>328</v>
      </c>
      <c r="E32" s="11" t="s">
        <v>1367</v>
      </c>
      <c r="F32" s="11" t="s">
        <v>1277</v>
      </c>
      <c r="G32" s="24" t="s">
        <v>250</v>
      </c>
      <c r="H32" s="24" t="s">
        <v>149</v>
      </c>
      <c r="I32" s="24" t="s">
        <v>136</v>
      </c>
      <c r="J32" s="12"/>
      <c r="K32" s="24" t="s">
        <v>246</v>
      </c>
      <c r="L32" s="24" t="s">
        <v>266</v>
      </c>
      <c r="M32" s="23" t="s">
        <v>247</v>
      </c>
      <c r="N32" s="12"/>
      <c r="O32" s="24" t="s">
        <v>138</v>
      </c>
      <c r="P32" s="24" t="s">
        <v>166</v>
      </c>
      <c r="Q32" s="23" t="s">
        <v>294</v>
      </c>
      <c r="R32" s="12"/>
      <c r="S32" s="32" t="str">
        <f>"277,5"</f>
        <v>277,5</v>
      </c>
      <c r="T32" s="12" t="str">
        <f>"283,5218"</f>
        <v>283,5218</v>
      </c>
      <c r="U32" s="11"/>
    </row>
    <row r="33" spans="1:21">
      <c r="A33" s="14" t="s">
        <v>240</v>
      </c>
      <c r="B33" s="13" t="s">
        <v>329</v>
      </c>
      <c r="C33" s="13" t="s">
        <v>330</v>
      </c>
      <c r="D33" s="13" t="s">
        <v>331</v>
      </c>
      <c r="E33" s="13" t="s">
        <v>1367</v>
      </c>
      <c r="F33" s="13" t="s">
        <v>1266</v>
      </c>
      <c r="G33" s="25" t="s">
        <v>250</v>
      </c>
      <c r="H33" s="25" t="s">
        <v>170</v>
      </c>
      <c r="I33" s="26" t="s">
        <v>150</v>
      </c>
      <c r="J33" s="14"/>
      <c r="K33" s="25" t="s">
        <v>249</v>
      </c>
      <c r="L33" s="26" t="s">
        <v>293</v>
      </c>
      <c r="M33" s="25" t="s">
        <v>288</v>
      </c>
      <c r="N33" s="14"/>
      <c r="O33" s="25" t="s">
        <v>138</v>
      </c>
      <c r="P33" s="25" t="s">
        <v>143</v>
      </c>
      <c r="Q33" s="25" t="s">
        <v>167</v>
      </c>
      <c r="R33" s="14"/>
      <c r="S33" s="31" t="str">
        <f>"272,5"</f>
        <v>272,5</v>
      </c>
      <c r="T33" s="14" t="str">
        <f>"282,0647"</f>
        <v>282,0647</v>
      </c>
      <c r="U33" s="13" t="s">
        <v>257</v>
      </c>
    </row>
    <row r="34" spans="1:21">
      <c r="B34" s="5" t="s">
        <v>125</v>
      </c>
    </row>
    <row r="35" spans="1:21" ht="16">
      <c r="A35" s="52" t="s">
        <v>10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21">
      <c r="A36" s="10" t="s">
        <v>124</v>
      </c>
      <c r="B36" s="9" t="s">
        <v>332</v>
      </c>
      <c r="C36" s="9" t="s">
        <v>333</v>
      </c>
      <c r="D36" s="9" t="s">
        <v>334</v>
      </c>
      <c r="E36" s="9" t="s">
        <v>1367</v>
      </c>
      <c r="F36" s="9" t="s">
        <v>1278</v>
      </c>
      <c r="G36" s="27" t="s">
        <v>137</v>
      </c>
      <c r="H36" s="22" t="s">
        <v>137</v>
      </c>
      <c r="I36" s="22" t="s">
        <v>272</v>
      </c>
      <c r="J36" s="10"/>
      <c r="K36" s="22" t="s">
        <v>267</v>
      </c>
      <c r="L36" s="22" t="s">
        <v>28</v>
      </c>
      <c r="M36" s="27" t="s">
        <v>135</v>
      </c>
      <c r="N36" s="10"/>
      <c r="O36" s="22" t="s">
        <v>57</v>
      </c>
      <c r="P36" s="22" t="s">
        <v>50</v>
      </c>
      <c r="Q36" s="27" t="s">
        <v>51</v>
      </c>
      <c r="R36" s="10"/>
      <c r="S36" s="28" t="str">
        <f>"327,5"</f>
        <v>327,5</v>
      </c>
      <c r="T36" s="10" t="str">
        <f>"314,2690"</f>
        <v>314,2690</v>
      </c>
      <c r="U36" s="9" t="s">
        <v>76</v>
      </c>
    </row>
    <row r="37" spans="1:21">
      <c r="A37" s="12" t="s">
        <v>126</v>
      </c>
      <c r="B37" s="11" t="s">
        <v>335</v>
      </c>
      <c r="C37" s="11" t="s">
        <v>336</v>
      </c>
      <c r="D37" s="11" t="s">
        <v>337</v>
      </c>
      <c r="E37" s="11" t="s">
        <v>1367</v>
      </c>
      <c r="F37" s="11" t="s">
        <v>1279</v>
      </c>
      <c r="G37" s="23" t="s">
        <v>136</v>
      </c>
      <c r="H37" s="24" t="s">
        <v>137</v>
      </c>
      <c r="I37" s="24" t="s">
        <v>265</v>
      </c>
      <c r="J37" s="12"/>
      <c r="K37" s="24" t="s">
        <v>266</v>
      </c>
      <c r="L37" s="24" t="s">
        <v>247</v>
      </c>
      <c r="M37" s="23" t="s">
        <v>267</v>
      </c>
      <c r="N37" s="12"/>
      <c r="O37" s="24" t="s">
        <v>166</v>
      </c>
      <c r="P37" s="24" t="s">
        <v>168</v>
      </c>
      <c r="Q37" s="24" t="s">
        <v>57</v>
      </c>
      <c r="R37" s="12"/>
      <c r="S37" s="32" t="str">
        <f>"297,5"</f>
        <v>297,5</v>
      </c>
      <c r="T37" s="12" t="str">
        <f>"288,2478"</f>
        <v>288,2478</v>
      </c>
      <c r="U37" s="11" t="s">
        <v>338</v>
      </c>
    </row>
    <row r="38" spans="1:21">
      <c r="A38" s="14" t="s">
        <v>124</v>
      </c>
      <c r="B38" s="13" t="s">
        <v>332</v>
      </c>
      <c r="C38" s="13" t="s">
        <v>339</v>
      </c>
      <c r="D38" s="13" t="s">
        <v>334</v>
      </c>
      <c r="E38" s="13" t="s">
        <v>1370</v>
      </c>
      <c r="F38" s="13" t="s">
        <v>1278</v>
      </c>
      <c r="G38" s="26" t="s">
        <v>137</v>
      </c>
      <c r="H38" s="25" t="s">
        <v>137</v>
      </c>
      <c r="I38" s="25" t="s">
        <v>272</v>
      </c>
      <c r="J38" s="14"/>
      <c r="K38" s="25" t="s">
        <v>267</v>
      </c>
      <c r="L38" s="25" t="s">
        <v>28</v>
      </c>
      <c r="M38" s="26" t="s">
        <v>135</v>
      </c>
      <c r="N38" s="14"/>
      <c r="O38" s="25" t="s">
        <v>57</v>
      </c>
      <c r="P38" s="25" t="s">
        <v>50</v>
      </c>
      <c r="Q38" s="26" t="s">
        <v>51</v>
      </c>
      <c r="R38" s="14"/>
      <c r="S38" s="31" t="str">
        <f>"327,5"</f>
        <v>327,5</v>
      </c>
      <c r="T38" s="14" t="str">
        <f>"333,1251"</f>
        <v>333,1251</v>
      </c>
      <c r="U38" s="13" t="s">
        <v>76</v>
      </c>
    </row>
    <row r="39" spans="1:21">
      <c r="B39" s="5" t="s">
        <v>125</v>
      </c>
    </row>
    <row r="40" spans="1:21" ht="16">
      <c r="A40" s="52" t="s">
        <v>298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21">
      <c r="A41" s="8" t="s">
        <v>128</v>
      </c>
      <c r="B41" s="7" t="s">
        <v>340</v>
      </c>
      <c r="C41" s="7" t="s">
        <v>341</v>
      </c>
      <c r="D41" s="7" t="s">
        <v>342</v>
      </c>
      <c r="E41" s="7" t="s">
        <v>1367</v>
      </c>
      <c r="F41" s="7" t="s">
        <v>1280</v>
      </c>
      <c r="G41" s="21" t="s">
        <v>343</v>
      </c>
      <c r="H41" s="21" t="s">
        <v>17</v>
      </c>
      <c r="I41" s="21" t="s">
        <v>17</v>
      </c>
      <c r="J41" s="8"/>
      <c r="K41" s="21"/>
      <c r="L41" s="8"/>
      <c r="M41" s="8"/>
      <c r="N41" s="8"/>
      <c r="O41" s="21"/>
      <c r="P41" s="8"/>
      <c r="Q41" s="8"/>
      <c r="R41" s="8"/>
      <c r="S41" s="29">
        <v>0</v>
      </c>
      <c r="T41" s="8" t="str">
        <f>"0,0000"</f>
        <v>0,0000</v>
      </c>
      <c r="U41" s="7"/>
    </row>
    <row r="42" spans="1:21">
      <c r="B42" s="5" t="s">
        <v>125</v>
      </c>
    </row>
    <row r="43" spans="1:21" ht="16">
      <c r="A43" s="52" t="s">
        <v>162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21">
      <c r="A44" s="8" t="s">
        <v>128</v>
      </c>
      <c r="B44" s="7" t="s">
        <v>344</v>
      </c>
      <c r="C44" s="7" t="s">
        <v>345</v>
      </c>
      <c r="D44" s="7" t="s">
        <v>346</v>
      </c>
      <c r="E44" s="7" t="s">
        <v>1367</v>
      </c>
      <c r="F44" s="7" t="s">
        <v>1265</v>
      </c>
      <c r="G44" s="21" t="s">
        <v>16</v>
      </c>
      <c r="H44" s="21" t="s">
        <v>16</v>
      </c>
      <c r="I44" s="21" t="s">
        <v>21</v>
      </c>
      <c r="J44" s="8"/>
      <c r="K44" s="21"/>
      <c r="L44" s="8"/>
      <c r="M44" s="8"/>
      <c r="N44" s="8"/>
      <c r="O44" s="21"/>
      <c r="P44" s="8"/>
      <c r="Q44" s="8"/>
      <c r="R44" s="8"/>
      <c r="S44" s="29">
        <v>0</v>
      </c>
      <c r="T44" s="8" t="str">
        <f>"0,0000"</f>
        <v>0,0000</v>
      </c>
      <c r="U44" s="7"/>
    </row>
    <row r="45" spans="1:21">
      <c r="B45" s="5" t="s">
        <v>125</v>
      </c>
    </row>
    <row r="46" spans="1:21" ht="16">
      <c r="A46" s="52" t="s">
        <v>10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21">
      <c r="A47" s="10" t="s">
        <v>124</v>
      </c>
      <c r="B47" s="9" t="s">
        <v>347</v>
      </c>
      <c r="C47" s="9" t="s">
        <v>348</v>
      </c>
      <c r="D47" s="9" t="s">
        <v>349</v>
      </c>
      <c r="E47" s="9" t="s">
        <v>1368</v>
      </c>
      <c r="F47" s="9" t="s">
        <v>1281</v>
      </c>
      <c r="G47" s="27" t="s">
        <v>148</v>
      </c>
      <c r="H47" s="22" t="s">
        <v>148</v>
      </c>
      <c r="I47" s="27" t="s">
        <v>14</v>
      </c>
      <c r="J47" s="10"/>
      <c r="K47" s="22" t="s">
        <v>149</v>
      </c>
      <c r="L47" s="22" t="s">
        <v>136</v>
      </c>
      <c r="M47" s="22" t="s">
        <v>150</v>
      </c>
      <c r="N47" s="10"/>
      <c r="O47" s="27" t="s">
        <v>279</v>
      </c>
      <c r="P47" s="22" t="s">
        <v>15</v>
      </c>
      <c r="Q47" s="27" t="s">
        <v>40</v>
      </c>
      <c r="R47" s="10"/>
      <c r="S47" s="28" t="str">
        <f>"442,5"</f>
        <v>442,5</v>
      </c>
      <c r="T47" s="10" t="str">
        <f>"319,8390"</f>
        <v>319,8390</v>
      </c>
      <c r="U47" s="9"/>
    </row>
    <row r="48" spans="1:21">
      <c r="A48" s="12" t="s">
        <v>124</v>
      </c>
      <c r="B48" s="11" t="s">
        <v>350</v>
      </c>
      <c r="C48" s="11" t="s">
        <v>351</v>
      </c>
      <c r="D48" s="11" t="s">
        <v>352</v>
      </c>
      <c r="E48" s="11" t="s">
        <v>1367</v>
      </c>
      <c r="F48" s="11" t="s">
        <v>353</v>
      </c>
      <c r="G48" s="23" t="s">
        <v>91</v>
      </c>
      <c r="H48" s="24" t="s">
        <v>73</v>
      </c>
      <c r="I48" s="23" t="s">
        <v>74</v>
      </c>
      <c r="J48" s="12"/>
      <c r="K48" s="24" t="s">
        <v>294</v>
      </c>
      <c r="L48" s="24" t="s">
        <v>57</v>
      </c>
      <c r="M48" s="23" t="s">
        <v>268</v>
      </c>
      <c r="N48" s="12"/>
      <c r="O48" s="24" t="s">
        <v>65</v>
      </c>
      <c r="P48" s="23" t="s">
        <v>52</v>
      </c>
      <c r="Q48" s="23" t="s">
        <v>52</v>
      </c>
      <c r="R48" s="12"/>
      <c r="S48" s="32" t="str">
        <f>"585,0"</f>
        <v>585,0</v>
      </c>
      <c r="T48" s="12" t="str">
        <f>"419,2110"</f>
        <v>419,2110</v>
      </c>
      <c r="U48" s="11"/>
    </row>
    <row r="49" spans="1:21">
      <c r="A49" s="12" t="s">
        <v>126</v>
      </c>
      <c r="B49" s="11" t="s">
        <v>354</v>
      </c>
      <c r="C49" s="11" t="s">
        <v>355</v>
      </c>
      <c r="D49" s="11" t="s">
        <v>356</v>
      </c>
      <c r="E49" s="11" t="s">
        <v>1367</v>
      </c>
      <c r="F49" s="11" t="s">
        <v>1265</v>
      </c>
      <c r="G49" s="24" t="s">
        <v>30</v>
      </c>
      <c r="H49" s="24" t="s">
        <v>21</v>
      </c>
      <c r="I49" s="24" t="s">
        <v>59</v>
      </c>
      <c r="J49" s="12"/>
      <c r="K49" s="24" t="s">
        <v>268</v>
      </c>
      <c r="L49" s="24" t="s">
        <v>58</v>
      </c>
      <c r="M49" s="24" t="s">
        <v>50</v>
      </c>
      <c r="N49" s="12"/>
      <c r="O49" s="24" t="s">
        <v>91</v>
      </c>
      <c r="P49" s="24" t="s">
        <v>155</v>
      </c>
      <c r="Q49" s="23" t="s">
        <v>357</v>
      </c>
      <c r="R49" s="12"/>
      <c r="S49" s="32" t="str">
        <f>"575,0"</f>
        <v>575,0</v>
      </c>
      <c r="T49" s="12" t="str">
        <f>"419,7500"</f>
        <v>419,7500</v>
      </c>
      <c r="U49" s="11"/>
    </row>
    <row r="50" spans="1:21">
      <c r="A50" s="12" t="s">
        <v>127</v>
      </c>
      <c r="B50" s="11" t="s">
        <v>358</v>
      </c>
      <c r="C50" s="11" t="s">
        <v>359</v>
      </c>
      <c r="D50" s="11" t="s">
        <v>142</v>
      </c>
      <c r="E50" s="11" t="s">
        <v>1367</v>
      </c>
      <c r="F50" s="11" t="s">
        <v>1274</v>
      </c>
      <c r="G50" s="24" t="s">
        <v>58</v>
      </c>
      <c r="H50" s="24" t="s">
        <v>26</v>
      </c>
      <c r="I50" s="24" t="s">
        <v>148</v>
      </c>
      <c r="J50" s="12"/>
      <c r="K50" s="24" t="s">
        <v>166</v>
      </c>
      <c r="L50" s="24" t="s">
        <v>57</v>
      </c>
      <c r="M50" s="23" t="s">
        <v>58</v>
      </c>
      <c r="N50" s="12"/>
      <c r="O50" s="24" t="s">
        <v>50</v>
      </c>
      <c r="P50" s="24" t="s">
        <v>147</v>
      </c>
      <c r="Q50" s="24" t="s">
        <v>148</v>
      </c>
      <c r="R50" s="12"/>
      <c r="S50" s="32" t="str">
        <f>"460,0"</f>
        <v>460,0</v>
      </c>
      <c r="T50" s="12" t="str">
        <f>"333,4540"</f>
        <v>333,4540</v>
      </c>
      <c r="U50" s="11" t="s">
        <v>311</v>
      </c>
    </row>
    <row r="51" spans="1:21">
      <c r="A51" s="14" t="s">
        <v>124</v>
      </c>
      <c r="B51" s="13" t="s">
        <v>360</v>
      </c>
      <c r="C51" s="13" t="s">
        <v>361</v>
      </c>
      <c r="D51" s="13" t="s">
        <v>362</v>
      </c>
      <c r="E51" s="13" t="s">
        <v>1371</v>
      </c>
      <c r="F51" s="13" t="s">
        <v>1265</v>
      </c>
      <c r="G51" s="25" t="s">
        <v>294</v>
      </c>
      <c r="H51" s="25" t="s">
        <v>268</v>
      </c>
      <c r="I51" s="26" t="s">
        <v>133</v>
      </c>
      <c r="J51" s="14"/>
      <c r="K51" s="25" t="s">
        <v>19</v>
      </c>
      <c r="L51" s="25" t="s">
        <v>169</v>
      </c>
      <c r="M51" s="26" t="s">
        <v>149</v>
      </c>
      <c r="N51" s="14"/>
      <c r="O51" s="25" t="s">
        <v>50</v>
      </c>
      <c r="P51" s="25" t="s">
        <v>147</v>
      </c>
      <c r="Q51" s="14"/>
      <c r="R51" s="14"/>
      <c r="S51" s="31" t="str">
        <f>"380,0"</f>
        <v>380,0</v>
      </c>
      <c r="T51" s="14" t="str">
        <f>"465,8301"</f>
        <v>465,8301</v>
      </c>
      <c r="U51" s="13"/>
    </row>
    <row r="52" spans="1:21">
      <c r="B52" s="5" t="s">
        <v>125</v>
      </c>
    </row>
    <row r="53" spans="1:21" ht="16">
      <c r="A53" s="52" t="s">
        <v>22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21">
      <c r="A54" s="10" t="s">
        <v>128</v>
      </c>
      <c r="B54" s="9" t="s">
        <v>363</v>
      </c>
      <c r="C54" s="9" t="s">
        <v>364</v>
      </c>
      <c r="D54" s="9" t="s">
        <v>365</v>
      </c>
      <c r="E54" s="9" t="s">
        <v>1369</v>
      </c>
      <c r="F54" s="9" t="s">
        <v>1282</v>
      </c>
      <c r="G54" s="27" t="s">
        <v>166</v>
      </c>
      <c r="H54" s="27" t="s">
        <v>294</v>
      </c>
      <c r="I54" s="27" t="s">
        <v>57</v>
      </c>
      <c r="J54" s="10"/>
      <c r="K54" s="27"/>
      <c r="L54" s="10"/>
      <c r="M54" s="10"/>
      <c r="N54" s="10"/>
      <c r="O54" s="27"/>
      <c r="P54" s="10"/>
      <c r="Q54" s="10"/>
      <c r="R54" s="10"/>
      <c r="S54" s="28">
        <v>0</v>
      </c>
      <c r="T54" s="10" t="str">
        <f>"0,0000"</f>
        <v>0,0000</v>
      </c>
      <c r="U54" s="9"/>
    </row>
    <row r="55" spans="1:21">
      <c r="A55" s="12" t="s">
        <v>124</v>
      </c>
      <c r="B55" s="11" t="s">
        <v>366</v>
      </c>
      <c r="C55" s="11" t="s">
        <v>367</v>
      </c>
      <c r="D55" s="11" t="s">
        <v>368</v>
      </c>
      <c r="E55" s="11" t="s">
        <v>1367</v>
      </c>
      <c r="F55" s="11" t="s">
        <v>1265</v>
      </c>
      <c r="G55" s="24" t="s">
        <v>357</v>
      </c>
      <c r="H55" s="24" t="s">
        <v>369</v>
      </c>
      <c r="I55" s="23" t="s">
        <v>370</v>
      </c>
      <c r="J55" s="12"/>
      <c r="K55" s="24" t="s">
        <v>58</v>
      </c>
      <c r="L55" s="24" t="s">
        <v>50</v>
      </c>
      <c r="M55" s="24" t="s">
        <v>26</v>
      </c>
      <c r="N55" s="12"/>
      <c r="O55" s="24" t="s">
        <v>65</v>
      </c>
      <c r="P55" s="23" t="s">
        <v>48</v>
      </c>
      <c r="Q55" s="24" t="s">
        <v>52</v>
      </c>
      <c r="R55" s="12"/>
      <c r="S55" s="32" t="str">
        <f>"648,0"</f>
        <v>648,0</v>
      </c>
      <c r="T55" s="12" t="str">
        <f>"434,4192"</f>
        <v>434,4192</v>
      </c>
      <c r="U55" s="11"/>
    </row>
    <row r="56" spans="1:21">
      <c r="A56" s="12" t="s">
        <v>126</v>
      </c>
      <c r="B56" s="11" t="s">
        <v>371</v>
      </c>
      <c r="C56" s="11" t="s">
        <v>372</v>
      </c>
      <c r="D56" s="11" t="s">
        <v>373</v>
      </c>
      <c r="E56" s="11" t="s">
        <v>1367</v>
      </c>
      <c r="F56" s="11" t="s">
        <v>1283</v>
      </c>
      <c r="G56" s="24" t="s">
        <v>20</v>
      </c>
      <c r="H56" s="24" t="s">
        <v>31</v>
      </c>
      <c r="I56" s="24" t="s">
        <v>374</v>
      </c>
      <c r="J56" s="12"/>
      <c r="K56" s="23" t="s">
        <v>132</v>
      </c>
      <c r="L56" s="24" t="s">
        <v>132</v>
      </c>
      <c r="M56" s="24" t="s">
        <v>58</v>
      </c>
      <c r="N56" s="12"/>
      <c r="O56" s="24" t="s">
        <v>49</v>
      </c>
      <c r="P56" s="24" t="s">
        <v>98</v>
      </c>
      <c r="Q56" s="23" t="s">
        <v>41</v>
      </c>
      <c r="R56" s="12"/>
      <c r="S56" s="32" t="str">
        <f>"617,5"</f>
        <v>617,5</v>
      </c>
      <c r="T56" s="12" t="str">
        <f>"417,3682"</f>
        <v>417,3682</v>
      </c>
      <c r="U56" s="11" t="s">
        <v>375</v>
      </c>
    </row>
    <row r="57" spans="1:21">
      <c r="A57" s="12" t="s">
        <v>127</v>
      </c>
      <c r="B57" s="11" t="s">
        <v>376</v>
      </c>
      <c r="C57" s="11" t="s">
        <v>377</v>
      </c>
      <c r="D57" s="11" t="s">
        <v>378</v>
      </c>
      <c r="E57" s="11" t="s">
        <v>1367</v>
      </c>
      <c r="F57" s="11" t="s">
        <v>1284</v>
      </c>
      <c r="G57" s="24" t="s">
        <v>27</v>
      </c>
      <c r="H57" s="24" t="s">
        <v>14</v>
      </c>
      <c r="I57" s="24" t="s">
        <v>16</v>
      </c>
      <c r="J57" s="12"/>
      <c r="K57" s="24" t="s">
        <v>294</v>
      </c>
      <c r="L57" s="23" t="s">
        <v>132</v>
      </c>
      <c r="M57" s="23" t="s">
        <v>132</v>
      </c>
      <c r="N57" s="12"/>
      <c r="O57" s="24" t="s">
        <v>20</v>
      </c>
      <c r="P57" s="24" t="s">
        <v>59</v>
      </c>
      <c r="Q57" s="23" t="s">
        <v>73</v>
      </c>
      <c r="R57" s="12"/>
      <c r="S57" s="32" t="str">
        <f>"510,0"</f>
        <v>510,0</v>
      </c>
      <c r="T57" s="12" t="str">
        <f>"345,7290"</f>
        <v>345,7290</v>
      </c>
      <c r="U57" s="11" t="s">
        <v>379</v>
      </c>
    </row>
    <row r="58" spans="1:21">
      <c r="A58" s="12" t="s">
        <v>240</v>
      </c>
      <c r="B58" s="11" t="s">
        <v>380</v>
      </c>
      <c r="C58" s="11" t="s">
        <v>381</v>
      </c>
      <c r="D58" s="11" t="s">
        <v>184</v>
      </c>
      <c r="E58" s="11" t="s">
        <v>1367</v>
      </c>
      <c r="F58" s="11" t="s">
        <v>1285</v>
      </c>
      <c r="G58" s="24" t="s">
        <v>50</v>
      </c>
      <c r="H58" s="24" t="s">
        <v>27</v>
      </c>
      <c r="I58" s="23" t="s">
        <v>382</v>
      </c>
      <c r="J58" s="12"/>
      <c r="K58" s="24" t="s">
        <v>250</v>
      </c>
      <c r="L58" s="24" t="s">
        <v>149</v>
      </c>
      <c r="M58" s="24" t="s">
        <v>136</v>
      </c>
      <c r="N58" s="12"/>
      <c r="O58" s="24" t="s">
        <v>14</v>
      </c>
      <c r="P58" s="24" t="s">
        <v>20</v>
      </c>
      <c r="Q58" s="24" t="s">
        <v>31</v>
      </c>
      <c r="R58" s="12"/>
      <c r="S58" s="32" t="str">
        <f>"460,0"</f>
        <v>460,0</v>
      </c>
      <c r="T58" s="12" t="str">
        <f>"312,3400"</f>
        <v>312,3400</v>
      </c>
      <c r="U58" s="11" t="s">
        <v>383</v>
      </c>
    </row>
    <row r="59" spans="1:21">
      <c r="A59" s="12" t="s">
        <v>241</v>
      </c>
      <c r="B59" s="11" t="s">
        <v>384</v>
      </c>
      <c r="C59" s="11" t="s">
        <v>385</v>
      </c>
      <c r="D59" s="11" t="s">
        <v>386</v>
      </c>
      <c r="E59" s="11" t="s">
        <v>1367</v>
      </c>
      <c r="F59" s="11" t="s">
        <v>1274</v>
      </c>
      <c r="G59" s="23" t="s">
        <v>138</v>
      </c>
      <c r="H59" s="23" t="s">
        <v>138</v>
      </c>
      <c r="I59" s="24" t="s">
        <v>138</v>
      </c>
      <c r="J59" s="12"/>
      <c r="K59" s="24" t="s">
        <v>137</v>
      </c>
      <c r="L59" s="24" t="s">
        <v>138</v>
      </c>
      <c r="M59" s="23" t="s">
        <v>166</v>
      </c>
      <c r="N59" s="12"/>
      <c r="O59" s="24" t="s">
        <v>138</v>
      </c>
      <c r="P59" s="24" t="s">
        <v>166</v>
      </c>
      <c r="Q59" s="24" t="s">
        <v>58</v>
      </c>
      <c r="R59" s="12"/>
      <c r="S59" s="32" t="str">
        <f>"360,0"</f>
        <v>360,0</v>
      </c>
      <c r="T59" s="12" t="str">
        <f>"255,5640"</f>
        <v>255,5640</v>
      </c>
      <c r="U59" s="11" t="s">
        <v>311</v>
      </c>
    </row>
    <row r="60" spans="1:21">
      <c r="A60" s="14" t="s">
        <v>124</v>
      </c>
      <c r="B60" s="13" t="s">
        <v>387</v>
      </c>
      <c r="C60" s="13" t="s">
        <v>388</v>
      </c>
      <c r="D60" s="13" t="s">
        <v>389</v>
      </c>
      <c r="E60" s="13" t="s">
        <v>1370</v>
      </c>
      <c r="F60" s="13" t="s">
        <v>1265</v>
      </c>
      <c r="G60" s="25" t="s">
        <v>57</v>
      </c>
      <c r="H60" s="25" t="s">
        <v>58</v>
      </c>
      <c r="I60" s="25" t="s">
        <v>26</v>
      </c>
      <c r="J60" s="14"/>
      <c r="K60" s="26" t="s">
        <v>169</v>
      </c>
      <c r="L60" s="25" t="s">
        <v>170</v>
      </c>
      <c r="M60" s="26" t="s">
        <v>137</v>
      </c>
      <c r="N60" s="14"/>
      <c r="O60" s="25" t="s">
        <v>147</v>
      </c>
      <c r="P60" s="25" t="s">
        <v>148</v>
      </c>
      <c r="Q60" s="25" t="s">
        <v>15</v>
      </c>
      <c r="R60" s="14"/>
      <c r="S60" s="31" t="str">
        <f>"422,5"</f>
        <v>422,5</v>
      </c>
      <c r="T60" s="14" t="str">
        <f>"286,6662"</f>
        <v>286,6662</v>
      </c>
      <c r="U60" s="13"/>
    </row>
    <row r="61" spans="1:21">
      <c r="B61" s="5" t="s">
        <v>125</v>
      </c>
    </row>
    <row r="62" spans="1:21" ht="16">
      <c r="A62" s="52" t="s">
        <v>32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spans="1:21">
      <c r="A63" s="10" t="s">
        <v>124</v>
      </c>
      <c r="B63" s="9" t="s">
        <v>390</v>
      </c>
      <c r="C63" s="9" t="s">
        <v>391</v>
      </c>
      <c r="D63" s="9" t="s">
        <v>392</v>
      </c>
      <c r="E63" s="9" t="s">
        <v>1368</v>
      </c>
      <c r="F63" s="9" t="s">
        <v>1286</v>
      </c>
      <c r="G63" s="22" t="s">
        <v>58</v>
      </c>
      <c r="H63" s="22" t="s">
        <v>147</v>
      </c>
      <c r="I63" s="22" t="s">
        <v>27</v>
      </c>
      <c r="J63" s="10"/>
      <c r="K63" s="22" t="s">
        <v>250</v>
      </c>
      <c r="L63" s="22" t="s">
        <v>136</v>
      </c>
      <c r="M63" s="27" t="s">
        <v>137</v>
      </c>
      <c r="N63" s="10"/>
      <c r="O63" s="22" t="s">
        <v>20</v>
      </c>
      <c r="P63" s="22" t="s">
        <v>31</v>
      </c>
      <c r="Q63" s="22" t="s">
        <v>91</v>
      </c>
      <c r="R63" s="10"/>
      <c r="S63" s="28" t="str">
        <f>"470,0"</f>
        <v>470,0</v>
      </c>
      <c r="T63" s="10" t="str">
        <f>"300,8940"</f>
        <v>300,8940</v>
      </c>
      <c r="U63" s="9"/>
    </row>
    <row r="64" spans="1:21">
      <c r="A64" s="12" t="s">
        <v>124</v>
      </c>
      <c r="B64" s="11" t="s">
        <v>393</v>
      </c>
      <c r="C64" s="11" t="s">
        <v>394</v>
      </c>
      <c r="D64" s="11" t="s">
        <v>395</v>
      </c>
      <c r="E64" s="11" t="s">
        <v>1369</v>
      </c>
      <c r="F64" s="11" t="s">
        <v>1265</v>
      </c>
      <c r="G64" s="24" t="s">
        <v>16</v>
      </c>
      <c r="H64" s="24" t="s">
        <v>21</v>
      </c>
      <c r="I64" s="23" t="s">
        <v>59</v>
      </c>
      <c r="J64" s="12"/>
      <c r="K64" s="24" t="s">
        <v>137</v>
      </c>
      <c r="L64" s="24" t="s">
        <v>272</v>
      </c>
      <c r="M64" s="24" t="s">
        <v>166</v>
      </c>
      <c r="N64" s="12"/>
      <c r="O64" s="24" t="s">
        <v>31</v>
      </c>
      <c r="P64" s="24" t="s">
        <v>91</v>
      </c>
      <c r="Q64" s="24" t="s">
        <v>74</v>
      </c>
      <c r="R64" s="12"/>
      <c r="S64" s="32" t="str">
        <f>"535,0"</f>
        <v>535,0</v>
      </c>
      <c r="T64" s="12" t="str">
        <f>"342,1325"</f>
        <v>342,1325</v>
      </c>
      <c r="U64" s="11"/>
    </row>
    <row r="65" spans="1:21">
      <c r="A65" s="12" t="s">
        <v>126</v>
      </c>
      <c r="B65" s="11" t="s">
        <v>396</v>
      </c>
      <c r="C65" s="11" t="s">
        <v>397</v>
      </c>
      <c r="D65" s="11" t="s">
        <v>398</v>
      </c>
      <c r="E65" s="11" t="s">
        <v>1369</v>
      </c>
      <c r="F65" s="11" t="s">
        <v>1274</v>
      </c>
      <c r="G65" s="24" t="s">
        <v>81</v>
      </c>
      <c r="H65" s="24" t="s">
        <v>14</v>
      </c>
      <c r="I65" s="23" t="s">
        <v>15</v>
      </c>
      <c r="J65" s="12"/>
      <c r="K65" s="23" t="s">
        <v>174</v>
      </c>
      <c r="L65" s="24" t="s">
        <v>174</v>
      </c>
      <c r="M65" s="24" t="s">
        <v>143</v>
      </c>
      <c r="N65" s="12"/>
      <c r="O65" s="24" t="s">
        <v>40</v>
      </c>
      <c r="P65" s="24" t="s">
        <v>399</v>
      </c>
      <c r="Q65" s="24" t="s">
        <v>176</v>
      </c>
      <c r="R65" s="12"/>
      <c r="S65" s="32" t="str">
        <f>"490,0"</f>
        <v>490,0</v>
      </c>
      <c r="T65" s="12" t="str">
        <f>"314,7760"</f>
        <v>314,7760</v>
      </c>
      <c r="U65" s="11" t="s">
        <v>311</v>
      </c>
    </row>
    <row r="66" spans="1:21">
      <c r="A66" s="12" t="s">
        <v>127</v>
      </c>
      <c r="B66" s="11" t="s">
        <v>400</v>
      </c>
      <c r="C66" s="11" t="s">
        <v>401</v>
      </c>
      <c r="D66" s="11" t="s">
        <v>402</v>
      </c>
      <c r="E66" s="11" t="s">
        <v>1369</v>
      </c>
      <c r="F66" s="11" t="s">
        <v>1265</v>
      </c>
      <c r="G66" s="23" t="s">
        <v>15</v>
      </c>
      <c r="H66" s="24" t="s">
        <v>15</v>
      </c>
      <c r="I66" s="23" t="s">
        <v>40</v>
      </c>
      <c r="J66" s="12"/>
      <c r="K66" s="23" t="s">
        <v>250</v>
      </c>
      <c r="L66" s="24" t="s">
        <v>250</v>
      </c>
      <c r="M66" s="23" t="s">
        <v>136</v>
      </c>
      <c r="N66" s="12"/>
      <c r="O66" s="24" t="s">
        <v>148</v>
      </c>
      <c r="P66" s="23" t="s">
        <v>99</v>
      </c>
      <c r="Q66" s="24" t="s">
        <v>16</v>
      </c>
      <c r="R66" s="12"/>
      <c r="S66" s="32" t="str">
        <f>"445,0"</f>
        <v>445,0</v>
      </c>
      <c r="T66" s="12" t="str">
        <f>"290,6740"</f>
        <v>290,6740</v>
      </c>
      <c r="U66" s="11" t="s">
        <v>1236</v>
      </c>
    </row>
    <row r="67" spans="1:21">
      <c r="A67" s="12" t="s">
        <v>240</v>
      </c>
      <c r="B67" s="11" t="s">
        <v>403</v>
      </c>
      <c r="C67" s="11" t="s">
        <v>404</v>
      </c>
      <c r="D67" s="11" t="s">
        <v>405</v>
      </c>
      <c r="E67" s="11" t="s">
        <v>1369</v>
      </c>
      <c r="F67" s="11" t="s">
        <v>1265</v>
      </c>
      <c r="G67" s="24" t="s">
        <v>272</v>
      </c>
      <c r="H67" s="24" t="s">
        <v>294</v>
      </c>
      <c r="I67" s="24" t="s">
        <v>268</v>
      </c>
      <c r="J67" s="12"/>
      <c r="K67" s="24" t="s">
        <v>250</v>
      </c>
      <c r="L67" s="23" t="s">
        <v>136</v>
      </c>
      <c r="M67" s="23" t="s">
        <v>136</v>
      </c>
      <c r="N67" s="12"/>
      <c r="O67" s="24" t="s">
        <v>166</v>
      </c>
      <c r="P67" s="24" t="s">
        <v>57</v>
      </c>
      <c r="Q67" s="24" t="s">
        <v>58</v>
      </c>
      <c r="R67" s="12"/>
      <c r="S67" s="32" t="str">
        <f>"362,5"</f>
        <v>362,5</v>
      </c>
      <c r="T67" s="12" t="str">
        <f>"231,9275"</f>
        <v>231,9275</v>
      </c>
      <c r="U67" s="11" t="s">
        <v>406</v>
      </c>
    </row>
    <row r="68" spans="1:21">
      <c r="A68" s="12" t="s">
        <v>124</v>
      </c>
      <c r="B68" s="11" t="s">
        <v>407</v>
      </c>
      <c r="C68" s="11" t="s">
        <v>408</v>
      </c>
      <c r="D68" s="11" t="s">
        <v>409</v>
      </c>
      <c r="E68" s="11" t="s">
        <v>1367</v>
      </c>
      <c r="F68" s="11" t="s">
        <v>1287</v>
      </c>
      <c r="G68" s="24" t="s">
        <v>155</v>
      </c>
      <c r="H68" s="24" t="s">
        <v>357</v>
      </c>
      <c r="I68" s="24" t="s">
        <v>65</v>
      </c>
      <c r="J68" s="12"/>
      <c r="K68" s="24" t="s">
        <v>50</v>
      </c>
      <c r="L68" s="24" t="s">
        <v>26</v>
      </c>
      <c r="M68" s="24" t="s">
        <v>147</v>
      </c>
      <c r="N68" s="12"/>
      <c r="O68" s="24" t="s">
        <v>48</v>
      </c>
      <c r="P68" s="24" t="s">
        <v>53</v>
      </c>
      <c r="Q68" s="24" t="s">
        <v>80</v>
      </c>
      <c r="R68" s="12"/>
      <c r="S68" s="32" t="str">
        <f>"670,0"</f>
        <v>670,0</v>
      </c>
      <c r="T68" s="12" t="str">
        <f>"427,7280"</f>
        <v>427,7280</v>
      </c>
      <c r="U68" s="11" t="s">
        <v>410</v>
      </c>
    </row>
    <row r="69" spans="1:21">
      <c r="A69" s="12" t="s">
        <v>126</v>
      </c>
      <c r="B69" s="11" t="s">
        <v>411</v>
      </c>
      <c r="C69" s="11" t="s">
        <v>412</v>
      </c>
      <c r="D69" s="11" t="s">
        <v>395</v>
      </c>
      <c r="E69" s="11" t="s">
        <v>1367</v>
      </c>
      <c r="F69" s="11" t="s">
        <v>1288</v>
      </c>
      <c r="G69" s="24" t="s">
        <v>74</v>
      </c>
      <c r="H69" s="24" t="s">
        <v>155</v>
      </c>
      <c r="I69" s="23" t="s">
        <v>83</v>
      </c>
      <c r="J69" s="12"/>
      <c r="K69" s="24" t="s">
        <v>15</v>
      </c>
      <c r="L69" s="24" t="s">
        <v>16</v>
      </c>
      <c r="M69" s="24" t="s">
        <v>30</v>
      </c>
      <c r="N69" s="12"/>
      <c r="O69" s="24" t="s">
        <v>83</v>
      </c>
      <c r="P69" s="23" t="s">
        <v>413</v>
      </c>
      <c r="Q69" s="23" t="s">
        <v>413</v>
      </c>
      <c r="R69" s="12"/>
      <c r="S69" s="32" t="str">
        <f>"640,0"</f>
        <v>640,0</v>
      </c>
      <c r="T69" s="12" t="str">
        <f>"409,2800"</f>
        <v>409,2800</v>
      </c>
      <c r="U69" s="11" t="s">
        <v>414</v>
      </c>
    </row>
    <row r="70" spans="1:21">
      <c r="A70" s="12" t="s">
        <v>127</v>
      </c>
      <c r="B70" s="11" t="s">
        <v>415</v>
      </c>
      <c r="C70" s="11" t="s">
        <v>416</v>
      </c>
      <c r="D70" s="11" t="s">
        <v>409</v>
      </c>
      <c r="E70" s="11" t="s">
        <v>1367</v>
      </c>
      <c r="F70" s="11" t="s">
        <v>1289</v>
      </c>
      <c r="G70" s="24" t="s">
        <v>59</v>
      </c>
      <c r="H70" s="24" t="s">
        <v>73</v>
      </c>
      <c r="I70" s="23" t="s">
        <v>155</v>
      </c>
      <c r="J70" s="12"/>
      <c r="K70" s="24" t="s">
        <v>132</v>
      </c>
      <c r="L70" s="24" t="s">
        <v>50</v>
      </c>
      <c r="M70" s="24" t="s">
        <v>26</v>
      </c>
      <c r="N70" s="12"/>
      <c r="O70" s="24" t="s">
        <v>155</v>
      </c>
      <c r="P70" s="24" t="s">
        <v>65</v>
      </c>
      <c r="Q70" s="23" t="s">
        <v>52</v>
      </c>
      <c r="R70" s="12"/>
      <c r="S70" s="32" t="str">
        <f>"605,0"</f>
        <v>605,0</v>
      </c>
      <c r="T70" s="12" t="str">
        <f>"386,2320"</f>
        <v>386,2320</v>
      </c>
      <c r="U70" s="11"/>
    </row>
    <row r="71" spans="1:21">
      <c r="A71" s="12" t="s">
        <v>240</v>
      </c>
      <c r="B71" s="11" t="s">
        <v>417</v>
      </c>
      <c r="C71" s="11" t="s">
        <v>418</v>
      </c>
      <c r="D71" s="11" t="s">
        <v>419</v>
      </c>
      <c r="E71" s="11" t="s">
        <v>1367</v>
      </c>
      <c r="F71" s="11" t="s">
        <v>1265</v>
      </c>
      <c r="G71" s="24" t="s">
        <v>30</v>
      </c>
      <c r="H71" s="24" t="s">
        <v>21</v>
      </c>
      <c r="I71" s="24" t="s">
        <v>59</v>
      </c>
      <c r="J71" s="12"/>
      <c r="K71" s="24" t="s">
        <v>50</v>
      </c>
      <c r="L71" s="24" t="s">
        <v>26</v>
      </c>
      <c r="M71" s="23" t="s">
        <v>147</v>
      </c>
      <c r="N71" s="12"/>
      <c r="O71" s="24" t="s">
        <v>59</v>
      </c>
      <c r="P71" s="24" t="s">
        <v>74</v>
      </c>
      <c r="Q71" s="23" t="s">
        <v>83</v>
      </c>
      <c r="R71" s="12"/>
      <c r="S71" s="32" t="str">
        <f>"575,0"</f>
        <v>575,0</v>
      </c>
      <c r="T71" s="12" t="str">
        <f>"368,7475"</f>
        <v>368,7475</v>
      </c>
      <c r="U71" s="11" t="s">
        <v>1237</v>
      </c>
    </row>
    <row r="72" spans="1:21">
      <c r="A72" s="12" t="s">
        <v>241</v>
      </c>
      <c r="B72" s="11" t="s">
        <v>420</v>
      </c>
      <c r="C72" s="11" t="s">
        <v>421</v>
      </c>
      <c r="D72" s="11" t="s">
        <v>422</v>
      </c>
      <c r="E72" s="11" t="s">
        <v>1367</v>
      </c>
      <c r="F72" s="11" t="s">
        <v>1290</v>
      </c>
      <c r="G72" s="24" t="s">
        <v>14</v>
      </c>
      <c r="H72" s="24" t="s">
        <v>15</v>
      </c>
      <c r="I72" s="23" t="s">
        <v>16</v>
      </c>
      <c r="J72" s="12"/>
      <c r="K72" s="24" t="s">
        <v>50</v>
      </c>
      <c r="L72" s="24" t="s">
        <v>51</v>
      </c>
      <c r="M72" s="23" t="s">
        <v>217</v>
      </c>
      <c r="N72" s="12"/>
      <c r="O72" s="24" t="s">
        <v>91</v>
      </c>
      <c r="P72" s="24" t="s">
        <v>423</v>
      </c>
      <c r="Q72" s="24" t="s">
        <v>424</v>
      </c>
      <c r="R72" s="12"/>
      <c r="S72" s="32" t="str">
        <f>"555,0"</f>
        <v>555,0</v>
      </c>
      <c r="T72" s="12" t="str">
        <f>"358,4745"</f>
        <v>358,4745</v>
      </c>
      <c r="U72" s="11"/>
    </row>
    <row r="73" spans="1:21">
      <c r="A73" s="12" t="s">
        <v>492</v>
      </c>
      <c r="B73" s="11" t="s">
        <v>425</v>
      </c>
      <c r="C73" s="11" t="s">
        <v>426</v>
      </c>
      <c r="D73" s="11" t="s">
        <v>427</v>
      </c>
      <c r="E73" s="11" t="s">
        <v>1367</v>
      </c>
      <c r="F73" s="11" t="s">
        <v>1291</v>
      </c>
      <c r="G73" s="23" t="s">
        <v>16</v>
      </c>
      <c r="H73" s="24" t="s">
        <v>30</v>
      </c>
      <c r="I73" s="24" t="s">
        <v>20</v>
      </c>
      <c r="J73" s="12"/>
      <c r="K73" s="24" t="s">
        <v>57</v>
      </c>
      <c r="L73" s="23" t="s">
        <v>132</v>
      </c>
      <c r="M73" s="23" t="s">
        <v>132</v>
      </c>
      <c r="N73" s="12"/>
      <c r="O73" s="24" t="s">
        <v>155</v>
      </c>
      <c r="P73" s="24" t="s">
        <v>357</v>
      </c>
      <c r="Q73" s="23" t="s">
        <v>65</v>
      </c>
      <c r="R73" s="12"/>
      <c r="S73" s="32" t="str">
        <f>"555,0"</f>
        <v>555,0</v>
      </c>
      <c r="T73" s="12" t="str">
        <f>"357,8085"</f>
        <v>357,8085</v>
      </c>
      <c r="U73" s="11"/>
    </row>
    <row r="74" spans="1:21">
      <c r="A74" s="12" t="s">
        <v>493</v>
      </c>
      <c r="B74" s="11" t="s">
        <v>428</v>
      </c>
      <c r="C74" s="11" t="s">
        <v>429</v>
      </c>
      <c r="D74" s="11" t="s">
        <v>430</v>
      </c>
      <c r="E74" s="11" t="s">
        <v>1367</v>
      </c>
      <c r="F74" s="11" t="s">
        <v>1265</v>
      </c>
      <c r="G74" s="24" t="s">
        <v>27</v>
      </c>
      <c r="H74" s="24" t="s">
        <v>14</v>
      </c>
      <c r="I74" s="24" t="s">
        <v>16</v>
      </c>
      <c r="J74" s="12"/>
      <c r="K74" s="24" t="s">
        <v>272</v>
      </c>
      <c r="L74" s="24" t="s">
        <v>166</v>
      </c>
      <c r="M74" s="24" t="s">
        <v>294</v>
      </c>
      <c r="N74" s="12"/>
      <c r="O74" s="24" t="s">
        <v>16</v>
      </c>
      <c r="P74" s="24" t="s">
        <v>21</v>
      </c>
      <c r="Q74" s="24" t="s">
        <v>91</v>
      </c>
      <c r="R74" s="12"/>
      <c r="S74" s="32" t="str">
        <f>"515,0"</f>
        <v>515,0</v>
      </c>
      <c r="T74" s="12" t="str">
        <f>"334,6985"</f>
        <v>334,6985</v>
      </c>
      <c r="U74" s="11" t="s">
        <v>960</v>
      </c>
    </row>
    <row r="75" spans="1:21">
      <c r="A75" s="12" t="s">
        <v>494</v>
      </c>
      <c r="B75" s="11" t="s">
        <v>431</v>
      </c>
      <c r="C75" s="11" t="s">
        <v>432</v>
      </c>
      <c r="D75" s="11" t="s">
        <v>433</v>
      </c>
      <c r="E75" s="11" t="s">
        <v>1367</v>
      </c>
      <c r="F75" s="11" t="s">
        <v>1265</v>
      </c>
      <c r="G75" s="24" t="s">
        <v>27</v>
      </c>
      <c r="H75" s="24" t="s">
        <v>81</v>
      </c>
      <c r="I75" s="24" t="s">
        <v>382</v>
      </c>
      <c r="J75" s="12"/>
      <c r="K75" s="24" t="s">
        <v>166</v>
      </c>
      <c r="L75" s="24" t="s">
        <v>294</v>
      </c>
      <c r="M75" s="23" t="s">
        <v>168</v>
      </c>
      <c r="N75" s="12"/>
      <c r="O75" s="24" t="s">
        <v>16</v>
      </c>
      <c r="P75" s="23" t="s">
        <v>20</v>
      </c>
      <c r="Q75" s="24" t="s">
        <v>20</v>
      </c>
      <c r="R75" s="12"/>
      <c r="S75" s="32" t="str">
        <f>"482,5"</f>
        <v>482,5</v>
      </c>
      <c r="T75" s="12" t="str">
        <f>"317,0025"</f>
        <v>317,0025</v>
      </c>
      <c r="U75" s="11" t="s">
        <v>139</v>
      </c>
    </row>
    <row r="76" spans="1:21">
      <c r="A76" s="12" t="s">
        <v>495</v>
      </c>
      <c r="B76" s="11" t="s">
        <v>434</v>
      </c>
      <c r="C76" s="11" t="s">
        <v>435</v>
      </c>
      <c r="D76" s="11" t="s">
        <v>436</v>
      </c>
      <c r="E76" s="11" t="s">
        <v>1367</v>
      </c>
      <c r="F76" s="11" t="s">
        <v>1291</v>
      </c>
      <c r="G76" s="24" t="s">
        <v>50</v>
      </c>
      <c r="H76" s="24" t="s">
        <v>147</v>
      </c>
      <c r="I76" s="23" t="s">
        <v>148</v>
      </c>
      <c r="J76" s="12"/>
      <c r="K76" s="24" t="s">
        <v>150</v>
      </c>
      <c r="L76" s="24" t="s">
        <v>138</v>
      </c>
      <c r="M76" s="23" t="s">
        <v>174</v>
      </c>
      <c r="N76" s="12"/>
      <c r="O76" s="24" t="s">
        <v>16</v>
      </c>
      <c r="P76" s="24" t="s">
        <v>21</v>
      </c>
      <c r="Q76" s="24" t="s">
        <v>59</v>
      </c>
      <c r="R76" s="12"/>
      <c r="S76" s="32" t="str">
        <f>"470,0"</f>
        <v>470,0</v>
      </c>
      <c r="T76" s="12" t="str">
        <f>"312,8320"</f>
        <v>312,8320</v>
      </c>
      <c r="U76" s="11" t="s">
        <v>437</v>
      </c>
    </row>
    <row r="77" spans="1:21">
      <c r="A77" s="12" t="s">
        <v>496</v>
      </c>
      <c r="B77" s="11" t="s">
        <v>438</v>
      </c>
      <c r="C77" s="11" t="s">
        <v>439</v>
      </c>
      <c r="D77" s="11" t="s">
        <v>440</v>
      </c>
      <c r="E77" s="11" t="s">
        <v>1367</v>
      </c>
      <c r="F77" s="11" t="s">
        <v>1292</v>
      </c>
      <c r="G77" s="23" t="s">
        <v>50</v>
      </c>
      <c r="H77" s="24" t="s">
        <v>26</v>
      </c>
      <c r="I77" s="23" t="s">
        <v>147</v>
      </c>
      <c r="J77" s="12"/>
      <c r="K77" s="24" t="s">
        <v>138</v>
      </c>
      <c r="L77" s="24" t="s">
        <v>272</v>
      </c>
      <c r="M77" s="24" t="s">
        <v>166</v>
      </c>
      <c r="N77" s="12"/>
      <c r="O77" s="24" t="s">
        <v>20</v>
      </c>
      <c r="P77" s="24" t="s">
        <v>31</v>
      </c>
      <c r="Q77" s="23" t="s">
        <v>91</v>
      </c>
      <c r="R77" s="12"/>
      <c r="S77" s="32" t="str">
        <f>"470,0"</f>
        <v>470,0</v>
      </c>
      <c r="T77" s="12" t="str">
        <f>"300,3770"</f>
        <v>300,3770</v>
      </c>
      <c r="U77" s="11" t="s">
        <v>441</v>
      </c>
    </row>
    <row r="78" spans="1:21">
      <c r="A78" s="12" t="s">
        <v>497</v>
      </c>
      <c r="B78" s="11" t="s">
        <v>442</v>
      </c>
      <c r="C78" s="11" t="s">
        <v>443</v>
      </c>
      <c r="D78" s="11" t="s">
        <v>444</v>
      </c>
      <c r="E78" s="11" t="s">
        <v>1367</v>
      </c>
      <c r="F78" s="11" t="s">
        <v>1293</v>
      </c>
      <c r="G78" s="24" t="s">
        <v>166</v>
      </c>
      <c r="H78" s="24" t="s">
        <v>57</v>
      </c>
      <c r="I78" s="23" t="s">
        <v>58</v>
      </c>
      <c r="J78" s="12"/>
      <c r="K78" s="24" t="s">
        <v>149</v>
      </c>
      <c r="L78" s="24" t="s">
        <v>136</v>
      </c>
      <c r="M78" s="24" t="s">
        <v>137</v>
      </c>
      <c r="N78" s="12"/>
      <c r="O78" s="24" t="s">
        <v>27</v>
      </c>
      <c r="P78" s="23" t="s">
        <v>15</v>
      </c>
      <c r="Q78" s="24" t="s">
        <v>15</v>
      </c>
      <c r="R78" s="12"/>
      <c r="S78" s="32" t="str">
        <f>"410,0"</f>
        <v>410,0</v>
      </c>
      <c r="T78" s="12" t="str">
        <f>"265,1470"</f>
        <v>265,1470</v>
      </c>
      <c r="U78" s="11" t="s">
        <v>445</v>
      </c>
    </row>
    <row r="79" spans="1:21">
      <c r="A79" s="12" t="s">
        <v>128</v>
      </c>
      <c r="B79" s="11" t="s">
        <v>446</v>
      </c>
      <c r="C79" s="11" t="s">
        <v>447</v>
      </c>
      <c r="D79" s="11" t="s">
        <v>448</v>
      </c>
      <c r="E79" s="11" t="s">
        <v>1367</v>
      </c>
      <c r="F79" s="11" t="s">
        <v>1290</v>
      </c>
      <c r="G79" s="24" t="s">
        <v>15</v>
      </c>
      <c r="H79" s="23" t="s">
        <v>30</v>
      </c>
      <c r="I79" s="23" t="s">
        <v>30</v>
      </c>
      <c r="J79" s="12"/>
      <c r="K79" s="23" t="s">
        <v>27</v>
      </c>
      <c r="L79" s="23" t="s">
        <v>27</v>
      </c>
      <c r="M79" s="23" t="s">
        <v>27</v>
      </c>
      <c r="N79" s="12"/>
      <c r="O79" s="23"/>
      <c r="P79" s="12"/>
      <c r="Q79" s="12"/>
      <c r="R79" s="12"/>
      <c r="S79" s="32">
        <v>0</v>
      </c>
      <c r="T79" s="12" t="str">
        <f>"0,0000"</f>
        <v>0,0000</v>
      </c>
      <c r="U79" s="11"/>
    </row>
    <row r="80" spans="1:21">
      <c r="A80" s="12" t="s">
        <v>124</v>
      </c>
      <c r="B80" s="11" t="s">
        <v>449</v>
      </c>
      <c r="C80" s="11" t="s">
        <v>450</v>
      </c>
      <c r="D80" s="11" t="s">
        <v>392</v>
      </c>
      <c r="E80" s="11" t="s">
        <v>1370</v>
      </c>
      <c r="F80" s="11" t="s">
        <v>1266</v>
      </c>
      <c r="G80" s="24" t="s">
        <v>159</v>
      </c>
      <c r="H80" s="24" t="s">
        <v>26</v>
      </c>
      <c r="I80" s="23" t="s">
        <v>51</v>
      </c>
      <c r="J80" s="12"/>
      <c r="K80" s="24" t="s">
        <v>250</v>
      </c>
      <c r="L80" s="24" t="s">
        <v>136</v>
      </c>
      <c r="M80" s="24" t="s">
        <v>150</v>
      </c>
      <c r="N80" s="12"/>
      <c r="O80" s="24" t="s">
        <v>148</v>
      </c>
      <c r="P80" s="23" t="s">
        <v>15</v>
      </c>
      <c r="Q80" s="23" t="s">
        <v>15</v>
      </c>
      <c r="R80" s="12"/>
      <c r="S80" s="32" t="str">
        <f>"417,5"</f>
        <v>417,5</v>
      </c>
      <c r="T80" s="12" t="str">
        <f>"271,0255"</f>
        <v>271,0255</v>
      </c>
      <c r="U80" s="11" t="s">
        <v>257</v>
      </c>
    </row>
    <row r="81" spans="1:21">
      <c r="A81" s="14" t="s">
        <v>124</v>
      </c>
      <c r="B81" s="13" t="s">
        <v>451</v>
      </c>
      <c r="C81" s="13" t="s">
        <v>452</v>
      </c>
      <c r="D81" s="13" t="s">
        <v>453</v>
      </c>
      <c r="E81" s="13" t="s">
        <v>1371</v>
      </c>
      <c r="F81" s="13" t="s">
        <v>1294</v>
      </c>
      <c r="G81" s="26" t="s">
        <v>169</v>
      </c>
      <c r="H81" s="25" t="s">
        <v>149</v>
      </c>
      <c r="I81" s="25" t="s">
        <v>150</v>
      </c>
      <c r="J81" s="14"/>
      <c r="K81" s="25" t="s">
        <v>134</v>
      </c>
      <c r="L81" s="25" t="s">
        <v>135</v>
      </c>
      <c r="M81" s="25" t="s">
        <v>29</v>
      </c>
      <c r="N81" s="14"/>
      <c r="O81" s="25" t="s">
        <v>50</v>
      </c>
      <c r="P81" s="25" t="s">
        <v>147</v>
      </c>
      <c r="Q81" s="25" t="s">
        <v>81</v>
      </c>
      <c r="R81" s="14"/>
      <c r="S81" s="31" t="str">
        <f>"337,5"</f>
        <v>337,5</v>
      </c>
      <c r="T81" s="14" t="str">
        <f>"335,2154"</f>
        <v>335,2154</v>
      </c>
      <c r="U81" s="13" t="s">
        <v>454</v>
      </c>
    </row>
    <row r="82" spans="1:21">
      <c r="B82" s="5" t="s">
        <v>125</v>
      </c>
    </row>
    <row r="83" spans="1:21" ht="16">
      <c r="A83" s="52" t="s">
        <v>60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21">
      <c r="A84" s="10" t="s">
        <v>124</v>
      </c>
      <c r="B84" s="9" t="s">
        <v>455</v>
      </c>
      <c r="C84" s="9" t="s">
        <v>456</v>
      </c>
      <c r="D84" s="9" t="s">
        <v>457</v>
      </c>
      <c r="E84" s="9" t="s">
        <v>1367</v>
      </c>
      <c r="F84" s="9" t="s">
        <v>1265</v>
      </c>
      <c r="G84" s="22" t="s">
        <v>65</v>
      </c>
      <c r="H84" s="22" t="s">
        <v>48</v>
      </c>
      <c r="I84" s="27" t="s">
        <v>49</v>
      </c>
      <c r="J84" s="10"/>
      <c r="K84" s="22" t="s">
        <v>147</v>
      </c>
      <c r="L84" s="22" t="s">
        <v>27</v>
      </c>
      <c r="M84" s="22" t="s">
        <v>81</v>
      </c>
      <c r="N84" s="10"/>
      <c r="O84" s="22" t="s">
        <v>43</v>
      </c>
      <c r="P84" s="27" t="s">
        <v>458</v>
      </c>
      <c r="Q84" s="27" t="s">
        <v>458</v>
      </c>
      <c r="R84" s="10"/>
      <c r="S84" s="28" t="str">
        <f>"712,5"</f>
        <v>712,5</v>
      </c>
      <c r="T84" s="10" t="str">
        <f>"434,1263"</f>
        <v>434,1263</v>
      </c>
      <c r="U84" s="9" t="s">
        <v>76</v>
      </c>
    </row>
    <row r="85" spans="1:21">
      <c r="A85" s="12" t="s">
        <v>126</v>
      </c>
      <c r="B85" s="11" t="s">
        <v>459</v>
      </c>
      <c r="C85" s="11" t="s">
        <v>460</v>
      </c>
      <c r="D85" s="11" t="s">
        <v>461</v>
      </c>
      <c r="E85" s="11" t="s">
        <v>1367</v>
      </c>
      <c r="F85" s="11" t="s">
        <v>1265</v>
      </c>
      <c r="G85" s="24" t="s">
        <v>16</v>
      </c>
      <c r="H85" s="24" t="s">
        <v>20</v>
      </c>
      <c r="I85" s="24" t="s">
        <v>31</v>
      </c>
      <c r="J85" s="12"/>
      <c r="K85" s="24" t="s">
        <v>268</v>
      </c>
      <c r="L85" s="24" t="s">
        <v>58</v>
      </c>
      <c r="M85" s="24" t="s">
        <v>50</v>
      </c>
      <c r="N85" s="12"/>
      <c r="O85" s="24" t="s">
        <v>155</v>
      </c>
      <c r="P85" s="23" t="s">
        <v>65</v>
      </c>
      <c r="Q85" s="24" t="s">
        <v>181</v>
      </c>
      <c r="R85" s="12"/>
      <c r="S85" s="32" t="str">
        <f>"590,0"</f>
        <v>590,0</v>
      </c>
      <c r="T85" s="12" t="str">
        <f>"361,4340"</f>
        <v>361,4340</v>
      </c>
      <c r="U85" s="11"/>
    </row>
    <row r="86" spans="1:21">
      <c r="A86" s="12" t="s">
        <v>127</v>
      </c>
      <c r="B86" s="11" t="s">
        <v>462</v>
      </c>
      <c r="C86" s="11" t="s">
        <v>463</v>
      </c>
      <c r="D86" s="11" t="s">
        <v>457</v>
      </c>
      <c r="E86" s="11" t="s">
        <v>1367</v>
      </c>
      <c r="F86" s="11" t="s">
        <v>1265</v>
      </c>
      <c r="G86" s="24" t="s">
        <v>16</v>
      </c>
      <c r="H86" s="24" t="s">
        <v>20</v>
      </c>
      <c r="I86" s="23" t="s">
        <v>21</v>
      </c>
      <c r="J86" s="12"/>
      <c r="K86" s="24" t="s">
        <v>147</v>
      </c>
      <c r="L86" s="24" t="s">
        <v>27</v>
      </c>
      <c r="M86" s="23" t="s">
        <v>81</v>
      </c>
      <c r="N86" s="12"/>
      <c r="O86" s="24" t="s">
        <v>73</v>
      </c>
      <c r="P86" s="24" t="s">
        <v>83</v>
      </c>
      <c r="Q86" s="24" t="s">
        <v>65</v>
      </c>
      <c r="R86" s="12"/>
      <c r="S86" s="32" t="str">
        <f>"590,0"</f>
        <v>590,0</v>
      </c>
      <c r="T86" s="12" t="str">
        <f>"359,4870"</f>
        <v>359,4870</v>
      </c>
      <c r="U86" s="11"/>
    </row>
    <row r="87" spans="1:21">
      <c r="A87" s="14" t="s">
        <v>124</v>
      </c>
      <c r="B87" s="13" t="s">
        <v>464</v>
      </c>
      <c r="C87" s="13" t="s">
        <v>465</v>
      </c>
      <c r="D87" s="13" t="s">
        <v>466</v>
      </c>
      <c r="E87" s="13" t="s">
        <v>1372</v>
      </c>
      <c r="F87" s="13" t="s">
        <v>1295</v>
      </c>
      <c r="G87" s="26" t="s">
        <v>294</v>
      </c>
      <c r="H87" s="25" t="s">
        <v>294</v>
      </c>
      <c r="I87" s="25" t="s">
        <v>132</v>
      </c>
      <c r="J87" s="25" t="s">
        <v>467</v>
      </c>
      <c r="K87" s="25" t="s">
        <v>18</v>
      </c>
      <c r="L87" s="25" t="s">
        <v>250</v>
      </c>
      <c r="M87" s="25" t="s">
        <v>149</v>
      </c>
      <c r="N87" s="26" t="s">
        <v>468</v>
      </c>
      <c r="O87" s="25" t="s">
        <v>147</v>
      </c>
      <c r="P87" s="26" t="s">
        <v>27</v>
      </c>
      <c r="Q87" s="25" t="s">
        <v>81</v>
      </c>
      <c r="R87" s="25" t="s">
        <v>469</v>
      </c>
      <c r="S87" s="31" t="str">
        <f>"392,5"</f>
        <v>392,5</v>
      </c>
      <c r="T87" s="14" t="str">
        <f>"457,0702"</f>
        <v>457,0702</v>
      </c>
      <c r="U87" s="13"/>
    </row>
    <row r="88" spans="1:21">
      <c r="B88" s="5" t="s">
        <v>125</v>
      </c>
    </row>
    <row r="89" spans="1:21" ht="16">
      <c r="A89" s="52" t="s">
        <v>86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21">
      <c r="A90" s="8" t="s">
        <v>124</v>
      </c>
      <c r="B90" s="7" t="s">
        <v>470</v>
      </c>
      <c r="C90" s="7" t="s">
        <v>471</v>
      </c>
      <c r="D90" s="7" t="s">
        <v>472</v>
      </c>
      <c r="E90" s="7" t="s">
        <v>1367</v>
      </c>
      <c r="F90" s="7" t="s">
        <v>1296</v>
      </c>
      <c r="G90" s="20" t="s">
        <v>91</v>
      </c>
      <c r="H90" s="20" t="s">
        <v>423</v>
      </c>
      <c r="I90" s="21" t="s">
        <v>357</v>
      </c>
      <c r="J90" s="8"/>
      <c r="K90" s="20" t="s">
        <v>14</v>
      </c>
      <c r="L90" s="21" t="s">
        <v>99</v>
      </c>
      <c r="M90" s="21" t="s">
        <v>99</v>
      </c>
      <c r="N90" s="8"/>
      <c r="O90" s="20" t="s">
        <v>181</v>
      </c>
      <c r="P90" s="20" t="s">
        <v>52</v>
      </c>
      <c r="Q90" s="21" t="s">
        <v>53</v>
      </c>
      <c r="R90" s="8"/>
      <c r="S90" s="29" t="str">
        <f>"647,5"</f>
        <v>647,5</v>
      </c>
      <c r="T90" s="8" t="str">
        <f>"381,5717"</f>
        <v>381,5717</v>
      </c>
      <c r="U90" s="7"/>
    </row>
    <row r="91" spans="1:21">
      <c r="B91" s="5" t="s">
        <v>125</v>
      </c>
    </row>
    <row r="92" spans="1:21" ht="16">
      <c r="A92" s="52" t="s">
        <v>218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21">
      <c r="A93" s="10" t="s">
        <v>124</v>
      </c>
      <c r="B93" s="9" t="s">
        <v>473</v>
      </c>
      <c r="C93" s="9" t="s">
        <v>474</v>
      </c>
      <c r="D93" s="9" t="s">
        <v>475</v>
      </c>
      <c r="E93" s="9" t="s">
        <v>1367</v>
      </c>
      <c r="F93" s="9" t="s">
        <v>1294</v>
      </c>
      <c r="G93" s="22" t="s">
        <v>48</v>
      </c>
      <c r="H93" s="22" t="s">
        <v>476</v>
      </c>
      <c r="I93" s="22" t="s">
        <v>98</v>
      </c>
      <c r="J93" s="10"/>
      <c r="K93" s="22" t="s">
        <v>148</v>
      </c>
      <c r="L93" s="22" t="s">
        <v>82</v>
      </c>
      <c r="M93" s="22" t="s">
        <v>15</v>
      </c>
      <c r="N93" s="10"/>
      <c r="O93" s="22" t="s">
        <v>80</v>
      </c>
      <c r="P93" s="22" t="s">
        <v>37</v>
      </c>
      <c r="Q93" s="27" t="s">
        <v>42</v>
      </c>
      <c r="R93" s="10"/>
      <c r="S93" s="28" t="str">
        <f>"730,0"</f>
        <v>730,0</v>
      </c>
      <c r="T93" s="10" t="str">
        <f>"421,9400"</f>
        <v>421,9400</v>
      </c>
      <c r="U93" s="9" t="s">
        <v>454</v>
      </c>
    </row>
    <row r="94" spans="1:21">
      <c r="A94" s="14" t="s">
        <v>124</v>
      </c>
      <c r="B94" s="13" t="s">
        <v>477</v>
      </c>
      <c r="C94" s="13" t="s">
        <v>478</v>
      </c>
      <c r="D94" s="13" t="s">
        <v>479</v>
      </c>
      <c r="E94" s="13" t="s">
        <v>1370</v>
      </c>
      <c r="F94" s="13" t="s">
        <v>1274</v>
      </c>
      <c r="G94" s="26" t="s">
        <v>27</v>
      </c>
      <c r="H94" s="25" t="s">
        <v>27</v>
      </c>
      <c r="I94" s="14"/>
      <c r="J94" s="14"/>
      <c r="K94" s="25" t="s">
        <v>51</v>
      </c>
      <c r="L94" s="25" t="s">
        <v>27</v>
      </c>
      <c r="M94" s="25" t="s">
        <v>14</v>
      </c>
      <c r="N94" s="14"/>
      <c r="O94" s="25" t="s">
        <v>20</v>
      </c>
      <c r="P94" s="25" t="s">
        <v>374</v>
      </c>
      <c r="Q94" s="26" t="s">
        <v>74</v>
      </c>
      <c r="R94" s="14"/>
      <c r="S94" s="31" t="str">
        <f>"537,5"</f>
        <v>537,5</v>
      </c>
      <c r="T94" s="14" t="str">
        <f>"312,0663"</f>
        <v>312,0663</v>
      </c>
      <c r="U94" s="13"/>
    </row>
    <row r="95" spans="1:21">
      <c r="B95" s="5" t="s">
        <v>125</v>
      </c>
    </row>
    <row r="96" spans="1:21">
      <c r="B96" s="5" t="s">
        <v>125</v>
      </c>
    </row>
    <row r="97" spans="2:6">
      <c r="B97" s="5" t="s">
        <v>125</v>
      </c>
    </row>
    <row r="98" spans="2:6" ht="18">
      <c r="B98" s="15" t="s">
        <v>101</v>
      </c>
      <c r="C98" s="15"/>
      <c r="F98" s="3"/>
    </row>
    <row r="99" spans="2:6" ht="16">
      <c r="B99" s="16" t="s">
        <v>102</v>
      </c>
      <c r="C99" s="16"/>
      <c r="F99" s="3"/>
    </row>
    <row r="100" spans="2:6" ht="14">
      <c r="B100" s="17"/>
      <c r="C100" s="18" t="s">
        <v>103</v>
      </c>
      <c r="F100" s="3"/>
    </row>
    <row r="101" spans="2:6" ht="14">
      <c r="B101" s="19" t="s">
        <v>104</v>
      </c>
      <c r="C101" s="19" t="s">
        <v>105</v>
      </c>
      <c r="D101" s="19" t="s">
        <v>1203</v>
      </c>
      <c r="E101" s="19" t="s">
        <v>107</v>
      </c>
      <c r="F101" s="19" t="s">
        <v>108</v>
      </c>
    </row>
    <row r="102" spans="2:6">
      <c r="B102" s="5" t="s">
        <v>319</v>
      </c>
      <c r="C102" s="5" t="s">
        <v>103</v>
      </c>
      <c r="D102" s="6" t="s">
        <v>230</v>
      </c>
      <c r="E102" s="6" t="s">
        <v>481</v>
      </c>
      <c r="F102" s="6" t="s">
        <v>482</v>
      </c>
    </row>
    <row r="103" spans="2:6">
      <c r="B103" s="5" t="s">
        <v>262</v>
      </c>
      <c r="C103" s="5" t="s">
        <v>103</v>
      </c>
      <c r="D103" s="6" t="s">
        <v>480</v>
      </c>
      <c r="E103" s="6" t="s">
        <v>42</v>
      </c>
      <c r="F103" s="6" t="s">
        <v>483</v>
      </c>
    </row>
    <row r="104" spans="2:6">
      <c r="B104" s="5" t="s">
        <v>269</v>
      </c>
      <c r="C104" s="5" t="s">
        <v>103</v>
      </c>
      <c r="D104" s="6" t="s">
        <v>480</v>
      </c>
      <c r="E104" s="6" t="s">
        <v>41</v>
      </c>
      <c r="F104" s="6" t="s">
        <v>484</v>
      </c>
    </row>
    <row r="106" spans="2:6" ht="16">
      <c r="B106" s="16" t="s">
        <v>111</v>
      </c>
      <c r="C106" s="16"/>
    </row>
    <row r="107" spans="2:6" ht="14">
      <c r="B107" s="17"/>
      <c r="C107" s="18" t="s">
        <v>103</v>
      </c>
    </row>
    <row r="108" spans="2:6" ht="14">
      <c r="B108" s="19" t="s">
        <v>104</v>
      </c>
      <c r="C108" s="19" t="s">
        <v>105</v>
      </c>
      <c r="D108" s="19" t="s">
        <v>1203</v>
      </c>
      <c r="E108" s="19" t="s">
        <v>107</v>
      </c>
      <c r="F108" s="19" t="s">
        <v>108</v>
      </c>
    </row>
    <row r="109" spans="2:6">
      <c r="B109" s="5" t="s">
        <v>366</v>
      </c>
      <c r="C109" s="5" t="s">
        <v>103</v>
      </c>
      <c r="D109" s="6" t="s">
        <v>110</v>
      </c>
      <c r="E109" s="6" t="s">
        <v>485</v>
      </c>
      <c r="F109" s="6" t="s">
        <v>486</v>
      </c>
    </row>
    <row r="110" spans="2:6">
      <c r="B110" s="5" t="s">
        <v>455</v>
      </c>
      <c r="C110" s="5" t="s">
        <v>103</v>
      </c>
      <c r="D110" s="6" t="s">
        <v>113</v>
      </c>
      <c r="E110" s="6" t="s">
        <v>487</v>
      </c>
      <c r="F110" s="6" t="s">
        <v>488</v>
      </c>
    </row>
    <row r="111" spans="2:6">
      <c r="B111" s="5" t="s">
        <v>407</v>
      </c>
      <c r="C111" s="5" t="s">
        <v>103</v>
      </c>
      <c r="D111" s="6" t="s">
        <v>119</v>
      </c>
      <c r="E111" s="6" t="s">
        <v>489</v>
      </c>
      <c r="F111" s="6" t="s">
        <v>490</v>
      </c>
    </row>
  </sheetData>
  <mergeCells count="27">
    <mergeCell ref="A92:R92"/>
    <mergeCell ref="B3:B4"/>
    <mergeCell ref="A43:R43"/>
    <mergeCell ref="A46:R46"/>
    <mergeCell ref="A53:R53"/>
    <mergeCell ref="A62:R62"/>
    <mergeCell ref="A83:R83"/>
    <mergeCell ref="A89:R89"/>
    <mergeCell ref="A8:R8"/>
    <mergeCell ref="A15:R15"/>
    <mergeCell ref="A21:R21"/>
    <mergeCell ref="A27:R27"/>
    <mergeCell ref="A35:R35"/>
    <mergeCell ref="A40:R40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12.5" style="6" customWidth="1"/>
    <col min="13" max="13" width="20" style="5" customWidth="1"/>
    <col min="14" max="16384" width="9.1640625" style="3"/>
  </cols>
  <sheetData>
    <row r="1" spans="1:13" s="2" customFormat="1" ht="29" customHeight="1">
      <c r="A1" s="41" t="s">
        <v>1247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32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544</v>
      </c>
      <c r="C6" s="7" t="s">
        <v>545</v>
      </c>
      <c r="D6" s="7" t="s">
        <v>546</v>
      </c>
      <c r="E6" s="7" t="s">
        <v>1371</v>
      </c>
      <c r="F6" s="7" t="s">
        <v>547</v>
      </c>
      <c r="G6" s="21" t="s">
        <v>26</v>
      </c>
      <c r="H6" s="21" t="s">
        <v>26</v>
      </c>
      <c r="I6" s="20" t="s">
        <v>26</v>
      </c>
      <c r="J6" s="8"/>
      <c r="K6" s="8" t="str">
        <f>"150,0"</f>
        <v>150,0</v>
      </c>
      <c r="L6" s="8" t="str">
        <f>"137,1154"</f>
        <v>137,1154</v>
      </c>
      <c r="M6" s="7"/>
    </row>
    <row r="7" spans="1:13">
      <c r="B7" s="5" t="s">
        <v>125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1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9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1" t="s">
        <v>1248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892</v>
      </c>
      <c r="C6" s="7" t="s">
        <v>893</v>
      </c>
      <c r="D6" s="7" t="s">
        <v>894</v>
      </c>
      <c r="E6" s="7" t="s">
        <v>1370</v>
      </c>
      <c r="F6" s="7" t="s">
        <v>1265</v>
      </c>
      <c r="G6" s="20" t="s">
        <v>58</v>
      </c>
      <c r="H6" s="20" t="s">
        <v>26</v>
      </c>
      <c r="I6" s="20" t="s">
        <v>27</v>
      </c>
      <c r="J6" s="8"/>
      <c r="K6" s="8" t="str">
        <f>"160,0"</f>
        <v>160,0</v>
      </c>
      <c r="L6" s="8" t="str">
        <f>"110,4800"</f>
        <v>110,4800</v>
      </c>
      <c r="M6" s="7" t="s">
        <v>888</v>
      </c>
    </row>
    <row r="7" spans="1:13">
      <c r="B7" s="5" t="s">
        <v>125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9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41" t="s">
        <v>1249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885</v>
      </c>
      <c r="C6" s="7" t="s">
        <v>886</v>
      </c>
      <c r="D6" s="7" t="s">
        <v>887</v>
      </c>
      <c r="E6" s="7" t="s">
        <v>1370</v>
      </c>
      <c r="F6" s="7" t="s">
        <v>1291</v>
      </c>
      <c r="G6" s="20" t="s">
        <v>58</v>
      </c>
      <c r="H6" s="20" t="s">
        <v>26</v>
      </c>
      <c r="I6" s="21" t="s">
        <v>27</v>
      </c>
      <c r="J6" s="8"/>
      <c r="K6" s="8" t="str">
        <f>"150,0"</f>
        <v>150,0</v>
      </c>
      <c r="L6" s="8" t="str">
        <f>"107,6782"</f>
        <v>107,6782</v>
      </c>
      <c r="M6" s="7" t="s">
        <v>888</v>
      </c>
    </row>
    <row r="7" spans="1:13">
      <c r="B7" s="5" t="s">
        <v>125</v>
      </c>
    </row>
    <row r="8" spans="1:13" ht="16">
      <c r="A8" s="52" t="s">
        <v>60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124</v>
      </c>
      <c r="B9" s="7" t="s">
        <v>889</v>
      </c>
      <c r="C9" s="7" t="s">
        <v>890</v>
      </c>
      <c r="D9" s="7" t="s">
        <v>891</v>
      </c>
      <c r="E9" s="7" t="s">
        <v>1371</v>
      </c>
      <c r="F9" s="7" t="s">
        <v>1332</v>
      </c>
      <c r="G9" s="20" t="s">
        <v>58</v>
      </c>
      <c r="H9" s="21" t="s">
        <v>26</v>
      </c>
      <c r="I9" s="20" t="s">
        <v>26</v>
      </c>
      <c r="J9" s="8"/>
      <c r="K9" s="8" t="str">
        <f>"150,0"</f>
        <v>150,0</v>
      </c>
      <c r="L9" s="8" t="str">
        <f>"129,6441"</f>
        <v>129,6441</v>
      </c>
      <c r="M9" s="7"/>
    </row>
    <row r="10" spans="1:13">
      <c r="B10" s="5" t="s">
        <v>125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22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1640625" style="5" customWidth="1"/>
    <col min="14" max="16384" width="9.1640625" style="3"/>
  </cols>
  <sheetData>
    <row r="1" spans="1:13" s="2" customFormat="1" ht="29" customHeight="1">
      <c r="A1" s="41" t="s">
        <v>1250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850</v>
      </c>
      <c r="C6" s="7" t="s">
        <v>851</v>
      </c>
      <c r="D6" s="7" t="s">
        <v>852</v>
      </c>
      <c r="E6" s="7" t="s">
        <v>1367</v>
      </c>
      <c r="F6" s="7" t="s">
        <v>1265</v>
      </c>
      <c r="G6" s="20" t="s">
        <v>31</v>
      </c>
      <c r="H6" s="21" t="s">
        <v>853</v>
      </c>
      <c r="I6" s="21" t="s">
        <v>853</v>
      </c>
      <c r="J6" s="8"/>
      <c r="K6" s="8" t="str">
        <f>"200,0"</f>
        <v>200,0</v>
      </c>
      <c r="L6" s="8" t="str">
        <f>"139,5100"</f>
        <v>139,5100</v>
      </c>
      <c r="M6" s="7" t="s">
        <v>1216</v>
      </c>
    </row>
    <row r="7" spans="1:13">
      <c r="B7" s="5" t="s">
        <v>125</v>
      </c>
    </row>
    <row r="8" spans="1:13" ht="16">
      <c r="A8" s="52" t="s">
        <v>32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124</v>
      </c>
      <c r="B9" s="9" t="s">
        <v>854</v>
      </c>
      <c r="C9" s="9" t="s">
        <v>855</v>
      </c>
      <c r="D9" s="9" t="s">
        <v>856</v>
      </c>
      <c r="E9" s="9" t="s">
        <v>1367</v>
      </c>
      <c r="F9" s="9" t="s">
        <v>1344</v>
      </c>
      <c r="G9" s="22" t="s">
        <v>91</v>
      </c>
      <c r="H9" s="27" t="s">
        <v>74</v>
      </c>
      <c r="I9" s="27" t="s">
        <v>74</v>
      </c>
      <c r="J9" s="10"/>
      <c r="K9" s="10" t="str">
        <f>"210,0"</f>
        <v>210,0</v>
      </c>
      <c r="L9" s="10" t="str">
        <f>"128,5725"</f>
        <v>128,5725</v>
      </c>
      <c r="M9" s="9" t="s">
        <v>857</v>
      </c>
    </row>
    <row r="10" spans="1:13">
      <c r="A10" s="12" t="s">
        <v>126</v>
      </c>
      <c r="B10" s="11" t="s">
        <v>763</v>
      </c>
      <c r="C10" s="11" t="s">
        <v>858</v>
      </c>
      <c r="D10" s="11" t="s">
        <v>765</v>
      </c>
      <c r="E10" s="11" t="s">
        <v>1367</v>
      </c>
      <c r="F10" s="11" t="s">
        <v>1279</v>
      </c>
      <c r="G10" s="24" t="s">
        <v>31</v>
      </c>
      <c r="H10" s="23" t="s">
        <v>186</v>
      </c>
      <c r="I10" s="23" t="s">
        <v>186</v>
      </c>
      <c r="J10" s="12"/>
      <c r="K10" s="12" t="str">
        <f>"200,0"</f>
        <v>200,0</v>
      </c>
      <c r="L10" s="12" t="str">
        <f>"126,1600"</f>
        <v>126,1600</v>
      </c>
      <c r="M10" s="11" t="s">
        <v>766</v>
      </c>
    </row>
    <row r="11" spans="1:13">
      <c r="A11" s="14" t="s">
        <v>124</v>
      </c>
      <c r="B11" s="13" t="s">
        <v>859</v>
      </c>
      <c r="C11" s="13" t="s">
        <v>860</v>
      </c>
      <c r="D11" s="13" t="s">
        <v>861</v>
      </c>
      <c r="E11" s="13" t="s">
        <v>1373</v>
      </c>
      <c r="F11" s="13" t="s">
        <v>1275</v>
      </c>
      <c r="G11" s="26" t="s">
        <v>59</v>
      </c>
      <c r="H11" s="25" t="s">
        <v>59</v>
      </c>
      <c r="I11" s="26" t="s">
        <v>853</v>
      </c>
      <c r="J11" s="14"/>
      <c r="K11" s="14" t="str">
        <f>"205,0"</f>
        <v>205,0</v>
      </c>
      <c r="L11" s="14" t="str">
        <f>"164,9859"</f>
        <v>164,9859</v>
      </c>
      <c r="M11" s="13"/>
    </row>
    <row r="12" spans="1:13">
      <c r="B12" s="5" t="s">
        <v>125</v>
      </c>
    </row>
    <row r="13" spans="1:13" ht="16">
      <c r="A13" s="52" t="s">
        <v>60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3">
      <c r="A14" s="8" t="s">
        <v>124</v>
      </c>
      <c r="B14" s="7" t="s">
        <v>862</v>
      </c>
      <c r="C14" s="7" t="s">
        <v>863</v>
      </c>
      <c r="D14" s="7" t="s">
        <v>864</v>
      </c>
      <c r="E14" s="7" t="s">
        <v>1372</v>
      </c>
      <c r="F14" s="7" t="s">
        <v>1265</v>
      </c>
      <c r="G14" s="20" t="s">
        <v>27</v>
      </c>
      <c r="H14" s="21" t="s">
        <v>14</v>
      </c>
      <c r="I14" s="21" t="s">
        <v>14</v>
      </c>
      <c r="J14" s="8"/>
      <c r="K14" s="8" t="str">
        <f>"160,0"</f>
        <v>160,0</v>
      </c>
      <c r="L14" s="8" t="str">
        <f>"158,9728"</f>
        <v>158,9728</v>
      </c>
      <c r="M14" s="7"/>
    </row>
    <row r="15" spans="1:13">
      <c r="B15" s="5" t="s">
        <v>125</v>
      </c>
    </row>
    <row r="16" spans="1:13" ht="16">
      <c r="A16" s="52" t="s">
        <v>86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>
      <c r="A17" s="10" t="s">
        <v>124</v>
      </c>
      <c r="B17" s="9" t="s">
        <v>816</v>
      </c>
      <c r="C17" s="9" t="s">
        <v>817</v>
      </c>
      <c r="D17" s="9" t="s">
        <v>818</v>
      </c>
      <c r="E17" s="9" t="s">
        <v>1367</v>
      </c>
      <c r="F17" s="9" t="s">
        <v>1290</v>
      </c>
      <c r="G17" s="22" t="s">
        <v>65</v>
      </c>
      <c r="H17" s="22" t="s">
        <v>48</v>
      </c>
      <c r="I17" s="27" t="s">
        <v>49</v>
      </c>
      <c r="J17" s="10"/>
      <c r="K17" s="10" t="str">
        <f>"250,0"</f>
        <v>250,0</v>
      </c>
      <c r="L17" s="10" t="str">
        <f>"140,6875"</f>
        <v>140,6875</v>
      </c>
      <c r="M17" s="9"/>
    </row>
    <row r="18" spans="1:13">
      <c r="A18" s="14" t="s">
        <v>126</v>
      </c>
      <c r="B18" s="13" t="s">
        <v>865</v>
      </c>
      <c r="C18" s="13" t="s">
        <v>866</v>
      </c>
      <c r="D18" s="13" t="s">
        <v>867</v>
      </c>
      <c r="E18" s="13" t="s">
        <v>1367</v>
      </c>
      <c r="F18" s="13" t="s">
        <v>1322</v>
      </c>
      <c r="G18" s="25" t="s">
        <v>59</v>
      </c>
      <c r="H18" s="25" t="s">
        <v>73</v>
      </c>
      <c r="I18" s="25" t="s">
        <v>186</v>
      </c>
      <c r="J18" s="14"/>
      <c r="K18" s="14" t="str">
        <f>"217,5"</f>
        <v>217,5</v>
      </c>
      <c r="L18" s="14" t="str">
        <f>"123,6379"</f>
        <v>123,6379</v>
      </c>
      <c r="M18" s="13"/>
    </row>
    <row r="19" spans="1:13">
      <c r="B19" s="5" t="s">
        <v>125</v>
      </c>
    </row>
    <row r="20" spans="1:13" ht="16">
      <c r="A20" s="52" t="s">
        <v>218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8" t="s">
        <v>124</v>
      </c>
      <c r="B21" s="7" t="s">
        <v>868</v>
      </c>
      <c r="C21" s="7" t="s">
        <v>869</v>
      </c>
      <c r="D21" s="7" t="s">
        <v>870</v>
      </c>
      <c r="E21" s="7" t="s">
        <v>1367</v>
      </c>
      <c r="F21" s="7" t="s">
        <v>1345</v>
      </c>
      <c r="G21" s="20" t="s">
        <v>65</v>
      </c>
      <c r="H21" s="20" t="s">
        <v>52</v>
      </c>
      <c r="I21" s="20" t="s">
        <v>98</v>
      </c>
      <c r="J21" s="8"/>
      <c r="K21" s="8" t="str">
        <f>"270,0"</f>
        <v>270,0</v>
      </c>
      <c r="L21" s="8" t="str">
        <f>"151,6860"</f>
        <v>151,6860</v>
      </c>
      <c r="M21" s="7"/>
    </row>
    <row r="22" spans="1:13">
      <c r="B22" s="5" t="s">
        <v>125</v>
      </c>
    </row>
  </sheetData>
  <mergeCells count="16">
    <mergeCell ref="A8:J8"/>
    <mergeCell ref="A13:J13"/>
    <mergeCell ref="A16:J16"/>
    <mergeCell ref="A20:J20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41" t="s">
        <v>1251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60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0" t="s">
        <v>124</v>
      </c>
      <c r="B6" s="9" t="s">
        <v>498</v>
      </c>
      <c r="C6" s="9" t="s">
        <v>499</v>
      </c>
      <c r="D6" s="9" t="s">
        <v>500</v>
      </c>
      <c r="E6" s="9" t="s">
        <v>1367</v>
      </c>
      <c r="F6" s="9" t="s">
        <v>1265</v>
      </c>
      <c r="G6" s="22" t="s">
        <v>48</v>
      </c>
      <c r="H6" s="27" t="s">
        <v>49</v>
      </c>
      <c r="I6" s="27" t="s">
        <v>49</v>
      </c>
      <c r="J6" s="10"/>
      <c r="K6" s="10" t="str">
        <f>"250,0"</f>
        <v>250,0</v>
      </c>
      <c r="L6" s="10" t="str">
        <f>"145,3875"</f>
        <v>145,3875</v>
      </c>
      <c r="M6" s="9" t="s">
        <v>139</v>
      </c>
    </row>
    <row r="7" spans="1:13">
      <c r="A7" s="14" t="s">
        <v>124</v>
      </c>
      <c r="B7" s="13" t="s">
        <v>501</v>
      </c>
      <c r="C7" s="13" t="s">
        <v>502</v>
      </c>
      <c r="D7" s="13" t="s">
        <v>503</v>
      </c>
      <c r="E7" s="13" t="s">
        <v>1370</v>
      </c>
      <c r="F7" s="13" t="s">
        <v>1274</v>
      </c>
      <c r="G7" s="25" t="s">
        <v>73</v>
      </c>
      <c r="H7" s="26" t="s">
        <v>155</v>
      </c>
      <c r="I7" s="25" t="s">
        <v>155</v>
      </c>
      <c r="J7" s="14"/>
      <c r="K7" s="14" t="str">
        <f>"225,0"</f>
        <v>225,0</v>
      </c>
      <c r="L7" s="14" t="str">
        <f>"132,5549"</f>
        <v>132,5549</v>
      </c>
      <c r="M7" s="13"/>
    </row>
    <row r="8" spans="1:13">
      <c r="B8" s="5" t="s">
        <v>125</v>
      </c>
    </row>
    <row r="9" spans="1:13" ht="16">
      <c r="A9" s="52" t="s">
        <v>86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10" t="s">
        <v>124</v>
      </c>
      <c r="B10" s="9" t="s">
        <v>504</v>
      </c>
      <c r="C10" s="9" t="s">
        <v>505</v>
      </c>
      <c r="D10" s="9" t="s">
        <v>506</v>
      </c>
      <c r="E10" s="9" t="s">
        <v>1367</v>
      </c>
      <c r="F10" s="9" t="s">
        <v>1274</v>
      </c>
      <c r="G10" s="22" t="s">
        <v>357</v>
      </c>
      <c r="H10" s="27" t="s">
        <v>181</v>
      </c>
      <c r="I10" s="22" t="s">
        <v>181</v>
      </c>
      <c r="J10" s="10"/>
      <c r="K10" s="10" t="str">
        <f>"245,0"</f>
        <v>245,0</v>
      </c>
      <c r="L10" s="10" t="str">
        <f>"138,6945"</f>
        <v>138,6945</v>
      </c>
      <c r="M10" s="9" t="s">
        <v>507</v>
      </c>
    </row>
    <row r="11" spans="1:13">
      <c r="A11" s="14" t="s">
        <v>124</v>
      </c>
      <c r="B11" s="13" t="s">
        <v>504</v>
      </c>
      <c r="C11" s="13" t="s">
        <v>508</v>
      </c>
      <c r="D11" s="13" t="s">
        <v>506</v>
      </c>
      <c r="E11" s="13" t="s">
        <v>1370</v>
      </c>
      <c r="F11" s="13" t="s">
        <v>1274</v>
      </c>
      <c r="G11" s="25" t="s">
        <v>357</v>
      </c>
      <c r="H11" s="26" t="s">
        <v>181</v>
      </c>
      <c r="I11" s="25" t="s">
        <v>181</v>
      </c>
      <c r="J11" s="14"/>
      <c r="K11" s="14" t="str">
        <f>"245,0"</f>
        <v>245,0</v>
      </c>
      <c r="L11" s="14" t="str">
        <f>"152,1479"</f>
        <v>152,1479</v>
      </c>
      <c r="M11" s="13" t="s">
        <v>507</v>
      </c>
    </row>
    <row r="12" spans="1:13">
      <c r="B12" s="5" t="s">
        <v>125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" style="5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41" t="s">
        <v>1252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720</v>
      </c>
      <c r="C6" s="7" t="s">
        <v>721</v>
      </c>
      <c r="D6" s="7" t="s">
        <v>643</v>
      </c>
      <c r="E6" s="7" t="s">
        <v>1369</v>
      </c>
      <c r="F6" s="7" t="s">
        <v>722</v>
      </c>
      <c r="G6" s="20" t="s">
        <v>20</v>
      </c>
      <c r="H6" s="20" t="s">
        <v>91</v>
      </c>
      <c r="I6" s="20" t="s">
        <v>74</v>
      </c>
      <c r="J6" s="21" t="s">
        <v>155</v>
      </c>
      <c r="K6" s="8" t="str">
        <f>"220,0"</f>
        <v>220,0</v>
      </c>
      <c r="L6" s="8" t="str">
        <f>"142,8350"</f>
        <v>142,8350</v>
      </c>
      <c r="M6" s="7" t="s">
        <v>723</v>
      </c>
    </row>
    <row r="7" spans="1:13">
      <c r="B7" s="5" t="s">
        <v>125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1" t="s">
        <v>1253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86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878</v>
      </c>
      <c r="C6" s="7" t="s">
        <v>879</v>
      </c>
      <c r="D6" s="7" t="s">
        <v>880</v>
      </c>
      <c r="E6" s="7" t="s">
        <v>1367</v>
      </c>
      <c r="F6" s="7" t="s">
        <v>1346</v>
      </c>
      <c r="G6" s="21" t="s">
        <v>458</v>
      </c>
      <c r="H6" s="20" t="s">
        <v>458</v>
      </c>
      <c r="I6" s="20" t="s">
        <v>72</v>
      </c>
      <c r="J6" s="8"/>
      <c r="K6" s="8" t="str">
        <f>"340,0"</f>
        <v>340,0</v>
      </c>
      <c r="L6" s="8" t="str">
        <f>"192,8140"</f>
        <v>192,8140</v>
      </c>
      <c r="M6" s="7" t="s">
        <v>881</v>
      </c>
    </row>
    <row r="7" spans="1:13">
      <c r="B7" s="5" t="s">
        <v>125</v>
      </c>
    </row>
    <row r="8" spans="1:13" ht="16">
      <c r="A8" s="52" t="s">
        <v>218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124</v>
      </c>
      <c r="B9" s="7" t="s">
        <v>882</v>
      </c>
      <c r="C9" s="7" t="s">
        <v>883</v>
      </c>
      <c r="D9" s="7" t="s">
        <v>884</v>
      </c>
      <c r="E9" s="7" t="s">
        <v>1373</v>
      </c>
      <c r="F9" s="7" t="s">
        <v>1347</v>
      </c>
      <c r="G9" s="20" t="s">
        <v>16</v>
      </c>
      <c r="H9" s="20" t="s">
        <v>31</v>
      </c>
      <c r="I9" s="20" t="s">
        <v>91</v>
      </c>
      <c r="J9" s="8"/>
      <c r="K9" s="8" t="str">
        <f>"210,0"</f>
        <v>210,0</v>
      </c>
      <c r="L9" s="8" t="str">
        <f>"135,9066"</f>
        <v>135,9066</v>
      </c>
      <c r="M9" s="7" t="s">
        <v>1214</v>
      </c>
    </row>
    <row r="10" spans="1:13">
      <c r="B10" s="5" t="s">
        <v>125</v>
      </c>
    </row>
    <row r="11" spans="1:13">
      <c r="B11" s="5" t="s">
        <v>125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8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3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1" t="s">
        <v>1254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1375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0" t="s">
        <v>124</v>
      </c>
      <c r="B6" s="9" t="s">
        <v>874</v>
      </c>
      <c r="C6" s="9" t="s">
        <v>309</v>
      </c>
      <c r="D6" s="9" t="s">
        <v>734</v>
      </c>
      <c r="E6" s="9" t="s">
        <v>1367</v>
      </c>
      <c r="F6" s="9" t="s">
        <v>1348</v>
      </c>
      <c r="G6" s="27" t="s">
        <v>272</v>
      </c>
      <c r="H6" s="22" t="s">
        <v>272</v>
      </c>
      <c r="I6" s="27" t="s">
        <v>57</v>
      </c>
      <c r="J6" s="10"/>
      <c r="K6" s="10" t="str">
        <f>"115,0"</f>
        <v>115,0</v>
      </c>
      <c r="L6" s="10" t="str">
        <f>"77,4410"</f>
        <v>77,4410</v>
      </c>
      <c r="M6" s="9"/>
    </row>
    <row r="7" spans="1:13">
      <c r="A7" s="14" t="s">
        <v>124</v>
      </c>
      <c r="B7" s="13" t="s">
        <v>875</v>
      </c>
      <c r="C7" s="13" t="s">
        <v>876</v>
      </c>
      <c r="D7" s="13" t="s">
        <v>877</v>
      </c>
      <c r="E7" s="13" t="s">
        <v>1372</v>
      </c>
      <c r="F7" s="13" t="s">
        <v>1349</v>
      </c>
      <c r="G7" s="25" t="s">
        <v>246</v>
      </c>
      <c r="H7" s="14"/>
      <c r="I7" s="14"/>
      <c r="J7" s="14"/>
      <c r="K7" s="14" t="str">
        <f>"55,0"</f>
        <v>55,0</v>
      </c>
      <c r="L7" s="14" t="str">
        <f>"70,9309"</f>
        <v>70,9309</v>
      </c>
      <c r="M7" s="13"/>
    </row>
    <row r="8" spans="1:13">
      <c r="B8" s="5" t="s">
        <v>125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8.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1" t="s">
        <v>1255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60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512</v>
      </c>
      <c r="C6" s="7" t="s">
        <v>513</v>
      </c>
      <c r="D6" s="7" t="s">
        <v>514</v>
      </c>
      <c r="E6" s="7" t="s">
        <v>1371</v>
      </c>
      <c r="F6" s="7" t="s">
        <v>1265</v>
      </c>
      <c r="G6" s="20" t="s">
        <v>170</v>
      </c>
      <c r="H6" s="20" t="s">
        <v>150</v>
      </c>
      <c r="I6" s="20" t="s">
        <v>265</v>
      </c>
      <c r="J6" s="8"/>
      <c r="K6" s="8" t="str">
        <f>"107,5"</f>
        <v>107,5</v>
      </c>
      <c r="L6" s="8" t="str">
        <f>"100,0901"</f>
        <v>100,0901</v>
      </c>
      <c r="M6" s="7"/>
    </row>
    <row r="7" spans="1:13">
      <c r="B7" s="5" t="s">
        <v>125</v>
      </c>
    </row>
    <row r="8" spans="1:13" ht="16">
      <c r="A8" s="52" t="s">
        <v>218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124</v>
      </c>
      <c r="B9" s="7" t="s">
        <v>515</v>
      </c>
      <c r="C9" s="7" t="s">
        <v>516</v>
      </c>
      <c r="D9" s="7" t="s">
        <v>517</v>
      </c>
      <c r="E9" s="7" t="s">
        <v>1367</v>
      </c>
      <c r="F9" s="7" t="s">
        <v>1350</v>
      </c>
      <c r="G9" s="20" t="s">
        <v>31</v>
      </c>
      <c r="H9" s="20" t="s">
        <v>59</v>
      </c>
      <c r="I9" s="20" t="s">
        <v>374</v>
      </c>
      <c r="J9" s="8"/>
      <c r="K9" s="8" t="str">
        <f>"207,5"</f>
        <v>207,5</v>
      </c>
      <c r="L9" s="8" t="str">
        <f>"120,3500"</f>
        <v>120,3500</v>
      </c>
      <c r="M9" s="7" t="s">
        <v>1201</v>
      </c>
    </row>
    <row r="10" spans="1:13">
      <c r="B10" s="5" t="s">
        <v>125</v>
      </c>
    </row>
    <row r="11" spans="1:13" ht="16">
      <c r="A11" s="52" t="s">
        <v>224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124</v>
      </c>
      <c r="B12" s="7" t="s">
        <v>518</v>
      </c>
      <c r="C12" s="7" t="s">
        <v>519</v>
      </c>
      <c r="D12" s="7" t="s">
        <v>520</v>
      </c>
      <c r="E12" s="7" t="s">
        <v>1367</v>
      </c>
      <c r="F12" s="7" t="s">
        <v>1274</v>
      </c>
      <c r="G12" s="20" t="s">
        <v>21</v>
      </c>
      <c r="H12" s="20" t="s">
        <v>176</v>
      </c>
      <c r="I12" s="20" t="s">
        <v>91</v>
      </c>
      <c r="J12" s="8"/>
      <c r="K12" s="8" t="str">
        <f>"210,0"</f>
        <v>210,0</v>
      </c>
      <c r="L12" s="8" t="str">
        <f>"118,7550"</f>
        <v>118,7550</v>
      </c>
      <c r="M12" s="7"/>
    </row>
    <row r="13" spans="1:13">
      <c r="B13" s="5" t="s">
        <v>125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1.8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10.1640625" style="6" customWidth="1"/>
    <col min="13" max="13" width="21" style="5" customWidth="1"/>
    <col min="14" max="16384" width="9.1640625" style="3"/>
  </cols>
  <sheetData>
    <row r="1" spans="1:13" s="2" customFormat="1" ht="29" customHeight="1">
      <c r="A1" s="41" t="s">
        <v>1256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251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1151</v>
      </c>
      <c r="C6" s="7" t="s">
        <v>1152</v>
      </c>
      <c r="D6" s="7" t="s">
        <v>1041</v>
      </c>
      <c r="E6" s="7" t="s">
        <v>1367</v>
      </c>
      <c r="F6" s="7" t="s">
        <v>1265</v>
      </c>
      <c r="G6" s="20" t="s">
        <v>660</v>
      </c>
      <c r="H6" s="20" t="s">
        <v>1150</v>
      </c>
      <c r="I6" s="20" t="s">
        <v>277</v>
      </c>
      <c r="J6" s="8"/>
      <c r="K6" s="8" t="str">
        <f>"35,0"</f>
        <v>35,0</v>
      </c>
      <c r="L6" s="8" t="str">
        <f>"38,8850"</f>
        <v>38,8850</v>
      </c>
      <c r="M6" s="7"/>
    </row>
    <row r="7" spans="1:13">
      <c r="B7" s="5" t="s">
        <v>125</v>
      </c>
    </row>
    <row r="8" spans="1:13" ht="16">
      <c r="A8" s="52" t="s">
        <v>281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124</v>
      </c>
      <c r="B9" s="7" t="s">
        <v>1153</v>
      </c>
      <c r="C9" s="7" t="s">
        <v>1154</v>
      </c>
      <c r="D9" s="7" t="s">
        <v>1148</v>
      </c>
      <c r="E9" s="7" t="s">
        <v>1367</v>
      </c>
      <c r="F9" s="7" t="s">
        <v>1273</v>
      </c>
      <c r="G9" s="20" t="s">
        <v>28</v>
      </c>
      <c r="H9" s="20" t="s">
        <v>29</v>
      </c>
      <c r="I9" s="20" t="s">
        <v>279</v>
      </c>
      <c r="J9" s="8"/>
      <c r="K9" s="8" t="str">
        <f>"75,0"</f>
        <v>75,0</v>
      </c>
      <c r="L9" s="8" t="str">
        <f>"78,2925"</f>
        <v>78,2925</v>
      </c>
      <c r="M9" s="7"/>
    </row>
    <row r="10" spans="1:13">
      <c r="B10" s="5" t="s">
        <v>125</v>
      </c>
    </row>
    <row r="11" spans="1:13" ht="16">
      <c r="A11" s="52" t="s">
        <v>32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124</v>
      </c>
      <c r="B12" s="7" t="s">
        <v>1155</v>
      </c>
      <c r="C12" s="7" t="s">
        <v>1156</v>
      </c>
      <c r="D12" s="7" t="s">
        <v>402</v>
      </c>
      <c r="E12" s="7" t="s">
        <v>1372</v>
      </c>
      <c r="F12" s="7" t="s">
        <v>1275</v>
      </c>
      <c r="G12" s="20" t="s">
        <v>249</v>
      </c>
      <c r="H12" s="21" t="s">
        <v>293</v>
      </c>
      <c r="I12" s="21" t="s">
        <v>293</v>
      </c>
      <c r="J12" s="8"/>
      <c r="K12" s="8" t="str">
        <f>"45,0"</f>
        <v>45,0</v>
      </c>
      <c r="L12" s="8" t="str">
        <f>"61,8817"</f>
        <v>61,8817</v>
      </c>
      <c r="M12" s="7" t="s">
        <v>1200</v>
      </c>
    </row>
    <row r="13" spans="1:13">
      <c r="B13" s="5" t="s">
        <v>125</v>
      </c>
    </row>
    <row r="14" spans="1:13" ht="16">
      <c r="A14" s="52" t="s">
        <v>10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>
      <c r="A15" s="10" t="s">
        <v>124</v>
      </c>
      <c r="B15" s="9" t="s">
        <v>1157</v>
      </c>
      <c r="C15" s="9" t="s">
        <v>1165</v>
      </c>
      <c r="D15" s="9" t="s">
        <v>1158</v>
      </c>
      <c r="E15" s="9" t="s">
        <v>1376</v>
      </c>
      <c r="F15" s="9" t="s">
        <v>1351</v>
      </c>
      <c r="G15" s="22" t="s">
        <v>1159</v>
      </c>
      <c r="H15" s="22" t="s">
        <v>159</v>
      </c>
      <c r="I15" s="27" t="s">
        <v>50</v>
      </c>
      <c r="J15" s="10"/>
      <c r="K15" s="10" t="str">
        <f>"142,5"</f>
        <v>142,5</v>
      </c>
      <c r="L15" s="10" t="str">
        <f>"98,2110"</f>
        <v>98,2110</v>
      </c>
      <c r="M15" s="9" t="s">
        <v>1160</v>
      </c>
    </row>
    <row r="16" spans="1:13">
      <c r="A16" s="14" t="s">
        <v>124</v>
      </c>
      <c r="B16" s="13" t="s">
        <v>1157</v>
      </c>
      <c r="C16" s="13" t="s">
        <v>1161</v>
      </c>
      <c r="D16" s="13" t="s">
        <v>1158</v>
      </c>
      <c r="E16" s="13" t="s">
        <v>1367</v>
      </c>
      <c r="F16" s="13" t="s">
        <v>1351</v>
      </c>
      <c r="G16" s="25" t="s">
        <v>1159</v>
      </c>
      <c r="H16" s="25" t="s">
        <v>159</v>
      </c>
      <c r="I16" s="26" t="s">
        <v>50</v>
      </c>
      <c r="J16" s="14"/>
      <c r="K16" s="14" t="str">
        <f>"142,5"</f>
        <v>142,5</v>
      </c>
      <c r="L16" s="14" t="str">
        <f>"98,2110"</f>
        <v>98,2110</v>
      </c>
      <c r="M16" s="13" t="s">
        <v>1160</v>
      </c>
    </row>
    <row r="17" spans="1:13">
      <c r="B17" s="5" t="s">
        <v>125</v>
      </c>
    </row>
    <row r="18" spans="1:13" ht="16">
      <c r="A18" s="52" t="s">
        <v>86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3">
      <c r="A19" s="8" t="s">
        <v>124</v>
      </c>
      <c r="B19" s="7" t="s">
        <v>1162</v>
      </c>
      <c r="C19" s="7" t="s">
        <v>1163</v>
      </c>
      <c r="D19" s="7" t="s">
        <v>1164</v>
      </c>
      <c r="E19" s="7" t="s">
        <v>1367</v>
      </c>
      <c r="F19" s="7" t="s">
        <v>1275</v>
      </c>
      <c r="G19" s="20" t="s">
        <v>136</v>
      </c>
      <c r="H19" s="21" t="s">
        <v>138</v>
      </c>
      <c r="I19" s="20" t="s">
        <v>272</v>
      </c>
      <c r="J19" s="8"/>
      <c r="K19" s="8" t="str">
        <f>"115,0"</f>
        <v>115,0</v>
      </c>
      <c r="L19" s="8" t="str">
        <f>"65,6478"</f>
        <v>65,6478</v>
      </c>
      <c r="M19" s="7" t="s">
        <v>1200</v>
      </c>
    </row>
    <row r="20" spans="1:13">
      <c r="B20" s="5" t="s">
        <v>125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44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4.3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0" bestFit="1" customWidth="1"/>
    <col min="20" max="20" width="8.5" style="6" bestFit="1" customWidth="1"/>
    <col min="21" max="21" width="22.1640625" style="5" customWidth="1"/>
    <col min="22" max="16384" width="9.1640625" style="3"/>
  </cols>
  <sheetData>
    <row r="1" spans="1:21" s="2" customFormat="1" ht="29" customHeight="1">
      <c r="A1" s="41" t="s">
        <v>1239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162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124</v>
      </c>
      <c r="B6" s="7" t="s">
        <v>163</v>
      </c>
      <c r="C6" s="7" t="s">
        <v>164</v>
      </c>
      <c r="D6" s="7" t="s">
        <v>165</v>
      </c>
      <c r="E6" s="7" t="s">
        <v>1367</v>
      </c>
      <c r="F6" s="7" t="s">
        <v>1265</v>
      </c>
      <c r="G6" s="20" t="s">
        <v>166</v>
      </c>
      <c r="H6" s="20" t="s">
        <v>167</v>
      </c>
      <c r="I6" s="20" t="s">
        <v>168</v>
      </c>
      <c r="J6" s="8"/>
      <c r="K6" s="20" t="s">
        <v>169</v>
      </c>
      <c r="L6" s="20" t="s">
        <v>149</v>
      </c>
      <c r="M6" s="20" t="s">
        <v>170</v>
      </c>
      <c r="N6" s="8"/>
      <c r="O6" s="20" t="s">
        <v>58</v>
      </c>
      <c r="P6" s="21" t="s">
        <v>50</v>
      </c>
      <c r="Q6" s="20" t="s">
        <v>154</v>
      </c>
      <c r="R6" s="8"/>
      <c r="S6" s="29" t="str">
        <f>"372,5"</f>
        <v>372,5</v>
      </c>
      <c r="T6" s="8" t="str">
        <f>"389,8958"</f>
        <v>389,8958</v>
      </c>
      <c r="U6" s="7"/>
    </row>
    <row r="7" spans="1:21">
      <c r="B7" s="5" t="s">
        <v>125</v>
      </c>
    </row>
    <row r="8" spans="1:21" ht="16">
      <c r="A8" s="52" t="s">
        <v>10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124</v>
      </c>
      <c r="B9" s="7" t="s">
        <v>171</v>
      </c>
      <c r="C9" s="7" t="s">
        <v>172</v>
      </c>
      <c r="D9" s="7" t="s">
        <v>173</v>
      </c>
      <c r="E9" s="7" t="s">
        <v>1367</v>
      </c>
      <c r="F9" s="7" t="s">
        <v>1265</v>
      </c>
      <c r="G9" s="21" t="s">
        <v>148</v>
      </c>
      <c r="H9" s="20" t="s">
        <v>148</v>
      </c>
      <c r="I9" s="20" t="s">
        <v>15</v>
      </c>
      <c r="J9" s="8"/>
      <c r="K9" s="20" t="s">
        <v>150</v>
      </c>
      <c r="L9" s="20" t="s">
        <v>138</v>
      </c>
      <c r="M9" s="20" t="s">
        <v>174</v>
      </c>
      <c r="N9" s="8"/>
      <c r="O9" s="20" t="s">
        <v>20</v>
      </c>
      <c r="P9" s="20" t="s">
        <v>175</v>
      </c>
      <c r="Q9" s="20" t="s">
        <v>176</v>
      </c>
      <c r="R9" s="8"/>
      <c r="S9" s="29" t="str">
        <f>"490,0"</f>
        <v>490,0</v>
      </c>
      <c r="T9" s="8" t="str">
        <f>"468,5870"</f>
        <v>468,5870</v>
      </c>
      <c r="U9" s="7" t="s">
        <v>177</v>
      </c>
    </row>
    <row r="10" spans="1:21">
      <c r="B10" s="5" t="s">
        <v>125</v>
      </c>
    </row>
    <row r="11" spans="1:21" ht="16">
      <c r="A11" s="52" t="s">
        <v>10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8" t="s">
        <v>124</v>
      </c>
      <c r="B12" s="7" t="s">
        <v>178</v>
      </c>
      <c r="C12" s="7" t="s">
        <v>179</v>
      </c>
      <c r="D12" s="7" t="s">
        <v>180</v>
      </c>
      <c r="E12" s="7" t="s">
        <v>1367</v>
      </c>
      <c r="F12" s="7" t="s">
        <v>1274</v>
      </c>
      <c r="G12" s="20" t="s">
        <v>74</v>
      </c>
      <c r="H12" s="20" t="s">
        <v>83</v>
      </c>
      <c r="I12" s="20" t="s">
        <v>181</v>
      </c>
      <c r="J12" s="8"/>
      <c r="K12" s="20" t="s">
        <v>166</v>
      </c>
      <c r="L12" s="20" t="s">
        <v>168</v>
      </c>
      <c r="M12" s="20" t="s">
        <v>132</v>
      </c>
      <c r="N12" s="8"/>
      <c r="O12" s="21" t="s">
        <v>41</v>
      </c>
      <c r="P12" s="20" t="s">
        <v>75</v>
      </c>
      <c r="Q12" s="20" t="s">
        <v>43</v>
      </c>
      <c r="R12" s="8"/>
      <c r="S12" s="29" t="str">
        <f>"680,0"</f>
        <v>680,0</v>
      </c>
      <c r="T12" s="8" t="str">
        <f>"484,5680"</f>
        <v>484,5680</v>
      </c>
      <c r="U12" s="7" t="s">
        <v>1234</v>
      </c>
    </row>
    <row r="13" spans="1:21">
      <c r="B13" s="5" t="s">
        <v>125</v>
      </c>
    </row>
    <row r="14" spans="1:21" ht="16">
      <c r="A14" s="52" t="s">
        <v>22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21">
      <c r="A15" s="10" t="s">
        <v>124</v>
      </c>
      <c r="B15" s="9" t="s">
        <v>182</v>
      </c>
      <c r="C15" s="9" t="s">
        <v>183</v>
      </c>
      <c r="D15" s="9" t="s">
        <v>184</v>
      </c>
      <c r="E15" s="9" t="s">
        <v>1368</v>
      </c>
      <c r="F15" s="9" t="s">
        <v>185</v>
      </c>
      <c r="G15" s="22" t="s">
        <v>20</v>
      </c>
      <c r="H15" s="27" t="s">
        <v>59</v>
      </c>
      <c r="I15" s="27" t="s">
        <v>59</v>
      </c>
      <c r="J15" s="10"/>
      <c r="K15" s="22" t="s">
        <v>136</v>
      </c>
      <c r="L15" s="27" t="s">
        <v>138</v>
      </c>
      <c r="M15" s="27" t="s">
        <v>138</v>
      </c>
      <c r="N15" s="10"/>
      <c r="O15" s="22" t="s">
        <v>31</v>
      </c>
      <c r="P15" s="22" t="s">
        <v>186</v>
      </c>
      <c r="Q15" s="27" t="s">
        <v>83</v>
      </c>
      <c r="R15" s="10"/>
      <c r="S15" s="28" t="str">
        <f>"507,5"</f>
        <v>507,5</v>
      </c>
      <c r="T15" s="10" t="str">
        <f>"344,5925"</f>
        <v>344,5925</v>
      </c>
      <c r="U15" s="9"/>
    </row>
    <row r="16" spans="1:21">
      <c r="A16" s="12" t="s">
        <v>124</v>
      </c>
      <c r="B16" s="11" t="s">
        <v>187</v>
      </c>
      <c r="C16" s="11" t="s">
        <v>188</v>
      </c>
      <c r="D16" s="11" t="s">
        <v>189</v>
      </c>
      <c r="E16" s="11" t="s">
        <v>1367</v>
      </c>
      <c r="F16" s="11" t="s">
        <v>1265</v>
      </c>
      <c r="G16" s="24" t="s">
        <v>14</v>
      </c>
      <c r="H16" s="24" t="s">
        <v>40</v>
      </c>
      <c r="I16" s="23" t="s">
        <v>20</v>
      </c>
      <c r="J16" s="12"/>
      <c r="K16" s="24" t="s">
        <v>58</v>
      </c>
      <c r="L16" s="23" t="s">
        <v>26</v>
      </c>
      <c r="M16" s="23" t="s">
        <v>26</v>
      </c>
      <c r="N16" s="12"/>
      <c r="O16" s="24" t="s">
        <v>148</v>
      </c>
      <c r="P16" s="24" t="s">
        <v>16</v>
      </c>
      <c r="Q16" s="23" t="s">
        <v>20</v>
      </c>
      <c r="R16" s="12"/>
      <c r="S16" s="32" t="str">
        <f>"502,5"</f>
        <v>502,5</v>
      </c>
      <c r="T16" s="12" t="str">
        <f>"339,8910"</f>
        <v>339,8910</v>
      </c>
      <c r="U16" s="11" t="s">
        <v>100</v>
      </c>
    </row>
    <row r="17" spans="1:21">
      <c r="A17" s="14" t="s">
        <v>128</v>
      </c>
      <c r="B17" s="13" t="s">
        <v>190</v>
      </c>
      <c r="C17" s="13" t="s">
        <v>191</v>
      </c>
      <c r="D17" s="13" t="s">
        <v>192</v>
      </c>
      <c r="E17" s="13" t="s">
        <v>1367</v>
      </c>
      <c r="F17" s="13" t="s">
        <v>1297</v>
      </c>
      <c r="G17" s="26" t="s">
        <v>57</v>
      </c>
      <c r="H17" s="25" t="s">
        <v>57</v>
      </c>
      <c r="I17" s="25" t="s">
        <v>58</v>
      </c>
      <c r="J17" s="14"/>
      <c r="K17" s="25" t="s">
        <v>136</v>
      </c>
      <c r="L17" s="26" t="s">
        <v>138</v>
      </c>
      <c r="M17" s="26" t="s">
        <v>138</v>
      </c>
      <c r="N17" s="14"/>
      <c r="O17" s="26" t="s">
        <v>26</v>
      </c>
      <c r="P17" s="26" t="s">
        <v>14</v>
      </c>
      <c r="Q17" s="26" t="s">
        <v>16</v>
      </c>
      <c r="R17" s="14"/>
      <c r="S17" s="31">
        <v>0</v>
      </c>
      <c r="T17" s="14" t="str">
        <f>"0,0000"</f>
        <v>0,0000</v>
      </c>
      <c r="U17" s="13"/>
    </row>
    <row r="18" spans="1:21">
      <c r="B18" s="5" t="s">
        <v>125</v>
      </c>
    </row>
    <row r="19" spans="1:21" ht="16">
      <c r="A19" s="52" t="s">
        <v>60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21">
      <c r="A20" s="10" t="s">
        <v>124</v>
      </c>
      <c r="B20" s="9" t="s">
        <v>193</v>
      </c>
      <c r="C20" s="9" t="s">
        <v>194</v>
      </c>
      <c r="D20" s="9" t="s">
        <v>195</v>
      </c>
      <c r="E20" s="9" t="s">
        <v>1367</v>
      </c>
      <c r="F20" s="9" t="s">
        <v>1298</v>
      </c>
      <c r="G20" s="22" t="s">
        <v>41</v>
      </c>
      <c r="H20" s="22" t="s">
        <v>75</v>
      </c>
      <c r="I20" s="27" t="s">
        <v>196</v>
      </c>
      <c r="J20" s="10"/>
      <c r="K20" s="22" t="s">
        <v>21</v>
      </c>
      <c r="L20" s="27" t="s">
        <v>31</v>
      </c>
      <c r="M20" s="27" t="s">
        <v>31</v>
      </c>
      <c r="N20" s="10"/>
      <c r="O20" s="22" t="s">
        <v>197</v>
      </c>
      <c r="P20" s="22" t="s">
        <v>71</v>
      </c>
      <c r="Q20" s="27" t="s">
        <v>198</v>
      </c>
      <c r="R20" s="10"/>
      <c r="S20" s="28" t="str">
        <f>"815,0"</f>
        <v>815,0</v>
      </c>
      <c r="T20" s="10" t="str">
        <f>"498,0465"</f>
        <v>498,0465</v>
      </c>
      <c r="U20" s="9" t="s">
        <v>199</v>
      </c>
    </row>
    <row r="21" spans="1:21">
      <c r="A21" s="12" t="s">
        <v>126</v>
      </c>
      <c r="B21" s="11" t="s">
        <v>200</v>
      </c>
      <c r="C21" s="11" t="s">
        <v>201</v>
      </c>
      <c r="D21" s="11" t="s">
        <v>202</v>
      </c>
      <c r="E21" s="11" t="s">
        <v>1367</v>
      </c>
      <c r="F21" s="11" t="s">
        <v>1299</v>
      </c>
      <c r="G21" s="24" t="s">
        <v>48</v>
      </c>
      <c r="H21" s="24" t="s">
        <v>52</v>
      </c>
      <c r="I21" s="24" t="s">
        <v>49</v>
      </c>
      <c r="J21" s="12"/>
      <c r="K21" s="24" t="s">
        <v>16</v>
      </c>
      <c r="L21" s="23" t="s">
        <v>20</v>
      </c>
      <c r="M21" s="23" t="s">
        <v>20</v>
      </c>
      <c r="N21" s="12"/>
      <c r="O21" s="23" t="s">
        <v>80</v>
      </c>
      <c r="P21" s="24" t="s">
        <v>41</v>
      </c>
      <c r="Q21" s="24" t="s">
        <v>75</v>
      </c>
      <c r="R21" s="12"/>
      <c r="S21" s="32" t="str">
        <f>"730,0"</f>
        <v>730,0</v>
      </c>
      <c r="T21" s="12" t="str">
        <f>"450,1180"</f>
        <v>450,1180</v>
      </c>
      <c r="U21" s="11"/>
    </row>
    <row r="22" spans="1:21">
      <c r="A22" s="12" t="s">
        <v>127</v>
      </c>
      <c r="B22" s="11" t="s">
        <v>203</v>
      </c>
      <c r="C22" s="11" t="s">
        <v>204</v>
      </c>
      <c r="D22" s="11" t="s">
        <v>205</v>
      </c>
      <c r="E22" s="11" t="s">
        <v>1367</v>
      </c>
      <c r="F22" s="11" t="s">
        <v>1300</v>
      </c>
      <c r="G22" s="24" t="s">
        <v>41</v>
      </c>
      <c r="H22" s="24" t="s">
        <v>75</v>
      </c>
      <c r="I22" s="23" t="s">
        <v>38</v>
      </c>
      <c r="J22" s="12"/>
      <c r="K22" s="24" t="s">
        <v>16</v>
      </c>
      <c r="L22" s="23" t="s">
        <v>20</v>
      </c>
      <c r="M22" s="23" t="s">
        <v>20</v>
      </c>
      <c r="N22" s="12"/>
      <c r="O22" s="24" t="s">
        <v>49</v>
      </c>
      <c r="P22" s="23" t="s">
        <v>98</v>
      </c>
      <c r="Q22" s="23" t="s">
        <v>98</v>
      </c>
      <c r="R22" s="12"/>
      <c r="S22" s="32" t="str">
        <f>"730,0"</f>
        <v>730,0</v>
      </c>
      <c r="T22" s="12" t="str">
        <f>"448,9500"</f>
        <v>448,9500</v>
      </c>
      <c r="U22" s="11" t="s">
        <v>206</v>
      </c>
    </row>
    <row r="23" spans="1:21">
      <c r="A23" s="12" t="s">
        <v>240</v>
      </c>
      <c r="B23" s="11" t="s">
        <v>207</v>
      </c>
      <c r="C23" s="11" t="s">
        <v>208</v>
      </c>
      <c r="D23" s="11" t="s">
        <v>209</v>
      </c>
      <c r="E23" s="11" t="s">
        <v>1367</v>
      </c>
      <c r="F23" s="11" t="s">
        <v>1301</v>
      </c>
      <c r="G23" s="24" t="s">
        <v>155</v>
      </c>
      <c r="H23" s="24" t="s">
        <v>65</v>
      </c>
      <c r="I23" s="24" t="s">
        <v>66</v>
      </c>
      <c r="J23" s="12"/>
      <c r="K23" s="24" t="s">
        <v>14</v>
      </c>
      <c r="L23" s="23" t="s">
        <v>40</v>
      </c>
      <c r="M23" s="24" t="s">
        <v>20</v>
      </c>
      <c r="N23" s="12"/>
      <c r="O23" s="24" t="s">
        <v>65</v>
      </c>
      <c r="P23" s="24" t="s">
        <v>49</v>
      </c>
      <c r="Q23" s="23" t="s">
        <v>80</v>
      </c>
      <c r="R23" s="12"/>
      <c r="S23" s="32" t="str">
        <f>"702,5"</f>
        <v>702,5</v>
      </c>
      <c r="T23" s="12" t="str">
        <f>"428,2440"</f>
        <v>428,2440</v>
      </c>
      <c r="U23" s="11" t="s">
        <v>76</v>
      </c>
    </row>
    <row r="24" spans="1:21">
      <c r="A24" s="14" t="s">
        <v>241</v>
      </c>
      <c r="B24" s="13" t="s">
        <v>210</v>
      </c>
      <c r="C24" s="13" t="s">
        <v>211</v>
      </c>
      <c r="D24" s="13" t="s">
        <v>212</v>
      </c>
      <c r="E24" s="13" t="s">
        <v>1367</v>
      </c>
      <c r="F24" s="13" t="s">
        <v>1302</v>
      </c>
      <c r="G24" s="25" t="s">
        <v>91</v>
      </c>
      <c r="H24" s="25" t="s">
        <v>74</v>
      </c>
      <c r="I24" s="25" t="s">
        <v>83</v>
      </c>
      <c r="J24" s="14"/>
      <c r="K24" s="25" t="s">
        <v>14</v>
      </c>
      <c r="L24" s="25" t="s">
        <v>15</v>
      </c>
      <c r="M24" s="25" t="s">
        <v>16</v>
      </c>
      <c r="N24" s="14"/>
      <c r="O24" s="25" t="s">
        <v>74</v>
      </c>
      <c r="P24" s="25" t="s">
        <v>213</v>
      </c>
      <c r="Q24" s="26" t="s">
        <v>181</v>
      </c>
      <c r="R24" s="14"/>
      <c r="S24" s="31" t="str">
        <f>"642,5"</f>
        <v>642,5</v>
      </c>
      <c r="T24" s="14" t="str">
        <f>"393,4027"</f>
        <v>393,4027</v>
      </c>
      <c r="U24" s="13"/>
    </row>
    <row r="25" spans="1:21">
      <c r="B25" s="5" t="s">
        <v>125</v>
      </c>
    </row>
    <row r="26" spans="1:21" ht="16">
      <c r="A26" s="52" t="s">
        <v>86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</row>
    <row r="27" spans="1:21">
      <c r="A27" s="8" t="s">
        <v>124</v>
      </c>
      <c r="B27" s="7" t="s">
        <v>214</v>
      </c>
      <c r="C27" s="7" t="s">
        <v>215</v>
      </c>
      <c r="D27" s="7" t="s">
        <v>216</v>
      </c>
      <c r="E27" s="7" t="s">
        <v>1367</v>
      </c>
      <c r="F27" s="7" t="s">
        <v>1303</v>
      </c>
      <c r="G27" s="20" t="s">
        <v>14</v>
      </c>
      <c r="H27" s="20" t="s">
        <v>30</v>
      </c>
      <c r="I27" s="20" t="s">
        <v>21</v>
      </c>
      <c r="J27" s="8"/>
      <c r="K27" s="20" t="s">
        <v>58</v>
      </c>
      <c r="L27" s="20" t="s">
        <v>26</v>
      </c>
      <c r="M27" s="20" t="s">
        <v>217</v>
      </c>
      <c r="N27" s="8"/>
      <c r="O27" s="21" t="s">
        <v>74</v>
      </c>
      <c r="P27" s="20" t="s">
        <v>74</v>
      </c>
      <c r="Q27" s="20" t="s">
        <v>65</v>
      </c>
      <c r="R27" s="8"/>
      <c r="S27" s="29" t="str">
        <f>"592,5"</f>
        <v>592,5</v>
      </c>
      <c r="T27" s="8" t="str">
        <f>"349,5750"</f>
        <v>349,5750</v>
      </c>
      <c r="U27" s="7" t="s">
        <v>1234</v>
      </c>
    </row>
    <row r="28" spans="1:21">
      <c r="B28" s="5" t="s">
        <v>125</v>
      </c>
    </row>
    <row r="29" spans="1:21" ht="16">
      <c r="A29" s="52" t="s">
        <v>218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</row>
    <row r="30" spans="1:21">
      <c r="A30" s="8" t="s">
        <v>124</v>
      </c>
      <c r="B30" s="7" t="s">
        <v>219</v>
      </c>
      <c r="C30" s="7" t="s">
        <v>220</v>
      </c>
      <c r="D30" s="7" t="s">
        <v>221</v>
      </c>
      <c r="E30" s="7" t="s">
        <v>1367</v>
      </c>
      <c r="F30" s="7" t="s">
        <v>1304</v>
      </c>
      <c r="G30" s="20" t="s">
        <v>83</v>
      </c>
      <c r="H30" s="20" t="s">
        <v>65</v>
      </c>
      <c r="I30" s="20" t="s">
        <v>48</v>
      </c>
      <c r="J30" s="8"/>
      <c r="K30" s="20" t="s">
        <v>82</v>
      </c>
      <c r="L30" s="21" t="s">
        <v>40</v>
      </c>
      <c r="M30" s="21" t="s">
        <v>40</v>
      </c>
      <c r="N30" s="8"/>
      <c r="O30" s="20" t="s">
        <v>222</v>
      </c>
      <c r="P30" s="20" t="s">
        <v>43</v>
      </c>
      <c r="Q30" s="20" t="s">
        <v>223</v>
      </c>
      <c r="R30" s="8"/>
      <c r="S30" s="29" t="str">
        <f>"727,5"</f>
        <v>727,5</v>
      </c>
      <c r="T30" s="8" t="str">
        <f>"422,8958"</f>
        <v>422,8958</v>
      </c>
      <c r="U30" s="7"/>
    </row>
    <row r="31" spans="1:21">
      <c r="B31" s="5" t="s">
        <v>125</v>
      </c>
    </row>
    <row r="32" spans="1:21" ht="16">
      <c r="A32" s="52" t="s">
        <v>224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21">
      <c r="A33" s="8" t="s">
        <v>124</v>
      </c>
      <c r="B33" s="7" t="s">
        <v>225</v>
      </c>
      <c r="C33" s="7" t="s">
        <v>226</v>
      </c>
      <c r="D33" s="7" t="s">
        <v>227</v>
      </c>
      <c r="E33" s="7" t="s">
        <v>1367</v>
      </c>
      <c r="F33" s="7" t="s">
        <v>185</v>
      </c>
      <c r="G33" s="20" t="s">
        <v>49</v>
      </c>
      <c r="H33" s="20" t="s">
        <v>41</v>
      </c>
      <c r="I33" s="20" t="s">
        <v>38</v>
      </c>
      <c r="J33" s="8"/>
      <c r="K33" s="20" t="s">
        <v>147</v>
      </c>
      <c r="L33" s="20" t="s">
        <v>148</v>
      </c>
      <c r="M33" s="20" t="s">
        <v>99</v>
      </c>
      <c r="N33" s="8"/>
      <c r="O33" s="20" t="s">
        <v>75</v>
      </c>
      <c r="P33" s="20" t="s">
        <v>228</v>
      </c>
      <c r="Q33" s="20" t="s">
        <v>229</v>
      </c>
      <c r="R33" s="8"/>
      <c r="S33" s="29" t="str">
        <f>"797,5"</f>
        <v>797,5</v>
      </c>
      <c r="T33" s="8" t="str">
        <f>"450,1887"</f>
        <v>450,1887</v>
      </c>
      <c r="U33" s="7"/>
    </row>
    <row r="34" spans="1:21">
      <c r="B34" s="5" t="s">
        <v>125</v>
      </c>
    </row>
    <row r="35" spans="1:21">
      <c r="B35" s="5" t="s">
        <v>125</v>
      </c>
    </row>
    <row r="36" spans="1:21">
      <c r="B36" s="5" t="s">
        <v>125</v>
      </c>
    </row>
    <row r="37" spans="1:21" ht="18">
      <c r="B37" s="15" t="s">
        <v>101</v>
      </c>
      <c r="C37" s="15"/>
      <c r="F37" s="3"/>
    </row>
    <row r="38" spans="1:21" ht="16">
      <c r="B38" s="16" t="s">
        <v>111</v>
      </c>
      <c r="C38" s="16"/>
      <c r="F38" s="3"/>
    </row>
    <row r="39" spans="1:21" ht="14">
      <c r="B39" s="17"/>
      <c r="C39" s="18" t="s">
        <v>103</v>
      </c>
      <c r="F39" s="3"/>
    </row>
    <row r="40" spans="1:21" ht="14">
      <c r="B40" s="19" t="s">
        <v>104</v>
      </c>
      <c r="C40" s="19" t="s">
        <v>105</v>
      </c>
      <c r="D40" s="19" t="s">
        <v>106</v>
      </c>
      <c r="E40" s="19" t="s">
        <v>107</v>
      </c>
      <c r="F40" s="19" t="s">
        <v>108</v>
      </c>
    </row>
    <row r="41" spans="1:21">
      <c r="B41" s="5" t="s">
        <v>193</v>
      </c>
      <c r="C41" s="5" t="s">
        <v>103</v>
      </c>
      <c r="D41" s="6" t="s">
        <v>113</v>
      </c>
      <c r="E41" s="6" t="s">
        <v>233</v>
      </c>
      <c r="F41" s="6" t="s">
        <v>234</v>
      </c>
    </row>
    <row r="42" spans="1:21">
      <c r="B42" s="5" t="s">
        <v>178</v>
      </c>
      <c r="C42" s="5" t="s">
        <v>103</v>
      </c>
      <c r="D42" s="6" t="s">
        <v>109</v>
      </c>
      <c r="E42" s="6" t="s">
        <v>235</v>
      </c>
      <c r="F42" s="6" t="s">
        <v>236</v>
      </c>
    </row>
    <row r="43" spans="1:21">
      <c r="B43" s="5" t="s">
        <v>225</v>
      </c>
      <c r="C43" s="5" t="s">
        <v>103</v>
      </c>
      <c r="D43" s="6" t="s">
        <v>237</v>
      </c>
      <c r="E43" s="6" t="s">
        <v>238</v>
      </c>
      <c r="F43" s="6" t="s">
        <v>239</v>
      </c>
    </row>
    <row r="44" spans="1:21">
      <c r="B44" s="5" t="s">
        <v>125</v>
      </c>
    </row>
  </sheetData>
  <mergeCells count="21">
    <mergeCell ref="A32:R32"/>
    <mergeCell ref="B3:B4"/>
    <mergeCell ref="A8:R8"/>
    <mergeCell ref="A11:R11"/>
    <mergeCell ref="A14:R14"/>
    <mergeCell ref="A19:R19"/>
    <mergeCell ref="A26:R26"/>
    <mergeCell ref="A29:R29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88"/>
  <sheetViews>
    <sheetView topLeftCell="A41" workbookViewId="0">
      <selection activeCell="E72" sqref="E7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3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8" style="5" bestFit="1" customWidth="1"/>
    <col min="14" max="16384" width="9.1640625" style="3"/>
  </cols>
  <sheetData>
    <row r="1" spans="1:13" s="2" customFormat="1" ht="29" customHeight="1">
      <c r="A1" s="41" t="s">
        <v>1257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9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600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917</v>
      </c>
      <c r="C6" s="7" t="s">
        <v>918</v>
      </c>
      <c r="D6" s="7" t="s">
        <v>919</v>
      </c>
      <c r="E6" s="7" t="s">
        <v>1374</v>
      </c>
      <c r="F6" s="7" t="s">
        <v>1266</v>
      </c>
      <c r="G6" s="20" t="s">
        <v>293</v>
      </c>
      <c r="H6" s="20" t="s">
        <v>246</v>
      </c>
      <c r="I6" s="20" t="s">
        <v>267</v>
      </c>
      <c r="J6" s="8"/>
      <c r="K6" s="8" t="str">
        <f>"62,5"</f>
        <v>62,5</v>
      </c>
      <c r="L6" s="8" t="str">
        <f>"90,6875"</f>
        <v>90,6875</v>
      </c>
      <c r="M6" s="7" t="s">
        <v>257</v>
      </c>
    </row>
    <row r="7" spans="1:13">
      <c r="B7" s="5" t="s">
        <v>125</v>
      </c>
    </row>
    <row r="8" spans="1:13" ht="16">
      <c r="A8" s="52" t="s">
        <v>242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124</v>
      </c>
      <c r="B9" s="9" t="s">
        <v>920</v>
      </c>
      <c r="C9" s="9" t="s">
        <v>921</v>
      </c>
      <c r="D9" s="9" t="s">
        <v>245</v>
      </c>
      <c r="E9" s="9" t="s">
        <v>1374</v>
      </c>
      <c r="F9" s="9" t="s">
        <v>1352</v>
      </c>
      <c r="G9" s="22" t="s">
        <v>18</v>
      </c>
      <c r="H9" s="22" t="s">
        <v>169</v>
      </c>
      <c r="I9" s="22" t="s">
        <v>170</v>
      </c>
      <c r="J9" s="10"/>
      <c r="K9" s="10" t="str">
        <f>"97,5"</f>
        <v>97,5</v>
      </c>
      <c r="L9" s="10" t="str">
        <f>"129,5288"</f>
        <v>129,5288</v>
      </c>
      <c r="M9" s="9" t="s">
        <v>1208</v>
      </c>
    </row>
    <row r="10" spans="1:13">
      <c r="A10" s="14" t="s">
        <v>124</v>
      </c>
      <c r="B10" s="13" t="s">
        <v>922</v>
      </c>
      <c r="C10" s="13" t="s">
        <v>923</v>
      </c>
      <c r="D10" s="13" t="s">
        <v>924</v>
      </c>
      <c r="E10" s="13" t="s">
        <v>1367</v>
      </c>
      <c r="F10" s="13" t="s">
        <v>1353</v>
      </c>
      <c r="G10" s="25" t="s">
        <v>343</v>
      </c>
      <c r="H10" s="25" t="s">
        <v>18</v>
      </c>
      <c r="I10" s="26" t="s">
        <v>170</v>
      </c>
      <c r="J10" s="14"/>
      <c r="K10" s="14" t="str">
        <f>"85,0"</f>
        <v>85,0</v>
      </c>
      <c r="L10" s="14" t="str">
        <f>"114,3165"</f>
        <v>114,3165</v>
      </c>
      <c r="M10" s="13" t="s">
        <v>925</v>
      </c>
    </row>
    <row r="11" spans="1:13">
      <c r="B11" s="5" t="s">
        <v>125</v>
      </c>
    </row>
    <row r="12" spans="1:13" ht="16">
      <c r="A12" s="52" t="s">
        <v>251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0" t="s">
        <v>124</v>
      </c>
      <c r="B13" s="9" t="s">
        <v>926</v>
      </c>
      <c r="C13" s="9" t="s">
        <v>927</v>
      </c>
      <c r="D13" s="9" t="s">
        <v>928</v>
      </c>
      <c r="E13" s="9" t="s">
        <v>1368</v>
      </c>
      <c r="F13" s="9" t="s">
        <v>1265</v>
      </c>
      <c r="G13" s="22" t="s">
        <v>250</v>
      </c>
      <c r="H13" s="27" t="s">
        <v>149</v>
      </c>
      <c r="I13" s="27" t="s">
        <v>149</v>
      </c>
      <c r="J13" s="10"/>
      <c r="K13" s="10" t="str">
        <f>"90,0"</f>
        <v>90,0</v>
      </c>
      <c r="L13" s="10" t="str">
        <f>"115,2720"</f>
        <v>115,2720</v>
      </c>
      <c r="M13" s="9" t="s">
        <v>929</v>
      </c>
    </row>
    <row r="14" spans="1:13">
      <c r="A14" s="14" t="s">
        <v>124</v>
      </c>
      <c r="B14" s="13" t="s">
        <v>930</v>
      </c>
      <c r="C14" s="13" t="s">
        <v>931</v>
      </c>
      <c r="D14" s="13" t="s">
        <v>932</v>
      </c>
      <c r="E14" s="13" t="s">
        <v>1373</v>
      </c>
      <c r="F14" s="13" t="s">
        <v>1265</v>
      </c>
      <c r="G14" s="25" t="s">
        <v>136</v>
      </c>
      <c r="H14" s="25" t="s">
        <v>138</v>
      </c>
      <c r="I14" s="26" t="s">
        <v>166</v>
      </c>
      <c r="J14" s="14"/>
      <c r="K14" s="14" t="str">
        <f>"110,0"</f>
        <v>110,0</v>
      </c>
      <c r="L14" s="14" t="str">
        <f>"159,5924"</f>
        <v>159,5924</v>
      </c>
      <c r="M14" s="13"/>
    </row>
    <row r="15" spans="1:13">
      <c r="B15" s="5" t="s">
        <v>125</v>
      </c>
    </row>
    <row r="16" spans="1:13" ht="16">
      <c r="A16" s="52" t="s">
        <v>281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>
      <c r="A17" s="10" t="s">
        <v>124</v>
      </c>
      <c r="B17" s="9" t="s">
        <v>290</v>
      </c>
      <c r="C17" s="9" t="s">
        <v>291</v>
      </c>
      <c r="D17" s="9" t="s">
        <v>292</v>
      </c>
      <c r="E17" s="9" t="s">
        <v>1367</v>
      </c>
      <c r="F17" s="9" t="s">
        <v>1271</v>
      </c>
      <c r="G17" s="27" t="s">
        <v>294</v>
      </c>
      <c r="H17" s="22" t="s">
        <v>294</v>
      </c>
      <c r="I17" s="22" t="s">
        <v>57</v>
      </c>
      <c r="J17" s="10"/>
      <c r="K17" s="10" t="str">
        <f>"130,0"</f>
        <v>130,0</v>
      </c>
      <c r="L17" s="10" t="str">
        <f>"153,1790"</f>
        <v>153,1790</v>
      </c>
      <c r="M17" s="9"/>
    </row>
    <row r="18" spans="1:13">
      <c r="A18" s="14" t="s">
        <v>126</v>
      </c>
      <c r="B18" s="13" t="s">
        <v>285</v>
      </c>
      <c r="C18" s="13" t="s">
        <v>286</v>
      </c>
      <c r="D18" s="13" t="s">
        <v>287</v>
      </c>
      <c r="E18" s="13" t="s">
        <v>1367</v>
      </c>
      <c r="F18" s="13" t="s">
        <v>1265</v>
      </c>
      <c r="G18" s="25" t="s">
        <v>138</v>
      </c>
      <c r="H18" s="26" t="s">
        <v>272</v>
      </c>
      <c r="I18" s="26" t="s">
        <v>272</v>
      </c>
      <c r="J18" s="14"/>
      <c r="K18" s="14" t="str">
        <f>"110,0"</f>
        <v>110,0</v>
      </c>
      <c r="L18" s="14" t="str">
        <f>"130,1520"</f>
        <v>130,1520</v>
      </c>
      <c r="M18" s="13" t="s">
        <v>289</v>
      </c>
    </row>
    <row r="19" spans="1:13">
      <c r="B19" s="5" t="s">
        <v>125</v>
      </c>
    </row>
    <row r="20" spans="1:13" ht="16">
      <c r="A20" s="52" t="s">
        <v>298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10" t="s">
        <v>124</v>
      </c>
      <c r="B21" s="9" t="s">
        <v>933</v>
      </c>
      <c r="C21" s="9" t="s">
        <v>934</v>
      </c>
      <c r="D21" s="9" t="s">
        <v>935</v>
      </c>
      <c r="E21" s="9" t="s">
        <v>1368</v>
      </c>
      <c r="F21" s="9" t="s">
        <v>1265</v>
      </c>
      <c r="G21" s="27" t="s">
        <v>272</v>
      </c>
      <c r="H21" s="22" t="s">
        <v>272</v>
      </c>
      <c r="I21" s="22" t="s">
        <v>143</v>
      </c>
      <c r="J21" s="10"/>
      <c r="K21" s="10" t="str">
        <f>"117,5"</f>
        <v>117,5</v>
      </c>
      <c r="L21" s="10" t="str">
        <f>"132,8925"</f>
        <v>132,8925</v>
      </c>
      <c r="M21" s="9" t="s">
        <v>754</v>
      </c>
    </row>
    <row r="22" spans="1:13">
      <c r="A22" s="14" t="s">
        <v>124</v>
      </c>
      <c r="B22" s="13" t="s">
        <v>936</v>
      </c>
      <c r="C22" s="13" t="s">
        <v>937</v>
      </c>
      <c r="D22" s="13" t="s">
        <v>938</v>
      </c>
      <c r="E22" s="13" t="s">
        <v>1367</v>
      </c>
      <c r="F22" s="13" t="s">
        <v>1265</v>
      </c>
      <c r="G22" s="25" t="s">
        <v>166</v>
      </c>
      <c r="H22" s="25" t="s">
        <v>168</v>
      </c>
      <c r="I22" s="25" t="s">
        <v>268</v>
      </c>
      <c r="J22" s="14"/>
      <c r="K22" s="14" t="str">
        <f>"132,5"</f>
        <v>132,5</v>
      </c>
      <c r="L22" s="14" t="str">
        <f>"148,1085"</f>
        <v>148,1085</v>
      </c>
      <c r="M22" s="13"/>
    </row>
    <row r="23" spans="1:13">
      <c r="B23" s="5" t="s">
        <v>125</v>
      </c>
    </row>
    <row r="24" spans="1:13" ht="16">
      <c r="A24" s="52" t="s">
        <v>162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3">
      <c r="A25" s="10" t="s">
        <v>124</v>
      </c>
      <c r="B25" s="9" t="s">
        <v>632</v>
      </c>
      <c r="C25" s="9" t="s">
        <v>633</v>
      </c>
      <c r="D25" s="9" t="s">
        <v>634</v>
      </c>
      <c r="E25" s="9" t="s">
        <v>1367</v>
      </c>
      <c r="F25" s="9" t="s">
        <v>1294</v>
      </c>
      <c r="G25" s="22" t="s">
        <v>26</v>
      </c>
      <c r="H25" s="22" t="s">
        <v>81</v>
      </c>
      <c r="I25" s="10"/>
      <c r="J25" s="10"/>
      <c r="K25" s="10" t="str">
        <f>"162,5"</f>
        <v>162,5</v>
      </c>
      <c r="L25" s="10" t="str">
        <f>"166,3838"</f>
        <v>166,3838</v>
      </c>
      <c r="M25" s="9" t="s">
        <v>454</v>
      </c>
    </row>
    <row r="26" spans="1:13">
      <c r="A26" s="14" t="s">
        <v>126</v>
      </c>
      <c r="B26" s="13" t="s">
        <v>939</v>
      </c>
      <c r="C26" s="13" t="s">
        <v>940</v>
      </c>
      <c r="D26" s="13" t="s">
        <v>673</v>
      </c>
      <c r="E26" s="13" t="s">
        <v>1367</v>
      </c>
      <c r="F26" s="13" t="s">
        <v>1273</v>
      </c>
      <c r="G26" s="25" t="s">
        <v>272</v>
      </c>
      <c r="H26" s="25" t="s">
        <v>143</v>
      </c>
      <c r="I26" s="25" t="s">
        <v>167</v>
      </c>
      <c r="J26" s="14"/>
      <c r="K26" s="14" t="str">
        <f>"122,5"</f>
        <v>122,5</v>
      </c>
      <c r="L26" s="14" t="str">
        <f>"125,5625"</f>
        <v>125,5625</v>
      </c>
      <c r="M26" s="13" t="s">
        <v>1209</v>
      </c>
    </row>
    <row r="27" spans="1:13">
      <c r="B27" s="5" t="s">
        <v>125</v>
      </c>
    </row>
    <row r="28" spans="1:13" ht="16">
      <c r="A28" s="52" t="s">
        <v>251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3">
      <c r="A29" s="8" t="s">
        <v>124</v>
      </c>
      <c r="B29" s="7" t="s">
        <v>651</v>
      </c>
      <c r="C29" s="7" t="s">
        <v>652</v>
      </c>
      <c r="D29" s="7" t="s">
        <v>653</v>
      </c>
      <c r="E29" s="7" t="s">
        <v>1374</v>
      </c>
      <c r="F29" s="7" t="s">
        <v>1308</v>
      </c>
      <c r="G29" s="20" t="s">
        <v>267</v>
      </c>
      <c r="H29" s="20" t="s">
        <v>29</v>
      </c>
      <c r="I29" s="20" t="s">
        <v>279</v>
      </c>
      <c r="J29" s="8"/>
      <c r="K29" s="8" t="str">
        <f>"75,0"</f>
        <v>75,0</v>
      </c>
      <c r="L29" s="8" t="str">
        <f>"89,3325"</f>
        <v>89,3325</v>
      </c>
      <c r="M29" s="7" t="s">
        <v>654</v>
      </c>
    </row>
    <row r="30" spans="1:13">
      <c r="B30" s="5" t="s">
        <v>125</v>
      </c>
    </row>
    <row r="31" spans="1:13" ht="16">
      <c r="A31" s="52" t="s">
        <v>281</v>
      </c>
      <c r="B31" s="52"/>
      <c r="C31" s="52"/>
      <c r="D31" s="52"/>
      <c r="E31" s="52"/>
      <c r="F31" s="52"/>
      <c r="G31" s="52"/>
      <c r="H31" s="52"/>
      <c r="I31" s="52"/>
      <c r="J31" s="52"/>
    </row>
    <row r="32" spans="1:13">
      <c r="A32" s="8" t="s">
        <v>124</v>
      </c>
      <c r="B32" s="7" t="s">
        <v>942</v>
      </c>
      <c r="C32" s="7" t="s">
        <v>943</v>
      </c>
      <c r="D32" s="7" t="s">
        <v>625</v>
      </c>
      <c r="E32" s="7" t="s">
        <v>1374</v>
      </c>
      <c r="F32" s="7" t="s">
        <v>1265</v>
      </c>
      <c r="G32" s="20" t="s">
        <v>174</v>
      </c>
      <c r="H32" s="20" t="s">
        <v>167</v>
      </c>
      <c r="I32" s="21" t="s">
        <v>168</v>
      </c>
      <c r="J32" s="8"/>
      <c r="K32" s="8" t="str">
        <f>"122,5"</f>
        <v>122,5</v>
      </c>
      <c r="L32" s="8" t="str">
        <f>"112,7000"</f>
        <v>112,7000</v>
      </c>
      <c r="M32" s="7" t="s">
        <v>1210</v>
      </c>
    </row>
    <row r="33" spans="1:13">
      <c r="B33" s="5" t="s">
        <v>125</v>
      </c>
    </row>
    <row r="34" spans="1:13" ht="16">
      <c r="A34" s="52" t="s">
        <v>10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3">
      <c r="A35" s="10" t="s">
        <v>124</v>
      </c>
      <c r="B35" s="9" t="s">
        <v>944</v>
      </c>
      <c r="C35" s="9" t="s">
        <v>945</v>
      </c>
      <c r="D35" s="9" t="s">
        <v>946</v>
      </c>
      <c r="E35" s="9" t="s">
        <v>1374</v>
      </c>
      <c r="F35" s="9" t="s">
        <v>1266</v>
      </c>
      <c r="G35" s="22" t="s">
        <v>135</v>
      </c>
      <c r="H35" s="22" t="s">
        <v>343</v>
      </c>
      <c r="I35" s="22" t="s">
        <v>17</v>
      </c>
      <c r="J35" s="10"/>
      <c r="K35" s="10" t="str">
        <f>"80,0"</f>
        <v>80,0</v>
      </c>
      <c r="L35" s="10" t="str">
        <f>"58,5200"</f>
        <v>58,5200</v>
      </c>
      <c r="M35" s="9" t="s">
        <v>257</v>
      </c>
    </row>
    <row r="36" spans="1:13">
      <c r="A36" s="12" t="s">
        <v>124</v>
      </c>
      <c r="B36" s="11" t="s">
        <v>947</v>
      </c>
      <c r="C36" s="11" t="s">
        <v>948</v>
      </c>
      <c r="D36" s="11" t="s">
        <v>946</v>
      </c>
      <c r="E36" s="11" t="s">
        <v>1368</v>
      </c>
      <c r="F36" s="11" t="s">
        <v>1273</v>
      </c>
      <c r="G36" s="24" t="s">
        <v>148</v>
      </c>
      <c r="H36" s="24" t="s">
        <v>15</v>
      </c>
      <c r="I36" s="23" t="s">
        <v>40</v>
      </c>
      <c r="J36" s="12"/>
      <c r="K36" s="12" t="str">
        <f>"175,0"</f>
        <v>175,0</v>
      </c>
      <c r="L36" s="12" t="str">
        <f>"128,0125"</f>
        <v>128,0125</v>
      </c>
      <c r="M36" s="11" t="s">
        <v>941</v>
      </c>
    </row>
    <row r="37" spans="1:13">
      <c r="A37" s="12" t="s">
        <v>124</v>
      </c>
      <c r="B37" s="11" t="s">
        <v>949</v>
      </c>
      <c r="C37" s="11" t="s">
        <v>950</v>
      </c>
      <c r="D37" s="11" t="s">
        <v>696</v>
      </c>
      <c r="E37" s="11" t="s">
        <v>1367</v>
      </c>
      <c r="F37" s="11" t="s">
        <v>1308</v>
      </c>
      <c r="G37" s="24" t="s">
        <v>31</v>
      </c>
      <c r="H37" s="24" t="s">
        <v>59</v>
      </c>
      <c r="I37" s="23" t="s">
        <v>374</v>
      </c>
      <c r="J37" s="12"/>
      <c r="K37" s="12" t="str">
        <f>"205,0"</f>
        <v>205,0</v>
      </c>
      <c r="L37" s="12" t="str">
        <f>"147,1695"</f>
        <v>147,1695</v>
      </c>
      <c r="M37" s="11" t="s">
        <v>1211</v>
      </c>
    </row>
    <row r="38" spans="1:13">
      <c r="A38" s="14" t="s">
        <v>126</v>
      </c>
      <c r="B38" s="13" t="s">
        <v>951</v>
      </c>
      <c r="C38" s="13" t="s">
        <v>952</v>
      </c>
      <c r="D38" s="13" t="s">
        <v>953</v>
      </c>
      <c r="E38" s="13" t="s">
        <v>1367</v>
      </c>
      <c r="F38" s="13" t="s">
        <v>1273</v>
      </c>
      <c r="G38" s="25" t="s">
        <v>148</v>
      </c>
      <c r="H38" s="25" t="s">
        <v>15</v>
      </c>
      <c r="I38" s="26" t="s">
        <v>40</v>
      </c>
      <c r="J38" s="14"/>
      <c r="K38" s="14" t="str">
        <f>"175,0"</f>
        <v>175,0</v>
      </c>
      <c r="L38" s="14" t="str">
        <f>"126,3675"</f>
        <v>126,3675</v>
      </c>
      <c r="M38" s="13" t="s">
        <v>1209</v>
      </c>
    </row>
    <row r="39" spans="1:13">
      <c r="B39" s="5" t="s">
        <v>125</v>
      </c>
    </row>
    <row r="40" spans="1:13" ht="16">
      <c r="A40" s="52" t="s">
        <v>22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3">
      <c r="A41" s="10" t="s">
        <v>124</v>
      </c>
      <c r="B41" s="9" t="s">
        <v>954</v>
      </c>
      <c r="C41" s="9" t="s">
        <v>955</v>
      </c>
      <c r="D41" s="9" t="s">
        <v>887</v>
      </c>
      <c r="E41" s="9" t="s">
        <v>1368</v>
      </c>
      <c r="F41" s="9" t="s">
        <v>1265</v>
      </c>
      <c r="G41" s="27" t="s">
        <v>14</v>
      </c>
      <c r="H41" s="27" t="s">
        <v>16</v>
      </c>
      <c r="I41" s="22" t="s">
        <v>16</v>
      </c>
      <c r="J41" s="10"/>
      <c r="K41" s="10" t="str">
        <f>"180,0"</f>
        <v>180,0</v>
      </c>
      <c r="L41" s="10" t="str">
        <f>"123,7680"</f>
        <v>123,7680</v>
      </c>
      <c r="M41" s="9"/>
    </row>
    <row r="42" spans="1:13">
      <c r="A42" s="12" t="s">
        <v>124</v>
      </c>
      <c r="B42" s="11" t="s">
        <v>371</v>
      </c>
      <c r="C42" s="11" t="s">
        <v>372</v>
      </c>
      <c r="D42" s="11" t="s">
        <v>373</v>
      </c>
      <c r="E42" s="11" t="s">
        <v>1367</v>
      </c>
      <c r="F42" s="11" t="s">
        <v>1283</v>
      </c>
      <c r="G42" s="24" t="s">
        <v>49</v>
      </c>
      <c r="H42" s="24" t="s">
        <v>98</v>
      </c>
      <c r="I42" s="23" t="s">
        <v>41</v>
      </c>
      <c r="J42" s="12"/>
      <c r="K42" s="12" t="str">
        <f>"270,0"</f>
        <v>270,0</v>
      </c>
      <c r="L42" s="12" t="str">
        <f>"182,4930"</f>
        <v>182,4930</v>
      </c>
      <c r="M42" s="11" t="s">
        <v>375</v>
      </c>
    </row>
    <row r="43" spans="1:13">
      <c r="A43" s="12" t="s">
        <v>126</v>
      </c>
      <c r="B43" s="11" t="s">
        <v>956</v>
      </c>
      <c r="C43" s="11" t="s">
        <v>957</v>
      </c>
      <c r="D43" s="11" t="s">
        <v>734</v>
      </c>
      <c r="E43" s="11" t="s">
        <v>1367</v>
      </c>
      <c r="F43" s="11" t="s">
        <v>1354</v>
      </c>
      <c r="G43" s="24" t="s">
        <v>65</v>
      </c>
      <c r="H43" s="23" t="s">
        <v>66</v>
      </c>
      <c r="I43" s="23" t="s">
        <v>52</v>
      </c>
      <c r="J43" s="12"/>
      <c r="K43" s="12" t="str">
        <f>"240,0"</f>
        <v>240,0</v>
      </c>
      <c r="L43" s="12" t="str">
        <f>"161,6160"</f>
        <v>161,6160</v>
      </c>
      <c r="M43" s="11"/>
    </row>
    <row r="44" spans="1:13">
      <c r="A44" s="12" t="s">
        <v>127</v>
      </c>
      <c r="B44" s="11" t="s">
        <v>380</v>
      </c>
      <c r="C44" s="11" t="s">
        <v>381</v>
      </c>
      <c r="D44" s="11" t="s">
        <v>184</v>
      </c>
      <c r="E44" s="11" t="s">
        <v>1367</v>
      </c>
      <c r="F44" s="11" t="s">
        <v>1285</v>
      </c>
      <c r="G44" s="24" t="s">
        <v>14</v>
      </c>
      <c r="H44" s="24" t="s">
        <v>20</v>
      </c>
      <c r="I44" s="24" t="s">
        <v>31</v>
      </c>
      <c r="J44" s="12"/>
      <c r="K44" s="12" t="str">
        <f>"200,0"</f>
        <v>200,0</v>
      </c>
      <c r="L44" s="12" t="str">
        <f>"135,8000"</f>
        <v>135,8000</v>
      </c>
      <c r="M44" s="11" t="s">
        <v>383</v>
      </c>
    </row>
    <row r="45" spans="1:13">
      <c r="A45" s="12" t="s">
        <v>240</v>
      </c>
      <c r="B45" s="11" t="s">
        <v>958</v>
      </c>
      <c r="C45" s="11" t="s">
        <v>959</v>
      </c>
      <c r="D45" s="11" t="s">
        <v>729</v>
      </c>
      <c r="E45" s="11" t="s">
        <v>1367</v>
      </c>
      <c r="F45" s="11" t="s">
        <v>1265</v>
      </c>
      <c r="G45" s="24" t="s">
        <v>20</v>
      </c>
      <c r="H45" s="23" t="s">
        <v>176</v>
      </c>
      <c r="I45" s="23" t="s">
        <v>176</v>
      </c>
      <c r="J45" s="12"/>
      <c r="K45" s="12" t="str">
        <f>"190,0"</f>
        <v>190,0</v>
      </c>
      <c r="L45" s="12" t="str">
        <f>"127,8510"</f>
        <v>127,8510</v>
      </c>
      <c r="M45" s="11" t="s">
        <v>960</v>
      </c>
    </row>
    <row r="46" spans="1:13">
      <c r="A46" s="14" t="s">
        <v>124</v>
      </c>
      <c r="B46" s="13" t="s">
        <v>961</v>
      </c>
      <c r="C46" s="13" t="s">
        <v>962</v>
      </c>
      <c r="D46" s="13" t="s">
        <v>719</v>
      </c>
      <c r="E46" s="13" t="s">
        <v>1371</v>
      </c>
      <c r="F46" s="13" t="s">
        <v>1265</v>
      </c>
      <c r="G46" s="25" t="s">
        <v>20</v>
      </c>
      <c r="H46" s="25" t="s">
        <v>31</v>
      </c>
      <c r="I46" s="26" t="s">
        <v>91</v>
      </c>
      <c r="J46" s="14"/>
      <c r="K46" s="14" t="str">
        <f>"200,0"</f>
        <v>200,0</v>
      </c>
      <c r="L46" s="14" t="str">
        <f>"193,5930"</f>
        <v>193,5930</v>
      </c>
      <c r="M46" s="13"/>
    </row>
    <row r="47" spans="1:13">
      <c r="B47" s="5" t="s">
        <v>125</v>
      </c>
    </row>
    <row r="48" spans="1:13" ht="16">
      <c r="A48" s="52" t="s">
        <v>32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3">
      <c r="A49" s="10" t="s">
        <v>124</v>
      </c>
      <c r="B49" s="9" t="s">
        <v>963</v>
      </c>
      <c r="C49" s="9" t="s">
        <v>964</v>
      </c>
      <c r="D49" s="9" t="s">
        <v>398</v>
      </c>
      <c r="E49" s="9" t="s">
        <v>1367</v>
      </c>
      <c r="F49" s="9" t="s">
        <v>1355</v>
      </c>
      <c r="G49" s="22" t="s">
        <v>48</v>
      </c>
      <c r="H49" s="22" t="s">
        <v>53</v>
      </c>
      <c r="I49" s="22" t="s">
        <v>80</v>
      </c>
      <c r="J49" s="10"/>
      <c r="K49" s="10" t="str">
        <f>"275,0"</f>
        <v>275,0</v>
      </c>
      <c r="L49" s="10" t="str">
        <f>"176,6600"</f>
        <v>176,6600</v>
      </c>
      <c r="M49" s="9"/>
    </row>
    <row r="50" spans="1:13">
      <c r="A50" s="12" t="s">
        <v>126</v>
      </c>
      <c r="B50" s="11" t="s">
        <v>407</v>
      </c>
      <c r="C50" s="11" t="s">
        <v>408</v>
      </c>
      <c r="D50" s="11" t="s">
        <v>409</v>
      </c>
      <c r="E50" s="11" t="s">
        <v>1367</v>
      </c>
      <c r="F50" s="11" t="s">
        <v>1287</v>
      </c>
      <c r="G50" s="24" t="s">
        <v>48</v>
      </c>
      <c r="H50" s="24" t="s">
        <v>53</v>
      </c>
      <c r="I50" s="24" t="s">
        <v>80</v>
      </c>
      <c r="J50" s="12"/>
      <c r="K50" s="12" t="str">
        <f>"275,0"</f>
        <v>275,0</v>
      </c>
      <c r="L50" s="12" t="str">
        <f>"175,5600"</f>
        <v>175,5600</v>
      </c>
      <c r="M50" s="11" t="s">
        <v>410</v>
      </c>
    </row>
    <row r="51" spans="1:13">
      <c r="A51" s="12" t="s">
        <v>127</v>
      </c>
      <c r="B51" s="11" t="s">
        <v>415</v>
      </c>
      <c r="C51" s="11" t="s">
        <v>416</v>
      </c>
      <c r="D51" s="11" t="s">
        <v>409</v>
      </c>
      <c r="E51" s="11" t="s">
        <v>1367</v>
      </c>
      <c r="F51" s="11" t="s">
        <v>1289</v>
      </c>
      <c r="G51" s="24" t="s">
        <v>155</v>
      </c>
      <c r="H51" s="24" t="s">
        <v>65</v>
      </c>
      <c r="I51" s="23" t="s">
        <v>52</v>
      </c>
      <c r="J51" s="12"/>
      <c r="K51" s="12" t="str">
        <f>"240,0"</f>
        <v>240,0</v>
      </c>
      <c r="L51" s="12" t="str">
        <f>"153,2160"</f>
        <v>153,2160</v>
      </c>
      <c r="M51" s="11"/>
    </row>
    <row r="52" spans="1:13">
      <c r="A52" s="14" t="s">
        <v>124</v>
      </c>
      <c r="B52" s="13" t="s">
        <v>451</v>
      </c>
      <c r="C52" s="13" t="s">
        <v>452</v>
      </c>
      <c r="D52" s="13" t="s">
        <v>453</v>
      </c>
      <c r="E52" s="13" t="s">
        <v>1371</v>
      </c>
      <c r="F52" s="13" t="s">
        <v>1294</v>
      </c>
      <c r="G52" s="25" t="s">
        <v>50</v>
      </c>
      <c r="H52" s="25" t="s">
        <v>147</v>
      </c>
      <c r="I52" s="25" t="s">
        <v>81</v>
      </c>
      <c r="J52" s="14"/>
      <c r="K52" s="14" t="str">
        <f>"162,5"</f>
        <v>162,5</v>
      </c>
      <c r="L52" s="14" t="str">
        <f>"161,4000"</f>
        <v>161,4000</v>
      </c>
      <c r="M52" s="13" t="s">
        <v>454</v>
      </c>
    </row>
    <row r="53" spans="1:13">
      <c r="B53" s="5" t="s">
        <v>125</v>
      </c>
    </row>
    <row r="54" spans="1:13" ht="16">
      <c r="A54" s="52" t="s">
        <v>60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3">
      <c r="A55" s="10" t="s">
        <v>128</v>
      </c>
      <c r="B55" s="9" t="s">
        <v>965</v>
      </c>
      <c r="C55" s="9" t="s">
        <v>966</v>
      </c>
      <c r="D55" s="9" t="s">
        <v>891</v>
      </c>
      <c r="E55" s="9" t="s">
        <v>1368</v>
      </c>
      <c r="F55" s="9" t="s">
        <v>1273</v>
      </c>
      <c r="G55" s="27" t="s">
        <v>74</v>
      </c>
      <c r="H55" s="27" t="s">
        <v>74</v>
      </c>
      <c r="I55" s="27" t="s">
        <v>83</v>
      </c>
      <c r="J55" s="10"/>
      <c r="K55" s="28">
        <v>0</v>
      </c>
      <c r="L55" s="10" t="str">
        <f>"0,0000"</f>
        <v>0,0000</v>
      </c>
      <c r="M55" s="9" t="s">
        <v>1209</v>
      </c>
    </row>
    <row r="56" spans="1:13">
      <c r="A56" s="12" t="s">
        <v>124</v>
      </c>
      <c r="B56" s="11" t="s">
        <v>967</v>
      </c>
      <c r="C56" s="11" t="s">
        <v>968</v>
      </c>
      <c r="D56" s="11" t="s">
        <v>969</v>
      </c>
      <c r="E56" s="11" t="s">
        <v>1367</v>
      </c>
      <c r="F56" s="11" t="s">
        <v>1356</v>
      </c>
      <c r="G56" s="24" t="s">
        <v>91</v>
      </c>
      <c r="H56" s="23" t="s">
        <v>74</v>
      </c>
      <c r="I56" s="23" t="s">
        <v>74</v>
      </c>
      <c r="J56" s="12"/>
      <c r="K56" s="12" t="str">
        <f>"210,0"</f>
        <v>210,0</v>
      </c>
      <c r="L56" s="12" t="str">
        <f>"128,1210"</f>
        <v>128,1210</v>
      </c>
      <c r="M56" s="11" t="s">
        <v>1212</v>
      </c>
    </row>
    <row r="57" spans="1:13">
      <c r="A57" s="14" t="s">
        <v>124</v>
      </c>
      <c r="B57" s="13" t="s">
        <v>970</v>
      </c>
      <c r="C57" s="13" t="s">
        <v>971</v>
      </c>
      <c r="D57" s="13" t="s">
        <v>972</v>
      </c>
      <c r="E57" s="13" t="s">
        <v>1373</v>
      </c>
      <c r="F57" s="13" t="s">
        <v>1308</v>
      </c>
      <c r="G57" s="25" t="s">
        <v>357</v>
      </c>
      <c r="H57" s="25" t="s">
        <v>181</v>
      </c>
      <c r="I57" s="25" t="s">
        <v>66</v>
      </c>
      <c r="J57" s="14"/>
      <c r="K57" s="14" t="str">
        <f>"252,5"</f>
        <v>252,5</v>
      </c>
      <c r="L57" s="14" t="str">
        <f>"168,8944"</f>
        <v>168,8944</v>
      </c>
      <c r="M57" s="13"/>
    </row>
    <row r="58" spans="1:13">
      <c r="B58" s="5" t="s">
        <v>125</v>
      </c>
    </row>
    <row r="59" spans="1:13" ht="16">
      <c r="A59" s="52" t="s">
        <v>86</v>
      </c>
      <c r="B59" s="52"/>
      <c r="C59" s="52"/>
      <c r="D59" s="52"/>
      <c r="E59" s="52"/>
      <c r="F59" s="52"/>
      <c r="G59" s="52"/>
      <c r="H59" s="52"/>
      <c r="I59" s="52"/>
      <c r="J59" s="52"/>
    </row>
    <row r="60" spans="1:13">
      <c r="A60" s="10" t="s">
        <v>124</v>
      </c>
      <c r="B60" s="9" t="s">
        <v>973</v>
      </c>
      <c r="C60" s="9" t="s">
        <v>974</v>
      </c>
      <c r="D60" s="9" t="s">
        <v>975</v>
      </c>
      <c r="E60" s="9" t="s">
        <v>1367</v>
      </c>
      <c r="F60" s="9" t="s">
        <v>1265</v>
      </c>
      <c r="G60" s="22" t="s">
        <v>155</v>
      </c>
      <c r="H60" s="22" t="s">
        <v>48</v>
      </c>
      <c r="I60" s="22" t="s">
        <v>84</v>
      </c>
      <c r="J60" s="10"/>
      <c r="K60" s="10" t="str">
        <f>"277,5"</f>
        <v>277,5</v>
      </c>
      <c r="L60" s="10" t="str">
        <f>"163,9192"</f>
        <v>163,9192</v>
      </c>
      <c r="M60" s="9" t="s">
        <v>976</v>
      </c>
    </row>
    <row r="61" spans="1:13">
      <c r="A61" s="12" t="s">
        <v>126</v>
      </c>
      <c r="B61" s="11" t="s">
        <v>977</v>
      </c>
      <c r="C61" s="11" t="s">
        <v>978</v>
      </c>
      <c r="D61" s="11" t="s">
        <v>979</v>
      </c>
      <c r="E61" s="11" t="s">
        <v>1367</v>
      </c>
      <c r="F61" s="11" t="s">
        <v>1357</v>
      </c>
      <c r="G61" s="24" t="s">
        <v>48</v>
      </c>
      <c r="H61" s="24" t="s">
        <v>49</v>
      </c>
      <c r="I61" s="24" t="s">
        <v>98</v>
      </c>
      <c r="J61" s="12"/>
      <c r="K61" s="12" t="str">
        <f>"270,0"</f>
        <v>270,0</v>
      </c>
      <c r="L61" s="12" t="str">
        <f>"158,8950"</f>
        <v>158,8950</v>
      </c>
      <c r="M61" s="11"/>
    </row>
    <row r="62" spans="1:13">
      <c r="A62" s="12" t="s">
        <v>127</v>
      </c>
      <c r="B62" s="11" t="s">
        <v>980</v>
      </c>
      <c r="C62" s="11" t="s">
        <v>981</v>
      </c>
      <c r="D62" s="11" t="s">
        <v>982</v>
      </c>
      <c r="E62" s="11" t="s">
        <v>1367</v>
      </c>
      <c r="F62" s="11" t="s">
        <v>1266</v>
      </c>
      <c r="G62" s="24" t="s">
        <v>73</v>
      </c>
      <c r="H62" s="24" t="s">
        <v>155</v>
      </c>
      <c r="I62" s="23" t="s">
        <v>83</v>
      </c>
      <c r="J62" s="12"/>
      <c r="K62" s="12" t="str">
        <f>"225,0"</f>
        <v>225,0</v>
      </c>
      <c r="L62" s="12" t="str">
        <f>"133,0650"</f>
        <v>133,0650</v>
      </c>
      <c r="M62" s="11" t="s">
        <v>257</v>
      </c>
    </row>
    <row r="63" spans="1:13">
      <c r="A63" s="12" t="s">
        <v>124</v>
      </c>
      <c r="B63" s="11" t="s">
        <v>871</v>
      </c>
      <c r="C63" s="11" t="s">
        <v>872</v>
      </c>
      <c r="D63" s="11" t="s">
        <v>565</v>
      </c>
      <c r="E63" s="11" t="s">
        <v>1370</v>
      </c>
      <c r="F63" s="11" t="s">
        <v>1265</v>
      </c>
      <c r="G63" s="24" t="s">
        <v>31</v>
      </c>
      <c r="H63" s="24" t="s">
        <v>74</v>
      </c>
      <c r="I63" s="24" t="s">
        <v>83</v>
      </c>
      <c r="J63" s="12"/>
      <c r="K63" s="12" t="str">
        <f>"230,0"</f>
        <v>230,0</v>
      </c>
      <c r="L63" s="12" t="str">
        <f>"142,1270"</f>
        <v>142,1270</v>
      </c>
      <c r="M63" s="11" t="s">
        <v>873</v>
      </c>
    </row>
    <row r="64" spans="1:13">
      <c r="A64" s="14" t="s">
        <v>124</v>
      </c>
      <c r="B64" s="13" t="s">
        <v>983</v>
      </c>
      <c r="C64" s="13" t="s">
        <v>984</v>
      </c>
      <c r="D64" s="13" t="s">
        <v>985</v>
      </c>
      <c r="E64" s="13" t="s">
        <v>1371</v>
      </c>
      <c r="F64" s="13" t="s">
        <v>1265</v>
      </c>
      <c r="G64" s="25" t="s">
        <v>53</v>
      </c>
      <c r="H64" s="25" t="s">
        <v>80</v>
      </c>
      <c r="I64" s="25" t="s">
        <v>41</v>
      </c>
      <c r="J64" s="14"/>
      <c r="K64" s="14" t="str">
        <f>"280,0"</f>
        <v>280,0</v>
      </c>
      <c r="L64" s="14" t="str">
        <f>"252,7984"</f>
        <v>252,7984</v>
      </c>
      <c r="M64" s="13" t="s">
        <v>1213</v>
      </c>
    </row>
    <row r="65" spans="1:13">
      <c r="B65" s="5" t="s">
        <v>125</v>
      </c>
    </row>
    <row r="66" spans="1:13" ht="16">
      <c r="A66" s="52" t="s">
        <v>218</v>
      </c>
      <c r="B66" s="52"/>
      <c r="C66" s="52"/>
      <c r="D66" s="52"/>
      <c r="E66" s="52"/>
      <c r="F66" s="52"/>
      <c r="G66" s="52"/>
      <c r="H66" s="52"/>
      <c r="I66" s="52"/>
      <c r="J66" s="52"/>
    </row>
    <row r="67" spans="1:13">
      <c r="A67" s="8" t="s">
        <v>124</v>
      </c>
      <c r="B67" s="7" t="s">
        <v>473</v>
      </c>
      <c r="C67" s="7" t="s">
        <v>474</v>
      </c>
      <c r="D67" s="7" t="s">
        <v>475</v>
      </c>
      <c r="E67" s="7" t="s">
        <v>1367</v>
      </c>
      <c r="F67" s="7" t="s">
        <v>1294</v>
      </c>
      <c r="G67" s="20" t="s">
        <v>80</v>
      </c>
      <c r="H67" s="20" t="s">
        <v>37</v>
      </c>
      <c r="I67" s="21" t="s">
        <v>42</v>
      </c>
      <c r="J67" s="8"/>
      <c r="K67" s="8" t="str">
        <f>"285,0"</f>
        <v>285,0</v>
      </c>
      <c r="L67" s="8" t="str">
        <f>"164,7300"</f>
        <v>164,7300</v>
      </c>
      <c r="M67" s="7" t="s">
        <v>454</v>
      </c>
    </row>
    <row r="68" spans="1:13">
      <c r="B68" s="5" t="s">
        <v>125</v>
      </c>
    </row>
    <row r="69" spans="1:13" ht="16">
      <c r="A69" s="52" t="s">
        <v>224</v>
      </c>
      <c r="B69" s="52"/>
      <c r="C69" s="52"/>
      <c r="D69" s="52"/>
      <c r="E69" s="52"/>
      <c r="F69" s="52"/>
      <c r="G69" s="52"/>
      <c r="H69" s="52"/>
      <c r="I69" s="52"/>
      <c r="J69" s="52"/>
    </row>
    <row r="70" spans="1:13">
      <c r="A70" s="10" t="s">
        <v>124</v>
      </c>
      <c r="B70" s="9" t="s">
        <v>986</v>
      </c>
      <c r="C70" s="9" t="s">
        <v>987</v>
      </c>
      <c r="D70" s="9" t="s">
        <v>988</v>
      </c>
      <c r="E70" s="9" t="s">
        <v>1367</v>
      </c>
      <c r="F70" s="9" t="s">
        <v>1301</v>
      </c>
      <c r="G70" s="22" t="s">
        <v>65</v>
      </c>
      <c r="H70" s="22" t="s">
        <v>52</v>
      </c>
      <c r="I70" s="27" t="s">
        <v>53</v>
      </c>
      <c r="J70" s="10"/>
      <c r="K70" s="10" t="str">
        <f>"255,0"</f>
        <v>255,0</v>
      </c>
      <c r="L70" s="10" t="str">
        <f>"144,9675"</f>
        <v>144,9675</v>
      </c>
      <c r="M70" s="9"/>
    </row>
    <row r="71" spans="1:13">
      <c r="A71" s="14" t="s">
        <v>124</v>
      </c>
      <c r="B71" s="13" t="s">
        <v>989</v>
      </c>
      <c r="C71" s="13" t="s">
        <v>990</v>
      </c>
      <c r="D71" s="13" t="s">
        <v>991</v>
      </c>
      <c r="E71" s="13" t="s">
        <v>1370</v>
      </c>
      <c r="F71" s="13" t="s">
        <v>1336</v>
      </c>
      <c r="G71" s="25" t="s">
        <v>98</v>
      </c>
      <c r="H71" s="25" t="s">
        <v>41</v>
      </c>
      <c r="I71" s="25" t="s">
        <v>222</v>
      </c>
      <c r="J71" s="14"/>
      <c r="K71" s="14" t="str">
        <f>"287,5"</f>
        <v>287,5</v>
      </c>
      <c r="L71" s="14" t="str">
        <f>"179,0398"</f>
        <v>179,0398</v>
      </c>
      <c r="M71" s="13"/>
    </row>
    <row r="72" spans="1:13">
      <c r="B72" s="5" t="s">
        <v>125</v>
      </c>
    </row>
    <row r="73" spans="1:13">
      <c r="B73" s="5" t="s">
        <v>125</v>
      </c>
    </row>
    <row r="74" spans="1:13">
      <c r="B74" s="5" t="s">
        <v>125</v>
      </c>
    </row>
    <row r="75" spans="1:13" ht="18">
      <c r="B75" s="15" t="s">
        <v>101</v>
      </c>
      <c r="C75" s="15"/>
      <c r="F75" s="3"/>
    </row>
    <row r="76" spans="1:13" ht="16">
      <c r="B76" s="16" t="s">
        <v>102</v>
      </c>
      <c r="C76" s="16"/>
      <c r="F76" s="3"/>
    </row>
    <row r="77" spans="1:13" ht="14">
      <c r="B77" s="17"/>
      <c r="C77" s="18" t="s">
        <v>103</v>
      </c>
      <c r="F77" s="3"/>
    </row>
    <row r="78" spans="1:13" ht="14">
      <c r="B78" s="19" t="s">
        <v>104</v>
      </c>
      <c r="C78" s="19" t="s">
        <v>105</v>
      </c>
      <c r="D78" s="19" t="s">
        <v>106</v>
      </c>
      <c r="E78" s="19" t="s">
        <v>509</v>
      </c>
      <c r="F78" s="19" t="s">
        <v>108</v>
      </c>
    </row>
    <row r="79" spans="1:13">
      <c r="B79" s="5" t="s">
        <v>632</v>
      </c>
      <c r="C79" s="5" t="s">
        <v>103</v>
      </c>
      <c r="D79" s="6" t="s">
        <v>230</v>
      </c>
      <c r="E79" s="6" t="s">
        <v>81</v>
      </c>
      <c r="F79" s="6" t="s">
        <v>992</v>
      </c>
    </row>
    <row r="80" spans="1:13">
      <c r="B80" s="5" t="s">
        <v>290</v>
      </c>
      <c r="C80" s="5" t="s">
        <v>103</v>
      </c>
      <c r="D80" s="6" t="s">
        <v>993</v>
      </c>
      <c r="E80" s="6" t="s">
        <v>57</v>
      </c>
      <c r="F80" s="6" t="s">
        <v>994</v>
      </c>
    </row>
    <row r="81" spans="2:6">
      <c r="B81" s="5" t="s">
        <v>936</v>
      </c>
      <c r="C81" s="5" t="s">
        <v>103</v>
      </c>
      <c r="D81" s="6" t="s">
        <v>592</v>
      </c>
      <c r="E81" s="6" t="s">
        <v>268</v>
      </c>
      <c r="F81" s="6" t="s">
        <v>995</v>
      </c>
    </row>
    <row r="83" spans="2:6" ht="16">
      <c r="B83" s="16" t="s">
        <v>111</v>
      </c>
      <c r="C83" s="16"/>
    </row>
    <row r="84" spans="2:6" ht="14">
      <c r="B84" s="17"/>
      <c r="C84" s="18" t="s">
        <v>103</v>
      </c>
    </row>
    <row r="85" spans="2:6" ht="14">
      <c r="B85" s="19" t="s">
        <v>104</v>
      </c>
      <c r="C85" s="19" t="s">
        <v>105</v>
      </c>
      <c r="D85" s="19" t="s">
        <v>106</v>
      </c>
      <c r="E85" s="19" t="s">
        <v>509</v>
      </c>
      <c r="F85" s="19" t="s">
        <v>108</v>
      </c>
    </row>
    <row r="86" spans="2:6">
      <c r="B86" s="5" t="s">
        <v>371</v>
      </c>
      <c r="C86" s="5" t="s">
        <v>103</v>
      </c>
      <c r="D86" s="6" t="s">
        <v>110</v>
      </c>
      <c r="E86" s="6" t="s">
        <v>98</v>
      </c>
      <c r="F86" s="6" t="s">
        <v>996</v>
      </c>
    </row>
    <row r="87" spans="2:6">
      <c r="B87" s="5" t="s">
        <v>963</v>
      </c>
      <c r="C87" s="5" t="s">
        <v>103</v>
      </c>
      <c r="D87" s="6" t="s">
        <v>119</v>
      </c>
      <c r="E87" s="6" t="s">
        <v>80</v>
      </c>
      <c r="F87" s="6" t="s">
        <v>997</v>
      </c>
    </row>
    <row r="88" spans="2:6">
      <c r="B88" s="5" t="s">
        <v>407</v>
      </c>
      <c r="C88" s="5" t="s">
        <v>103</v>
      </c>
      <c r="D88" s="6" t="s">
        <v>119</v>
      </c>
      <c r="E88" s="6" t="s">
        <v>80</v>
      </c>
      <c r="F88" s="6" t="s">
        <v>998</v>
      </c>
    </row>
  </sheetData>
  <mergeCells count="26">
    <mergeCell ref="A66:J66"/>
    <mergeCell ref="A69:J69"/>
    <mergeCell ref="B3:B4"/>
    <mergeCell ref="A31:J31"/>
    <mergeCell ref="A34:J34"/>
    <mergeCell ref="A40:J40"/>
    <mergeCell ref="A48:J48"/>
    <mergeCell ref="A54:J54"/>
    <mergeCell ref="A59:J59"/>
    <mergeCell ref="A8:J8"/>
    <mergeCell ref="A12:J12"/>
    <mergeCell ref="A16:J16"/>
    <mergeCell ref="A20:J20"/>
    <mergeCell ref="A24:J24"/>
    <mergeCell ref="A28:J2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37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4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4.6640625" style="5" customWidth="1"/>
    <col min="14" max="16384" width="9.1640625" style="3"/>
  </cols>
  <sheetData>
    <row r="1" spans="1:13" s="2" customFormat="1" ht="29" customHeight="1">
      <c r="A1" s="41" t="s">
        <v>1258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9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0" t="s">
        <v>124</v>
      </c>
      <c r="B6" s="9" t="s">
        <v>182</v>
      </c>
      <c r="C6" s="9" t="s">
        <v>183</v>
      </c>
      <c r="D6" s="9" t="s">
        <v>184</v>
      </c>
      <c r="E6" s="9" t="s">
        <v>1368</v>
      </c>
      <c r="F6" s="9" t="s">
        <v>185</v>
      </c>
      <c r="G6" s="22" t="s">
        <v>31</v>
      </c>
      <c r="H6" s="22" t="s">
        <v>186</v>
      </c>
      <c r="I6" s="27" t="s">
        <v>83</v>
      </c>
      <c r="J6" s="10"/>
      <c r="K6" s="10" t="str">
        <f>"217,5"</f>
        <v>217,5</v>
      </c>
      <c r="L6" s="10" t="str">
        <f>"147,6825"</f>
        <v>147,6825</v>
      </c>
      <c r="M6" s="9"/>
    </row>
    <row r="7" spans="1:13">
      <c r="A7" s="14" t="s">
        <v>124</v>
      </c>
      <c r="B7" s="13" t="s">
        <v>895</v>
      </c>
      <c r="C7" s="13" t="s">
        <v>896</v>
      </c>
      <c r="D7" s="13" t="s">
        <v>740</v>
      </c>
      <c r="E7" s="13" t="s">
        <v>1367</v>
      </c>
      <c r="F7" s="13" t="s">
        <v>1309</v>
      </c>
      <c r="G7" s="25" t="s">
        <v>176</v>
      </c>
      <c r="H7" s="26" t="s">
        <v>186</v>
      </c>
      <c r="I7" s="26" t="s">
        <v>186</v>
      </c>
      <c r="J7" s="14"/>
      <c r="K7" s="14" t="str">
        <f>"202,5"</f>
        <v>202,5</v>
      </c>
      <c r="L7" s="14" t="str">
        <f>"137,8215"</f>
        <v>137,8215</v>
      </c>
      <c r="M7" s="13" t="s">
        <v>897</v>
      </c>
    </row>
    <row r="8" spans="1:13">
      <c r="B8" s="5" t="s">
        <v>125</v>
      </c>
    </row>
    <row r="9" spans="1:13" ht="16">
      <c r="A9" s="52" t="s">
        <v>32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8" t="s">
        <v>124</v>
      </c>
      <c r="B10" s="7" t="s">
        <v>898</v>
      </c>
      <c r="C10" s="7" t="s">
        <v>899</v>
      </c>
      <c r="D10" s="7" t="s">
        <v>534</v>
      </c>
      <c r="E10" s="7" t="s">
        <v>1367</v>
      </c>
      <c r="F10" s="7" t="s">
        <v>1358</v>
      </c>
      <c r="G10" s="20" t="s">
        <v>65</v>
      </c>
      <c r="H10" s="20" t="s">
        <v>48</v>
      </c>
      <c r="I10" s="21" t="s">
        <v>49</v>
      </c>
      <c r="J10" s="8"/>
      <c r="K10" s="8" t="str">
        <f>"250,0"</f>
        <v>250,0</v>
      </c>
      <c r="L10" s="8" t="str">
        <f>"161,0000"</f>
        <v>161,0000</v>
      </c>
      <c r="M10" s="7"/>
    </row>
    <row r="11" spans="1:13">
      <c r="B11" s="5" t="s">
        <v>125</v>
      </c>
    </row>
    <row r="12" spans="1:13" ht="16">
      <c r="A12" s="52" t="s">
        <v>60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0" t="s">
        <v>124</v>
      </c>
      <c r="B13" s="9" t="s">
        <v>900</v>
      </c>
      <c r="C13" s="9" t="s">
        <v>901</v>
      </c>
      <c r="D13" s="9" t="s">
        <v>902</v>
      </c>
      <c r="E13" s="9" t="s">
        <v>1367</v>
      </c>
      <c r="F13" s="9" t="s">
        <v>1308</v>
      </c>
      <c r="G13" s="22" t="s">
        <v>38</v>
      </c>
      <c r="H13" s="27" t="s">
        <v>39</v>
      </c>
      <c r="I13" s="22" t="s">
        <v>39</v>
      </c>
      <c r="J13" s="10"/>
      <c r="K13" s="10" t="str">
        <f>"302,5"</f>
        <v>302,5</v>
      </c>
      <c r="L13" s="10" t="str">
        <f>"187,0358"</f>
        <v>187,0358</v>
      </c>
      <c r="M13" s="9"/>
    </row>
    <row r="14" spans="1:13">
      <c r="A14" s="12" t="s">
        <v>126</v>
      </c>
      <c r="B14" s="11" t="s">
        <v>903</v>
      </c>
      <c r="C14" s="11" t="s">
        <v>904</v>
      </c>
      <c r="D14" s="11" t="s">
        <v>795</v>
      </c>
      <c r="E14" s="11" t="s">
        <v>1367</v>
      </c>
      <c r="F14" s="11" t="s">
        <v>67</v>
      </c>
      <c r="G14" s="24" t="s">
        <v>43</v>
      </c>
      <c r="H14" s="23" t="s">
        <v>197</v>
      </c>
      <c r="I14" s="23" t="s">
        <v>197</v>
      </c>
      <c r="J14" s="12"/>
      <c r="K14" s="12" t="str">
        <f>"300,0"</f>
        <v>300,0</v>
      </c>
      <c r="L14" s="12" t="str">
        <f>"185,2200"</f>
        <v>185,2200</v>
      </c>
      <c r="M14" s="11"/>
    </row>
    <row r="15" spans="1:13">
      <c r="A15" s="14" t="s">
        <v>124</v>
      </c>
      <c r="B15" s="13" t="s">
        <v>900</v>
      </c>
      <c r="C15" s="13" t="s">
        <v>905</v>
      </c>
      <c r="D15" s="13" t="s">
        <v>902</v>
      </c>
      <c r="E15" s="13" t="s">
        <v>1373</v>
      </c>
      <c r="F15" s="13" t="s">
        <v>1308</v>
      </c>
      <c r="G15" s="25" t="s">
        <v>38</v>
      </c>
      <c r="H15" s="26" t="s">
        <v>39</v>
      </c>
      <c r="I15" s="25" t="s">
        <v>39</v>
      </c>
      <c r="J15" s="14"/>
      <c r="K15" s="14" t="str">
        <f>"302,5"</f>
        <v>302,5</v>
      </c>
      <c r="L15" s="14" t="str">
        <f>"218,4578"</f>
        <v>218,4578</v>
      </c>
      <c r="M15" s="13"/>
    </row>
    <row r="16" spans="1:13">
      <c r="B16" s="5" t="s">
        <v>125</v>
      </c>
    </row>
    <row r="17" spans="1:13" ht="16">
      <c r="A17" s="52" t="s">
        <v>86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3">
      <c r="A18" s="8" t="s">
        <v>124</v>
      </c>
      <c r="B18" s="7" t="s">
        <v>87</v>
      </c>
      <c r="C18" s="7" t="s">
        <v>88</v>
      </c>
      <c r="D18" s="7" t="s">
        <v>89</v>
      </c>
      <c r="E18" s="7" t="s">
        <v>1367</v>
      </c>
      <c r="F18" s="7" t="s">
        <v>64</v>
      </c>
      <c r="G18" s="20" t="s">
        <v>92</v>
      </c>
      <c r="H18" s="20" t="s">
        <v>93</v>
      </c>
      <c r="I18" s="21" t="s">
        <v>94</v>
      </c>
      <c r="J18" s="8"/>
      <c r="K18" s="8" t="str">
        <f>"380,0"</f>
        <v>380,0</v>
      </c>
      <c r="L18" s="8" t="str">
        <f>"224,8080"</f>
        <v>224,8080</v>
      </c>
      <c r="M18" s="7"/>
    </row>
    <row r="19" spans="1:13">
      <c r="B19" s="5" t="s">
        <v>125</v>
      </c>
    </row>
    <row r="20" spans="1:13" ht="16">
      <c r="A20" s="52" t="s">
        <v>218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3">
      <c r="A21" s="10" t="s">
        <v>124</v>
      </c>
      <c r="B21" s="9" t="s">
        <v>906</v>
      </c>
      <c r="C21" s="9" t="s">
        <v>907</v>
      </c>
      <c r="D21" s="9" t="s">
        <v>908</v>
      </c>
      <c r="E21" s="9" t="s">
        <v>1367</v>
      </c>
      <c r="F21" s="9" t="s">
        <v>1265</v>
      </c>
      <c r="G21" s="22" t="s">
        <v>37</v>
      </c>
      <c r="H21" s="27" t="s">
        <v>43</v>
      </c>
      <c r="I21" s="22" t="s">
        <v>43</v>
      </c>
      <c r="J21" s="10"/>
      <c r="K21" s="10" t="str">
        <f>"300,0"</f>
        <v>300,0</v>
      </c>
      <c r="L21" s="10" t="str">
        <f>"172,3800"</f>
        <v>172,3800</v>
      </c>
      <c r="M21" s="9"/>
    </row>
    <row r="22" spans="1:13">
      <c r="A22" s="14" t="s">
        <v>124</v>
      </c>
      <c r="B22" s="13" t="s">
        <v>882</v>
      </c>
      <c r="C22" s="13" t="s">
        <v>883</v>
      </c>
      <c r="D22" s="13" t="s">
        <v>909</v>
      </c>
      <c r="E22" s="13" t="s">
        <v>1373</v>
      </c>
      <c r="F22" s="13" t="s">
        <v>1347</v>
      </c>
      <c r="G22" s="25" t="s">
        <v>31</v>
      </c>
      <c r="H22" s="25" t="s">
        <v>74</v>
      </c>
      <c r="I22" s="25" t="s">
        <v>83</v>
      </c>
      <c r="J22" s="14"/>
      <c r="K22" s="14" t="str">
        <f>"230,0"</f>
        <v>230,0</v>
      </c>
      <c r="L22" s="14" t="str">
        <f>"159,5425"</f>
        <v>159,5425</v>
      </c>
      <c r="M22" s="13" t="s">
        <v>1214</v>
      </c>
    </row>
    <row r="23" spans="1:13">
      <c r="B23" s="5" t="s">
        <v>125</v>
      </c>
    </row>
    <row r="24" spans="1:13" ht="16">
      <c r="A24" s="52" t="s">
        <v>224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3">
      <c r="A25" s="10" t="s">
        <v>124</v>
      </c>
      <c r="B25" s="9" t="s">
        <v>910</v>
      </c>
      <c r="C25" s="9" t="s">
        <v>911</v>
      </c>
      <c r="D25" s="9" t="s">
        <v>912</v>
      </c>
      <c r="E25" s="9" t="s">
        <v>1367</v>
      </c>
      <c r="F25" s="9" t="s">
        <v>1359</v>
      </c>
      <c r="G25" s="22" t="s">
        <v>913</v>
      </c>
      <c r="H25" s="27" t="s">
        <v>90</v>
      </c>
      <c r="I25" s="27" t="s">
        <v>90</v>
      </c>
      <c r="J25" s="10"/>
      <c r="K25" s="10" t="str">
        <f>"350,0"</f>
        <v>350,0</v>
      </c>
      <c r="L25" s="10" t="str">
        <f>"197,0150"</f>
        <v>197,0150</v>
      </c>
      <c r="M25" s="9"/>
    </row>
    <row r="26" spans="1:13">
      <c r="A26" s="14" t="s">
        <v>126</v>
      </c>
      <c r="B26" s="13" t="s">
        <v>225</v>
      </c>
      <c r="C26" s="13" t="s">
        <v>226</v>
      </c>
      <c r="D26" s="13" t="s">
        <v>227</v>
      </c>
      <c r="E26" s="13" t="s">
        <v>1367</v>
      </c>
      <c r="F26" s="13" t="s">
        <v>185</v>
      </c>
      <c r="G26" s="25" t="s">
        <v>75</v>
      </c>
      <c r="H26" s="25" t="s">
        <v>228</v>
      </c>
      <c r="I26" s="25" t="s">
        <v>229</v>
      </c>
      <c r="J26" s="14"/>
      <c r="K26" s="14" t="str">
        <f>"325,0"</f>
        <v>325,0</v>
      </c>
      <c r="L26" s="14" t="str">
        <f>"183,4625"</f>
        <v>183,4625</v>
      </c>
      <c r="M26" s="13"/>
    </row>
    <row r="27" spans="1:13">
      <c r="B27" s="5" t="s">
        <v>125</v>
      </c>
    </row>
    <row r="28" spans="1:13">
      <c r="B28" s="5" t="s">
        <v>125</v>
      </c>
    </row>
    <row r="29" spans="1:13">
      <c r="B29" s="5" t="s">
        <v>125</v>
      </c>
    </row>
    <row r="30" spans="1:13" ht="18">
      <c r="B30" s="15" t="s">
        <v>101</v>
      </c>
      <c r="C30" s="15"/>
      <c r="F30" s="3"/>
    </row>
    <row r="31" spans="1:13" ht="16">
      <c r="B31" s="16" t="s">
        <v>111</v>
      </c>
      <c r="C31" s="16"/>
      <c r="F31" s="3"/>
    </row>
    <row r="32" spans="1:13" ht="14">
      <c r="B32" s="17"/>
      <c r="C32" s="18" t="s">
        <v>103</v>
      </c>
      <c r="F32" s="3"/>
    </row>
    <row r="33" spans="2:6" ht="14">
      <c r="B33" s="19" t="s">
        <v>104</v>
      </c>
      <c r="C33" s="19" t="s">
        <v>105</v>
      </c>
      <c r="D33" s="19" t="s">
        <v>1203</v>
      </c>
      <c r="E33" s="19" t="s">
        <v>509</v>
      </c>
      <c r="F33" s="19" t="s">
        <v>108</v>
      </c>
    </row>
    <row r="34" spans="2:6">
      <c r="B34" s="5" t="s">
        <v>87</v>
      </c>
      <c r="C34" s="5" t="s">
        <v>103</v>
      </c>
      <c r="D34" s="6" t="s">
        <v>114</v>
      </c>
      <c r="E34" s="6" t="s">
        <v>93</v>
      </c>
      <c r="F34" s="6" t="s">
        <v>914</v>
      </c>
    </row>
    <row r="35" spans="2:6">
      <c r="B35" s="5" t="s">
        <v>910</v>
      </c>
      <c r="C35" s="5" t="s">
        <v>103</v>
      </c>
      <c r="D35" s="6" t="s">
        <v>237</v>
      </c>
      <c r="E35" s="6" t="s">
        <v>913</v>
      </c>
      <c r="F35" s="6" t="s">
        <v>915</v>
      </c>
    </row>
    <row r="36" spans="2:6">
      <c r="B36" s="5" t="s">
        <v>900</v>
      </c>
      <c r="C36" s="5" t="s">
        <v>103</v>
      </c>
      <c r="D36" s="6" t="s">
        <v>113</v>
      </c>
      <c r="E36" s="6" t="s">
        <v>39</v>
      </c>
      <c r="F36" s="6" t="s">
        <v>916</v>
      </c>
    </row>
    <row r="37" spans="2:6">
      <c r="B37" s="5" t="s">
        <v>125</v>
      </c>
    </row>
  </sheetData>
  <mergeCells count="17">
    <mergeCell ref="A24:J24"/>
    <mergeCell ref="A5:J5"/>
    <mergeCell ref="A9:J9"/>
    <mergeCell ref="A12:J12"/>
    <mergeCell ref="A17:J17"/>
    <mergeCell ref="A20:J20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84"/>
  <sheetViews>
    <sheetView topLeftCell="A35" workbookViewId="0">
      <selection activeCell="E62" sqref="E62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5" style="5" customWidth="1"/>
    <col min="7" max="10" width="5.5" style="6" customWidth="1"/>
    <col min="11" max="11" width="10.5" style="6" bestFit="1" customWidth="1"/>
    <col min="12" max="12" width="8.6640625" style="6" customWidth="1"/>
    <col min="13" max="13" width="20.83203125" style="5" bestFit="1" customWidth="1"/>
    <col min="14" max="16384" width="9.1640625" style="3"/>
  </cols>
  <sheetData>
    <row r="1" spans="1:13" s="2" customFormat="1" ht="29" customHeight="1">
      <c r="A1" s="41" t="s">
        <v>1259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1261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600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1087</v>
      </c>
      <c r="C6" s="7" t="s">
        <v>1167</v>
      </c>
      <c r="D6" s="7" t="s">
        <v>1088</v>
      </c>
      <c r="E6" s="7" t="s">
        <v>1376</v>
      </c>
      <c r="F6" s="7" t="s">
        <v>1291</v>
      </c>
      <c r="G6" s="20" t="s">
        <v>1089</v>
      </c>
      <c r="H6" s="8"/>
      <c r="I6" s="8"/>
      <c r="J6" s="8"/>
      <c r="K6" s="8" t="str">
        <f>"24,0"</f>
        <v>24,0</v>
      </c>
      <c r="L6" s="8" t="str">
        <f>"32,2488"</f>
        <v>32,2488</v>
      </c>
      <c r="M6" s="7" t="s">
        <v>1202</v>
      </c>
    </row>
    <row r="7" spans="1:13">
      <c r="B7" s="5" t="s">
        <v>125</v>
      </c>
    </row>
    <row r="8" spans="1:13" ht="16">
      <c r="A8" s="52" t="s">
        <v>298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124</v>
      </c>
      <c r="B9" s="9" t="s">
        <v>1090</v>
      </c>
      <c r="C9" s="9" t="s">
        <v>1091</v>
      </c>
      <c r="D9" s="9" t="s">
        <v>1092</v>
      </c>
      <c r="E9" s="9" t="s">
        <v>1367</v>
      </c>
      <c r="F9" s="9" t="s">
        <v>1331</v>
      </c>
      <c r="G9" s="22" t="s">
        <v>277</v>
      </c>
      <c r="H9" s="22" t="s">
        <v>248</v>
      </c>
      <c r="I9" s="22" t="s">
        <v>256</v>
      </c>
      <c r="J9" s="22" t="s">
        <v>249</v>
      </c>
      <c r="K9" s="10" t="str">
        <f>"42,5"</f>
        <v>42,5</v>
      </c>
      <c r="L9" s="10" t="str">
        <f>"42,3704"</f>
        <v>42,3704</v>
      </c>
      <c r="M9" s="9"/>
    </row>
    <row r="10" spans="1:13">
      <c r="A10" s="14" t="s">
        <v>124</v>
      </c>
      <c r="B10" s="13" t="s">
        <v>1090</v>
      </c>
      <c r="C10" s="13" t="s">
        <v>1168</v>
      </c>
      <c r="D10" s="13" t="s">
        <v>1092</v>
      </c>
      <c r="E10" s="13" t="s">
        <v>1370</v>
      </c>
      <c r="F10" s="13" t="s">
        <v>1331</v>
      </c>
      <c r="G10" s="25" t="s">
        <v>277</v>
      </c>
      <c r="H10" s="25" t="s">
        <v>248</v>
      </c>
      <c r="I10" s="25" t="s">
        <v>256</v>
      </c>
      <c r="J10" s="25" t="s">
        <v>249</v>
      </c>
      <c r="K10" s="14" t="str">
        <f>"42,5"</f>
        <v>42,5</v>
      </c>
      <c r="L10" s="14" t="str">
        <f>"42,3704"</f>
        <v>42,3704</v>
      </c>
      <c r="M10" s="13"/>
    </row>
    <row r="11" spans="1:13">
      <c r="B11" s="5" t="s">
        <v>125</v>
      </c>
    </row>
    <row r="12" spans="1:13" ht="16">
      <c r="A12" s="52" t="s">
        <v>298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3">
      <c r="A13" s="10" t="s">
        <v>124</v>
      </c>
      <c r="B13" s="9" t="s">
        <v>1045</v>
      </c>
      <c r="C13" s="9" t="s">
        <v>1046</v>
      </c>
      <c r="D13" s="9" t="s">
        <v>669</v>
      </c>
      <c r="E13" s="9" t="s">
        <v>1367</v>
      </c>
      <c r="F13" s="9" t="s">
        <v>1337</v>
      </c>
      <c r="G13" s="22" t="s">
        <v>247</v>
      </c>
      <c r="H13" s="22" t="s">
        <v>1033</v>
      </c>
      <c r="I13" s="22" t="s">
        <v>134</v>
      </c>
      <c r="J13" s="10"/>
      <c r="K13" s="10" t="str">
        <f>"65,0"</f>
        <v>65,0</v>
      </c>
      <c r="L13" s="10" t="str">
        <f>"54,5772"</f>
        <v>54,5772</v>
      </c>
      <c r="M13" s="9"/>
    </row>
    <row r="14" spans="1:13">
      <c r="A14" s="14" t="s">
        <v>124</v>
      </c>
      <c r="B14" s="13" t="s">
        <v>1045</v>
      </c>
      <c r="C14" s="13" t="s">
        <v>1169</v>
      </c>
      <c r="D14" s="13" t="s">
        <v>669</v>
      </c>
      <c r="E14" s="13" t="s">
        <v>1370</v>
      </c>
      <c r="F14" s="13" t="s">
        <v>1337</v>
      </c>
      <c r="G14" s="25" t="s">
        <v>247</v>
      </c>
      <c r="H14" s="25" t="s">
        <v>1033</v>
      </c>
      <c r="I14" s="25" t="s">
        <v>134</v>
      </c>
      <c r="J14" s="14"/>
      <c r="K14" s="14" t="str">
        <f>"65,0"</f>
        <v>65,0</v>
      </c>
      <c r="L14" s="14" t="str">
        <f>"58,2885"</f>
        <v>58,2885</v>
      </c>
      <c r="M14" s="13"/>
    </row>
    <row r="15" spans="1:13">
      <c r="B15" s="5" t="s">
        <v>125</v>
      </c>
    </row>
    <row r="16" spans="1:13" ht="16">
      <c r="A16" s="52" t="s">
        <v>162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>
      <c r="A17" s="10" t="s">
        <v>124</v>
      </c>
      <c r="B17" s="9" t="s">
        <v>1093</v>
      </c>
      <c r="C17" s="9" t="s">
        <v>1170</v>
      </c>
      <c r="D17" s="9" t="s">
        <v>1094</v>
      </c>
      <c r="E17" s="9" t="s">
        <v>1376</v>
      </c>
      <c r="F17" s="9" t="s">
        <v>1265</v>
      </c>
      <c r="G17" s="22" t="s">
        <v>256</v>
      </c>
      <c r="H17" s="22" t="s">
        <v>608</v>
      </c>
      <c r="I17" s="22" t="s">
        <v>293</v>
      </c>
      <c r="J17" s="10"/>
      <c r="K17" s="10" t="str">
        <f>"50,0"</f>
        <v>50,0</v>
      </c>
      <c r="L17" s="10" t="str">
        <f>"38,1000"</f>
        <v>38,1000</v>
      </c>
      <c r="M17" s="9"/>
    </row>
    <row r="18" spans="1:13">
      <c r="A18" s="12" t="s">
        <v>126</v>
      </c>
      <c r="B18" s="11" t="s">
        <v>1095</v>
      </c>
      <c r="C18" s="11" t="s">
        <v>1171</v>
      </c>
      <c r="D18" s="11" t="s">
        <v>1096</v>
      </c>
      <c r="E18" s="11" t="s">
        <v>1376</v>
      </c>
      <c r="F18" s="11" t="s">
        <v>1274</v>
      </c>
      <c r="G18" s="24" t="s">
        <v>278</v>
      </c>
      <c r="H18" s="24" t="s">
        <v>256</v>
      </c>
      <c r="I18" s="24" t="s">
        <v>249</v>
      </c>
      <c r="J18" s="12"/>
      <c r="K18" s="12" t="str">
        <f>"45,0"</f>
        <v>45,0</v>
      </c>
      <c r="L18" s="12" t="str">
        <f>"36,4365"</f>
        <v>36,4365</v>
      </c>
      <c r="M18" s="11" t="s">
        <v>311</v>
      </c>
    </row>
    <row r="19" spans="1:13">
      <c r="A19" s="12" t="s">
        <v>124</v>
      </c>
      <c r="B19" s="11" t="s">
        <v>1097</v>
      </c>
      <c r="C19" s="11" t="s">
        <v>1098</v>
      </c>
      <c r="D19" s="11" t="s">
        <v>1030</v>
      </c>
      <c r="E19" s="11" t="s">
        <v>1367</v>
      </c>
      <c r="F19" s="11" t="s">
        <v>1265</v>
      </c>
      <c r="G19" s="24" t="s">
        <v>247</v>
      </c>
      <c r="H19" s="24" t="s">
        <v>267</v>
      </c>
      <c r="I19" s="24" t="s">
        <v>134</v>
      </c>
      <c r="J19" s="24" t="s">
        <v>28</v>
      </c>
      <c r="K19" s="12" t="str">
        <f>"65,0"</f>
        <v>65,0</v>
      </c>
      <c r="L19" s="12" t="str">
        <f>"48,9547"</f>
        <v>48,9547</v>
      </c>
      <c r="M19" s="11"/>
    </row>
    <row r="20" spans="1:13">
      <c r="A20" s="12" t="s">
        <v>126</v>
      </c>
      <c r="B20" s="11" t="s">
        <v>1099</v>
      </c>
      <c r="C20" s="11" t="s">
        <v>1100</v>
      </c>
      <c r="D20" s="11" t="s">
        <v>637</v>
      </c>
      <c r="E20" s="11" t="s">
        <v>1367</v>
      </c>
      <c r="F20" s="11" t="s">
        <v>1265</v>
      </c>
      <c r="G20" s="24" t="s">
        <v>293</v>
      </c>
      <c r="H20" s="24" t="s">
        <v>246</v>
      </c>
      <c r="I20" s="24" t="s">
        <v>266</v>
      </c>
      <c r="J20" s="12"/>
      <c r="K20" s="12" t="str">
        <f>"57,5"</f>
        <v>57,5</v>
      </c>
      <c r="L20" s="12" t="str">
        <f>"43,4183"</f>
        <v>43,4183</v>
      </c>
      <c r="M20" s="11"/>
    </row>
    <row r="21" spans="1:13">
      <c r="A21" s="12" t="s">
        <v>127</v>
      </c>
      <c r="B21" s="11" t="s">
        <v>689</v>
      </c>
      <c r="C21" s="11" t="s">
        <v>690</v>
      </c>
      <c r="D21" s="11" t="s">
        <v>691</v>
      </c>
      <c r="E21" s="11" t="s">
        <v>1367</v>
      </c>
      <c r="F21" s="11" t="s">
        <v>1322</v>
      </c>
      <c r="G21" s="24" t="s">
        <v>256</v>
      </c>
      <c r="H21" s="24" t="s">
        <v>293</v>
      </c>
      <c r="I21" s="23" t="s">
        <v>247</v>
      </c>
      <c r="J21" s="12"/>
      <c r="K21" s="12" t="str">
        <f>"50,0"</f>
        <v>50,0</v>
      </c>
      <c r="L21" s="12" t="str">
        <f>"38,6650"</f>
        <v>38,6650</v>
      </c>
      <c r="M21" s="11"/>
    </row>
    <row r="22" spans="1:13">
      <c r="A22" s="12" t="s">
        <v>124</v>
      </c>
      <c r="B22" s="11" t="s">
        <v>1099</v>
      </c>
      <c r="C22" s="11" t="s">
        <v>1172</v>
      </c>
      <c r="D22" s="11" t="s">
        <v>637</v>
      </c>
      <c r="E22" s="11" t="s">
        <v>1370</v>
      </c>
      <c r="F22" s="11" t="s">
        <v>1265</v>
      </c>
      <c r="G22" s="24" t="s">
        <v>293</v>
      </c>
      <c r="H22" s="24" t="s">
        <v>246</v>
      </c>
      <c r="I22" s="24" t="s">
        <v>266</v>
      </c>
      <c r="J22" s="12"/>
      <c r="K22" s="12" t="str">
        <f>"57,5"</f>
        <v>57,5</v>
      </c>
      <c r="L22" s="12" t="str">
        <f>"44,2866"</f>
        <v>44,2866</v>
      </c>
      <c r="M22" s="11"/>
    </row>
    <row r="23" spans="1:13">
      <c r="A23" s="14" t="s">
        <v>126</v>
      </c>
      <c r="B23" s="13" t="s">
        <v>1101</v>
      </c>
      <c r="C23" s="13" t="s">
        <v>1173</v>
      </c>
      <c r="D23" s="13" t="s">
        <v>317</v>
      </c>
      <c r="E23" s="13" t="s">
        <v>1370</v>
      </c>
      <c r="F23" s="13" t="s">
        <v>1342</v>
      </c>
      <c r="G23" s="25" t="s">
        <v>256</v>
      </c>
      <c r="H23" s="25" t="s">
        <v>293</v>
      </c>
      <c r="I23" s="25" t="s">
        <v>288</v>
      </c>
      <c r="J23" s="14"/>
      <c r="K23" s="14" t="str">
        <f>"52,5"</f>
        <v>52,5</v>
      </c>
      <c r="L23" s="14" t="str">
        <f>"42,2607"</f>
        <v>42,2607</v>
      </c>
      <c r="M23" s="13"/>
    </row>
    <row r="24" spans="1:13">
      <c r="B24" s="5" t="s">
        <v>125</v>
      </c>
    </row>
    <row r="25" spans="1:13" ht="16">
      <c r="A25" s="52" t="s">
        <v>10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3">
      <c r="A26" s="10" t="s">
        <v>124</v>
      </c>
      <c r="B26" s="9" t="s">
        <v>1102</v>
      </c>
      <c r="C26" s="9" t="s">
        <v>1174</v>
      </c>
      <c r="D26" s="9" t="s">
        <v>640</v>
      </c>
      <c r="E26" s="9" t="s">
        <v>1376</v>
      </c>
      <c r="F26" s="9" t="s">
        <v>1327</v>
      </c>
      <c r="G26" s="22" t="s">
        <v>277</v>
      </c>
      <c r="H26" s="22" t="s">
        <v>278</v>
      </c>
      <c r="I26" s="27" t="s">
        <v>248</v>
      </c>
      <c r="J26" s="10"/>
      <c r="K26" s="10" t="str">
        <f>"37,5"</f>
        <v>37,5</v>
      </c>
      <c r="L26" s="10" t="str">
        <f>"26,5744"</f>
        <v>26,5744</v>
      </c>
      <c r="M26" s="9" t="s">
        <v>1103</v>
      </c>
    </row>
    <row r="27" spans="1:13">
      <c r="A27" s="14" t="s">
        <v>124</v>
      </c>
      <c r="B27" s="13" t="s">
        <v>1104</v>
      </c>
      <c r="C27" s="13" t="s">
        <v>1105</v>
      </c>
      <c r="D27" s="13" t="s">
        <v>1106</v>
      </c>
      <c r="E27" s="13" t="s">
        <v>1367</v>
      </c>
      <c r="F27" s="13" t="s">
        <v>1271</v>
      </c>
      <c r="G27" s="25" t="s">
        <v>293</v>
      </c>
      <c r="H27" s="26" t="s">
        <v>246</v>
      </c>
      <c r="I27" s="26" t="s">
        <v>246</v>
      </c>
      <c r="J27" s="14"/>
      <c r="K27" s="14" t="str">
        <f>"50,0"</f>
        <v>50,0</v>
      </c>
      <c r="L27" s="14" t="str">
        <f>"34,7725"</f>
        <v>34,7725</v>
      </c>
      <c r="M27" s="13"/>
    </row>
    <row r="28" spans="1:13">
      <c r="B28" s="5" t="s">
        <v>125</v>
      </c>
    </row>
    <row r="29" spans="1:13" ht="16">
      <c r="A29" s="52" t="s">
        <v>22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3">
      <c r="A30" s="10" t="s">
        <v>124</v>
      </c>
      <c r="B30" s="9" t="s">
        <v>1107</v>
      </c>
      <c r="C30" s="9" t="s">
        <v>1175</v>
      </c>
      <c r="D30" s="9" t="s">
        <v>1108</v>
      </c>
      <c r="E30" s="9" t="s">
        <v>1376</v>
      </c>
      <c r="F30" s="9" t="s">
        <v>1292</v>
      </c>
      <c r="G30" s="22" t="s">
        <v>266</v>
      </c>
      <c r="H30" s="22" t="s">
        <v>267</v>
      </c>
      <c r="I30" s="22" t="s">
        <v>134</v>
      </c>
      <c r="J30" s="10"/>
      <c r="K30" s="10" t="str">
        <f>"65,0"</f>
        <v>65,0</v>
      </c>
      <c r="L30" s="10" t="str">
        <f>"42,0323"</f>
        <v>42,0323</v>
      </c>
      <c r="M30" s="9" t="s">
        <v>1109</v>
      </c>
    </row>
    <row r="31" spans="1:13">
      <c r="A31" s="12" t="s">
        <v>126</v>
      </c>
      <c r="B31" s="11" t="s">
        <v>1110</v>
      </c>
      <c r="C31" s="11" t="s">
        <v>1176</v>
      </c>
      <c r="D31" s="11" t="s">
        <v>740</v>
      </c>
      <c r="E31" s="11" t="s">
        <v>1376</v>
      </c>
      <c r="F31" s="11" t="s">
        <v>1265</v>
      </c>
      <c r="G31" s="24" t="s">
        <v>249</v>
      </c>
      <c r="H31" s="24" t="s">
        <v>288</v>
      </c>
      <c r="I31" s="24" t="s">
        <v>246</v>
      </c>
      <c r="J31" s="12"/>
      <c r="K31" s="12" t="str">
        <f>"55,0"</f>
        <v>55,0</v>
      </c>
      <c r="L31" s="12" t="str">
        <f>"36,0608"</f>
        <v>36,0608</v>
      </c>
      <c r="M31" s="11"/>
    </row>
    <row r="32" spans="1:13">
      <c r="A32" s="12" t="s">
        <v>127</v>
      </c>
      <c r="B32" s="11" t="s">
        <v>1111</v>
      </c>
      <c r="C32" s="11" t="s">
        <v>1177</v>
      </c>
      <c r="D32" s="11" t="s">
        <v>643</v>
      </c>
      <c r="E32" s="11" t="s">
        <v>1376</v>
      </c>
      <c r="F32" s="11" t="s">
        <v>1327</v>
      </c>
      <c r="G32" s="24" t="s">
        <v>248</v>
      </c>
      <c r="H32" s="24" t="s">
        <v>256</v>
      </c>
      <c r="I32" s="23" t="s">
        <v>249</v>
      </c>
      <c r="J32" s="12"/>
      <c r="K32" s="12" t="str">
        <f>"42,5"</f>
        <v>42,5</v>
      </c>
      <c r="L32" s="12" t="str">
        <f>"27,5931"</f>
        <v>27,5931</v>
      </c>
      <c r="M32" s="11" t="s">
        <v>1103</v>
      </c>
    </row>
    <row r="33" spans="1:13">
      <c r="A33" s="12" t="s">
        <v>124</v>
      </c>
      <c r="B33" s="11" t="s">
        <v>1112</v>
      </c>
      <c r="C33" s="11" t="s">
        <v>1178</v>
      </c>
      <c r="D33" s="11" t="s">
        <v>1059</v>
      </c>
      <c r="E33" s="11" t="s">
        <v>1369</v>
      </c>
      <c r="F33" s="11" t="s">
        <v>1265</v>
      </c>
      <c r="G33" s="24" t="s">
        <v>293</v>
      </c>
      <c r="H33" s="24" t="s">
        <v>288</v>
      </c>
      <c r="I33" s="23" t="s">
        <v>246</v>
      </c>
      <c r="J33" s="12"/>
      <c r="K33" s="12" t="str">
        <f>"52,5"</f>
        <v>52,5</v>
      </c>
      <c r="L33" s="12" t="str">
        <f>"34,5949"</f>
        <v>34,5949</v>
      </c>
      <c r="M33" s="11" t="s">
        <v>1204</v>
      </c>
    </row>
    <row r="34" spans="1:13">
      <c r="A34" s="12" t="s">
        <v>124</v>
      </c>
      <c r="B34" s="11" t="s">
        <v>1113</v>
      </c>
      <c r="C34" s="11" t="s">
        <v>1114</v>
      </c>
      <c r="D34" s="11" t="s">
        <v>1108</v>
      </c>
      <c r="E34" s="11" t="s">
        <v>1367</v>
      </c>
      <c r="F34" s="11" t="s">
        <v>1271</v>
      </c>
      <c r="G34" s="24" t="s">
        <v>29</v>
      </c>
      <c r="H34" s="24" t="s">
        <v>279</v>
      </c>
      <c r="I34" s="24" t="s">
        <v>1115</v>
      </c>
      <c r="J34" s="23" t="s">
        <v>17</v>
      </c>
      <c r="K34" s="12" t="str">
        <f>"77,0"</f>
        <v>77,0</v>
      </c>
      <c r="L34" s="12" t="str">
        <f>"49,7921"</f>
        <v>49,7921</v>
      </c>
      <c r="M34" s="11"/>
    </row>
    <row r="35" spans="1:13">
      <c r="A35" s="12" t="s">
        <v>126</v>
      </c>
      <c r="B35" s="11" t="s">
        <v>874</v>
      </c>
      <c r="C35" s="11" t="s">
        <v>309</v>
      </c>
      <c r="D35" s="11" t="s">
        <v>734</v>
      </c>
      <c r="E35" s="11" t="s">
        <v>1367</v>
      </c>
      <c r="F35" s="11" t="s">
        <v>1348</v>
      </c>
      <c r="G35" s="23" t="s">
        <v>288</v>
      </c>
      <c r="H35" s="24" t="s">
        <v>288</v>
      </c>
      <c r="I35" s="23" t="s">
        <v>247</v>
      </c>
      <c r="J35" s="12"/>
      <c r="K35" s="12" t="str">
        <f>"52,5"</f>
        <v>52,5</v>
      </c>
      <c r="L35" s="12" t="str">
        <f>"34,0305"</f>
        <v>34,0305</v>
      </c>
      <c r="M35" s="11"/>
    </row>
    <row r="36" spans="1:13">
      <c r="A36" s="14" t="s">
        <v>124</v>
      </c>
      <c r="B36" s="13" t="s">
        <v>1116</v>
      </c>
      <c r="C36" s="13" t="s">
        <v>1179</v>
      </c>
      <c r="D36" s="13" t="s">
        <v>643</v>
      </c>
      <c r="E36" s="13" t="s">
        <v>1370</v>
      </c>
      <c r="F36" s="13" t="s">
        <v>1265</v>
      </c>
      <c r="G36" s="25" t="s">
        <v>267</v>
      </c>
      <c r="H36" s="25" t="s">
        <v>134</v>
      </c>
      <c r="I36" s="26" t="s">
        <v>28</v>
      </c>
      <c r="J36" s="14"/>
      <c r="K36" s="14" t="str">
        <f>"65,0"</f>
        <v>65,0</v>
      </c>
      <c r="L36" s="14" t="str">
        <f>"42,6233"</f>
        <v>42,6233</v>
      </c>
      <c r="M36" s="13"/>
    </row>
    <row r="37" spans="1:13">
      <c r="B37" s="5" t="s">
        <v>125</v>
      </c>
    </row>
    <row r="38" spans="1:13" ht="16">
      <c r="A38" s="52" t="s">
        <v>32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3">
      <c r="A39" s="10" t="s">
        <v>124</v>
      </c>
      <c r="B39" s="9" t="s">
        <v>1117</v>
      </c>
      <c r="C39" s="9" t="s">
        <v>1180</v>
      </c>
      <c r="D39" s="9" t="s">
        <v>1118</v>
      </c>
      <c r="E39" s="9" t="s">
        <v>1376</v>
      </c>
      <c r="F39" s="9" t="s">
        <v>1265</v>
      </c>
      <c r="G39" s="22" t="s">
        <v>267</v>
      </c>
      <c r="H39" s="22" t="s">
        <v>134</v>
      </c>
      <c r="I39" s="27" t="s">
        <v>28</v>
      </c>
      <c r="J39" s="10"/>
      <c r="K39" s="10" t="str">
        <f>"65,0"</f>
        <v>65,0</v>
      </c>
      <c r="L39" s="10" t="str">
        <f>"40,9727"</f>
        <v>40,9727</v>
      </c>
      <c r="M39" s="9"/>
    </row>
    <row r="40" spans="1:13">
      <c r="A40" s="12" t="s">
        <v>126</v>
      </c>
      <c r="B40" s="11" t="s">
        <v>340</v>
      </c>
      <c r="C40" s="11" t="s">
        <v>1181</v>
      </c>
      <c r="D40" s="11" t="s">
        <v>409</v>
      </c>
      <c r="E40" s="11" t="s">
        <v>1376</v>
      </c>
      <c r="F40" s="11" t="s">
        <v>1292</v>
      </c>
      <c r="G40" s="23" t="s">
        <v>267</v>
      </c>
      <c r="H40" s="24" t="s">
        <v>134</v>
      </c>
      <c r="I40" s="23" t="s">
        <v>135</v>
      </c>
      <c r="J40" s="12"/>
      <c r="K40" s="12" t="str">
        <f>"65,0"</f>
        <v>65,0</v>
      </c>
      <c r="L40" s="12" t="str">
        <f>"39,7703"</f>
        <v>39,7703</v>
      </c>
      <c r="M40" s="11" t="s">
        <v>1109</v>
      </c>
    </row>
    <row r="41" spans="1:13">
      <c r="A41" s="12" t="s">
        <v>124</v>
      </c>
      <c r="B41" s="11" t="s">
        <v>1119</v>
      </c>
      <c r="C41" s="11" t="s">
        <v>1120</v>
      </c>
      <c r="D41" s="11" t="s">
        <v>1121</v>
      </c>
      <c r="E41" s="11" t="s">
        <v>1367</v>
      </c>
      <c r="F41" s="11" t="s">
        <v>1265</v>
      </c>
      <c r="G41" s="24" t="s">
        <v>279</v>
      </c>
      <c r="H41" s="24" t="s">
        <v>17</v>
      </c>
      <c r="I41" s="24" t="s">
        <v>1068</v>
      </c>
      <c r="J41" s="12"/>
      <c r="K41" s="12" t="str">
        <f>"83,0"</f>
        <v>83,0</v>
      </c>
      <c r="L41" s="12" t="str">
        <f>"51,5720"</f>
        <v>51,5720</v>
      </c>
      <c r="M41" s="11"/>
    </row>
    <row r="42" spans="1:13">
      <c r="A42" s="12" t="s">
        <v>126</v>
      </c>
      <c r="B42" s="11" t="s">
        <v>1122</v>
      </c>
      <c r="C42" s="11" t="s">
        <v>1123</v>
      </c>
      <c r="D42" s="11" t="s">
        <v>1124</v>
      </c>
      <c r="E42" s="11" t="s">
        <v>1367</v>
      </c>
      <c r="F42" s="11" t="s">
        <v>1360</v>
      </c>
      <c r="G42" s="24" t="s">
        <v>343</v>
      </c>
      <c r="H42" s="24" t="s">
        <v>17</v>
      </c>
      <c r="I42" s="24" t="s">
        <v>1068</v>
      </c>
      <c r="J42" s="24" t="s">
        <v>1125</v>
      </c>
      <c r="K42" s="12" t="str">
        <f>"83,0"</f>
        <v>83,0</v>
      </c>
      <c r="L42" s="12" t="str">
        <f>"50,9744"</f>
        <v>50,9744</v>
      </c>
      <c r="M42" s="11"/>
    </row>
    <row r="43" spans="1:13">
      <c r="A43" s="12" t="s">
        <v>127</v>
      </c>
      <c r="B43" s="11" t="s">
        <v>1034</v>
      </c>
      <c r="C43" s="11" t="s">
        <v>1035</v>
      </c>
      <c r="D43" s="11" t="s">
        <v>1036</v>
      </c>
      <c r="E43" s="11" t="s">
        <v>1367</v>
      </c>
      <c r="F43" s="11" t="s">
        <v>1037</v>
      </c>
      <c r="G43" s="24" t="s">
        <v>343</v>
      </c>
      <c r="H43" s="24" t="s">
        <v>17</v>
      </c>
      <c r="I43" s="23" t="s">
        <v>255</v>
      </c>
      <c r="J43" s="12"/>
      <c r="K43" s="12" t="str">
        <f>"80,0"</f>
        <v>80,0</v>
      </c>
      <c r="L43" s="12" t="str">
        <f>"49,9400"</f>
        <v>49,9400</v>
      </c>
      <c r="M43" s="11"/>
    </row>
    <row r="44" spans="1:13">
      <c r="A44" s="12" t="s">
        <v>240</v>
      </c>
      <c r="B44" s="11" t="s">
        <v>1126</v>
      </c>
      <c r="C44" s="11" t="s">
        <v>1127</v>
      </c>
      <c r="D44" s="11" t="s">
        <v>1128</v>
      </c>
      <c r="E44" s="11" t="s">
        <v>1367</v>
      </c>
      <c r="F44" s="11" t="s">
        <v>1361</v>
      </c>
      <c r="G44" s="24" t="s">
        <v>266</v>
      </c>
      <c r="H44" s="24" t="s">
        <v>267</v>
      </c>
      <c r="I44" s="24" t="s">
        <v>134</v>
      </c>
      <c r="J44" s="12"/>
      <c r="K44" s="12" t="str">
        <f>"65,0"</f>
        <v>65,0</v>
      </c>
      <c r="L44" s="12" t="str">
        <f>"40,4950"</f>
        <v>40,4950</v>
      </c>
      <c r="M44" s="11"/>
    </row>
    <row r="45" spans="1:13">
      <c r="A45" s="12" t="s">
        <v>241</v>
      </c>
      <c r="B45" s="11" t="s">
        <v>1129</v>
      </c>
      <c r="C45" s="11" t="s">
        <v>1130</v>
      </c>
      <c r="D45" s="11" t="s">
        <v>56</v>
      </c>
      <c r="E45" s="11" t="s">
        <v>1367</v>
      </c>
      <c r="F45" s="11" t="s">
        <v>1266</v>
      </c>
      <c r="G45" s="23" t="s">
        <v>266</v>
      </c>
      <c r="H45" s="24" t="s">
        <v>266</v>
      </c>
      <c r="I45" s="24" t="s">
        <v>134</v>
      </c>
      <c r="J45" s="12"/>
      <c r="K45" s="12" t="str">
        <f>"65,0"</f>
        <v>65,0</v>
      </c>
      <c r="L45" s="12" t="str">
        <f>"40,3065"</f>
        <v>40,3065</v>
      </c>
      <c r="M45" s="11"/>
    </row>
    <row r="46" spans="1:13">
      <c r="A46" s="12" t="s">
        <v>124</v>
      </c>
      <c r="B46" s="11" t="s">
        <v>1119</v>
      </c>
      <c r="C46" s="11" t="s">
        <v>1182</v>
      </c>
      <c r="D46" s="11" t="s">
        <v>1121</v>
      </c>
      <c r="E46" s="11" t="s">
        <v>1370</v>
      </c>
      <c r="F46" s="11" t="s">
        <v>1265</v>
      </c>
      <c r="G46" s="24" t="s">
        <v>279</v>
      </c>
      <c r="H46" s="24" t="s">
        <v>17</v>
      </c>
      <c r="I46" s="24" t="s">
        <v>1068</v>
      </c>
      <c r="J46" s="12"/>
      <c r="K46" s="12" t="str">
        <f>"83,0"</f>
        <v>83,0</v>
      </c>
      <c r="L46" s="12" t="str">
        <f>"53,1708"</f>
        <v>53,1708</v>
      </c>
      <c r="M46" s="11"/>
    </row>
    <row r="47" spans="1:13">
      <c r="A47" s="12" t="s">
        <v>126</v>
      </c>
      <c r="B47" s="11" t="s">
        <v>1126</v>
      </c>
      <c r="C47" s="11" t="s">
        <v>1183</v>
      </c>
      <c r="D47" s="11" t="s">
        <v>1128</v>
      </c>
      <c r="E47" s="11" t="s">
        <v>1370</v>
      </c>
      <c r="F47" s="11" t="s">
        <v>1361</v>
      </c>
      <c r="G47" s="24" t="s">
        <v>266</v>
      </c>
      <c r="H47" s="24" t="s">
        <v>267</v>
      </c>
      <c r="I47" s="24" t="s">
        <v>134</v>
      </c>
      <c r="J47" s="12"/>
      <c r="K47" s="12" t="str">
        <f>"65,0"</f>
        <v>65,0</v>
      </c>
      <c r="L47" s="12" t="str">
        <f>"42,7222"</f>
        <v>42,7222</v>
      </c>
      <c r="M47" s="11"/>
    </row>
    <row r="48" spans="1:13">
      <c r="A48" s="14" t="s">
        <v>127</v>
      </c>
      <c r="B48" s="13" t="s">
        <v>1131</v>
      </c>
      <c r="C48" s="13" t="s">
        <v>1184</v>
      </c>
      <c r="D48" s="13" t="s">
        <v>448</v>
      </c>
      <c r="E48" s="13" t="s">
        <v>1370</v>
      </c>
      <c r="F48" s="13" t="s">
        <v>1292</v>
      </c>
      <c r="G48" s="25" t="s">
        <v>266</v>
      </c>
      <c r="H48" s="26" t="s">
        <v>267</v>
      </c>
      <c r="I48" s="26" t="s">
        <v>267</v>
      </c>
      <c r="J48" s="14"/>
      <c r="K48" s="14" t="str">
        <f>"57,5"</f>
        <v>57,5</v>
      </c>
      <c r="L48" s="14" t="str">
        <f>"38,3058"</f>
        <v>38,3058</v>
      </c>
      <c r="M48" s="13" t="s">
        <v>1109</v>
      </c>
    </row>
    <row r="49" spans="1:13">
      <c r="B49" s="5" t="s">
        <v>125</v>
      </c>
    </row>
    <row r="50" spans="1:13" ht="16">
      <c r="A50" s="52" t="s">
        <v>60</v>
      </c>
      <c r="B50" s="52"/>
      <c r="C50" s="52"/>
      <c r="D50" s="52"/>
      <c r="E50" s="52"/>
      <c r="F50" s="52"/>
      <c r="G50" s="52"/>
      <c r="H50" s="52"/>
      <c r="I50" s="52"/>
      <c r="J50" s="52"/>
    </row>
    <row r="51" spans="1:13">
      <c r="A51" s="10" t="s">
        <v>124</v>
      </c>
      <c r="B51" s="9" t="s">
        <v>1132</v>
      </c>
      <c r="C51" s="9" t="s">
        <v>1185</v>
      </c>
      <c r="D51" s="9" t="s">
        <v>461</v>
      </c>
      <c r="E51" s="9" t="s">
        <v>1369</v>
      </c>
      <c r="F51" s="9" t="s">
        <v>1362</v>
      </c>
      <c r="G51" s="22" t="s">
        <v>135</v>
      </c>
      <c r="H51" s="22" t="s">
        <v>29</v>
      </c>
      <c r="I51" s="22" t="s">
        <v>279</v>
      </c>
      <c r="J51" s="22" t="s">
        <v>343</v>
      </c>
      <c r="K51" s="10" t="str">
        <f>"75,0"</f>
        <v>75,0</v>
      </c>
      <c r="L51" s="10" t="str">
        <f>"43,9012"</f>
        <v>43,9012</v>
      </c>
      <c r="M51" s="9"/>
    </row>
    <row r="52" spans="1:13">
      <c r="A52" s="12" t="s">
        <v>126</v>
      </c>
      <c r="B52" s="11" t="s">
        <v>1133</v>
      </c>
      <c r="C52" s="11" t="s">
        <v>1186</v>
      </c>
      <c r="D52" s="11" t="s">
        <v>1134</v>
      </c>
      <c r="E52" s="11" t="s">
        <v>1369</v>
      </c>
      <c r="F52" s="11" t="s">
        <v>1292</v>
      </c>
      <c r="G52" s="23" t="s">
        <v>267</v>
      </c>
      <c r="H52" s="24" t="s">
        <v>267</v>
      </c>
      <c r="I52" s="23" t="s">
        <v>134</v>
      </c>
      <c r="J52" s="12"/>
      <c r="K52" s="12" t="str">
        <f>"62,5"</f>
        <v>62,5</v>
      </c>
      <c r="L52" s="12" t="str">
        <f>"37,5406"</f>
        <v>37,5406</v>
      </c>
      <c r="M52" s="11" t="s">
        <v>1109</v>
      </c>
    </row>
    <row r="53" spans="1:13">
      <c r="A53" s="12" t="s">
        <v>124</v>
      </c>
      <c r="B53" s="11" t="s">
        <v>1132</v>
      </c>
      <c r="C53" s="11" t="s">
        <v>1135</v>
      </c>
      <c r="D53" s="11" t="s">
        <v>461</v>
      </c>
      <c r="E53" s="11" t="s">
        <v>1367</v>
      </c>
      <c r="F53" s="11" t="s">
        <v>1362</v>
      </c>
      <c r="G53" s="24" t="s">
        <v>135</v>
      </c>
      <c r="H53" s="24" t="s">
        <v>29</v>
      </c>
      <c r="I53" s="24" t="s">
        <v>279</v>
      </c>
      <c r="J53" s="24" t="s">
        <v>343</v>
      </c>
      <c r="K53" s="12" t="str">
        <f>"75,0"</f>
        <v>75,0</v>
      </c>
      <c r="L53" s="12" t="str">
        <f>"43,9012"</f>
        <v>43,9012</v>
      </c>
      <c r="M53" s="11"/>
    </row>
    <row r="54" spans="1:13">
      <c r="A54" s="12" t="s">
        <v>124</v>
      </c>
      <c r="B54" s="11" t="s">
        <v>1076</v>
      </c>
      <c r="C54" s="11" t="s">
        <v>1187</v>
      </c>
      <c r="D54" s="11" t="s">
        <v>1077</v>
      </c>
      <c r="E54" s="11" t="s">
        <v>1370</v>
      </c>
      <c r="F54" s="11" t="s">
        <v>1265</v>
      </c>
      <c r="G54" s="24" t="s">
        <v>249</v>
      </c>
      <c r="H54" s="23" t="s">
        <v>293</v>
      </c>
      <c r="I54" s="23" t="s">
        <v>293</v>
      </c>
      <c r="J54" s="12"/>
      <c r="K54" s="12" t="str">
        <f>"45,0"</f>
        <v>45,0</v>
      </c>
      <c r="L54" s="12" t="str">
        <f>"28,0767"</f>
        <v>28,0767</v>
      </c>
      <c r="M54" s="11"/>
    </row>
    <row r="55" spans="1:13">
      <c r="A55" s="14" t="s">
        <v>124</v>
      </c>
      <c r="B55" s="13" t="s">
        <v>1136</v>
      </c>
      <c r="C55" s="13" t="s">
        <v>1188</v>
      </c>
      <c r="D55" s="13" t="s">
        <v>1137</v>
      </c>
      <c r="E55" s="13" t="s">
        <v>1373</v>
      </c>
      <c r="F55" s="13" t="s">
        <v>1334</v>
      </c>
      <c r="G55" s="25" t="s">
        <v>267</v>
      </c>
      <c r="H55" s="26" t="s">
        <v>28</v>
      </c>
      <c r="I55" s="26" t="s">
        <v>28</v>
      </c>
      <c r="J55" s="14"/>
      <c r="K55" s="14" t="str">
        <f>"62,5"</f>
        <v>62,5</v>
      </c>
      <c r="L55" s="14" t="str">
        <f>"47,6768"</f>
        <v>47,6768</v>
      </c>
      <c r="M55" s="13"/>
    </row>
    <row r="56" spans="1:13">
      <c r="B56" s="5" t="s">
        <v>125</v>
      </c>
    </row>
    <row r="57" spans="1:13" ht="16">
      <c r="A57" s="52" t="s">
        <v>86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3">
      <c r="A58" s="8" t="s">
        <v>124</v>
      </c>
      <c r="B58" s="7" t="s">
        <v>1027</v>
      </c>
      <c r="C58" s="7" t="s">
        <v>1028</v>
      </c>
      <c r="D58" s="7" t="s">
        <v>1029</v>
      </c>
      <c r="E58" s="7" t="s">
        <v>1367</v>
      </c>
      <c r="F58" s="7" t="s">
        <v>1274</v>
      </c>
      <c r="G58" s="20" t="s">
        <v>134</v>
      </c>
      <c r="H58" s="20" t="s">
        <v>29</v>
      </c>
      <c r="I58" s="20" t="s">
        <v>279</v>
      </c>
      <c r="J58" s="8"/>
      <c r="K58" s="8" t="str">
        <f>"75,0"</f>
        <v>75,0</v>
      </c>
      <c r="L58" s="8" t="str">
        <f>"42,9150"</f>
        <v>42,9150</v>
      </c>
      <c r="M58" s="7" t="s">
        <v>311</v>
      </c>
    </row>
    <row r="59" spans="1:13">
      <c r="B59" s="5" t="s">
        <v>125</v>
      </c>
    </row>
    <row r="60" spans="1:13" ht="16">
      <c r="A60" s="52" t="s">
        <v>218</v>
      </c>
      <c r="B60" s="52"/>
      <c r="C60" s="52"/>
      <c r="D60" s="52"/>
      <c r="E60" s="52"/>
      <c r="F60" s="52"/>
      <c r="G60" s="52"/>
      <c r="H60" s="52"/>
      <c r="I60" s="52"/>
      <c r="J60" s="52"/>
    </row>
    <row r="61" spans="1:13">
      <c r="A61" s="8" t="s">
        <v>124</v>
      </c>
      <c r="B61" s="7" t="s">
        <v>1138</v>
      </c>
      <c r="C61" s="7" t="s">
        <v>1139</v>
      </c>
      <c r="D61" s="7" t="s">
        <v>1140</v>
      </c>
      <c r="E61" s="7" t="s">
        <v>1367</v>
      </c>
      <c r="F61" s="7" t="s">
        <v>1265</v>
      </c>
      <c r="G61" s="21" t="s">
        <v>293</v>
      </c>
      <c r="H61" s="21" t="s">
        <v>293</v>
      </c>
      <c r="I61" s="20" t="s">
        <v>293</v>
      </c>
      <c r="J61" s="8"/>
      <c r="K61" s="8" t="str">
        <f>"50,0"</f>
        <v>50,0</v>
      </c>
      <c r="L61" s="8" t="str">
        <f>"27,7550"</f>
        <v>27,7550</v>
      </c>
      <c r="M61" s="7"/>
    </row>
    <row r="62" spans="1:13">
      <c r="B62" s="5" t="s">
        <v>125</v>
      </c>
    </row>
    <row r="63" spans="1:13">
      <c r="B63" s="5" t="s">
        <v>125</v>
      </c>
    </row>
    <row r="64" spans="1:13">
      <c r="B64" s="5" t="s">
        <v>125</v>
      </c>
    </row>
    <row r="65" spans="2:6" ht="18">
      <c r="B65" s="15" t="s">
        <v>101</v>
      </c>
      <c r="C65" s="15"/>
      <c r="F65" s="3"/>
    </row>
    <row r="66" spans="2:6" ht="16">
      <c r="B66" s="16" t="s">
        <v>111</v>
      </c>
      <c r="C66" s="16"/>
      <c r="F66" s="3"/>
    </row>
    <row r="67" spans="2:6" ht="14">
      <c r="B67" s="17"/>
      <c r="C67" s="18" t="s">
        <v>231</v>
      </c>
      <c r="F67" s="3"/>
    </row>
    <row r="68" spans="2:6" ht="14">
      <c r="B68" s="19" t="s">
        <v>104</v>
      </c>
      <c r="C68" s="19" t="s">
        <v>105</v>
      </c>
      <c r="D68" s="19" t="s">
        <v>1203</v>
      </c>
      <c r="E68" s="19" t="s">
        <v>509</v>
      </c>
      <c r="F68" s="19" t="s">
        <v>510</v>
      </c>
    </row>
    <row r="69" spans="2:6">
      <c r="B69" s="5" t="s">
        <v>1107</v>
      </c>
      <c r="C69" s="5" t="s">
        <v>1166</v>
      </c>
      <c r="D69" s="6" t="s">
        <v>110</v>
      </c>
      <c r="E69" s="6" t="s">
        <v>134</v>
      </c>
      <c r="F69" s="6" t="s">
        <v>1141</v>
      </c>
    </row>
    <row r="70" spans="2:6">
      <c r="B70" s="5" t="s">
        <v>1117</v>
      </c>
      <c r="C70" s="5" t="s">
        <v>1166</v>
      </c>
      <c r="D70" s="6" t="s">
        <v>119</v>
      </c>
      <c r="E70" s="6" t="s">
        <v>134</v>
      </c>
      <c r="F70" s="6" t="s">
        <v>1142</v>
      </c>
    </row>
    <row r="71" spans="2:6">
      <c r="B71" s="5" t="s">
        <v>340</v>
      </c>
      <c r="C71" s="5" t="s">
        <v>1166</v>
      </c>
      <c r="D71" s="6" t="s">
        <v>119</v>
      </c>
      <c r="E71" s="6" t="s">
        <v>134</v>
      </c>
      <c r="F71" s="6" t="s">
        <v>1143</v>
      </c>
    </row>
    <row r="73" spans="2:6" ht="14">
      <c r="B73" s="17"/>
      <c r="C73" s="18" t="s">
        <v>103</v>
      </c>
    </row>
    <row r="74" spans="2:6" ht="14">
      <c r="B74" s="19" t="s">
        <v>104</v>
      </c>
      <c r="C74" s="19" t="s">
        <v>105</v>
      </c>
      <c r="D74" s="19" t="s">
        <v>1203</v>
      </c>
      <c r="E74" s="19" t="s">
        <v>509</v>
      </c>
      <c r="F74" s="19" t="s">
        <v>510</v>
      </c>
    </row>
    <row r="75" spans="2:6">
      <c r="B75" s="5" t="s">
        <v>1045</v>
      </c>
      <c r="C75" s="5" t="s">
        <v>103</v>
      </c>
      <c r="D75" s="6" t="s">
        <v>592</v>
      </c>
      <c r="E75" s="6" t="s">
        <v>134</v>
      </c>
      <c r="F75" s="6" t="s">
        <v>1085</v>
      </c>
    </row>
    <row r="76" spans="2:6">
      <c r="B76" s="5" t="s">
        <v>1119</v>
      </c>
      <c r="C76" s="5" t="s">
        <v>103</v>
      </c>
      <c r="D76" s="6" t="s">
        <v>119</v>
      </c>
      <c r="E76" s="6" t="s">
        <v>1068</v>
      </c>
      <c r="F76" s="6" t="s">
        <v>1144</v>
      </c>
    </row>
    <row r="77" spans="2:6">
      <c r="B77" s="5" t="s">
        <v>1122</v>
      </c>
      <c r="C77" s="5" t="s">
        <v>103</v>
      </c>
      <c r="D77" s="6" t="s">
        <v>119</v>
      </c>
      <c r="E77" s="6" t="s">
        <v>1068</v>
      </c>
      <c r="F77" s="6" t="s">
        <v>1145</v>
      </c>
    </row>
    <row r="79" spans="2:6" ht="14">
      <c r="B79" s="17"/>
      <c r="C79" s="18" t="s">
        <v>122</v>
      </c>
    </row>
    <row r="80" spans="2:6" ht="14">
      <c r="B80" s="19" t="s">
        <v>104</v>
      </c>
      <c r="C80" s="19" t="s">
        <v>105</v>
      </c>
      <c r="D80" s="19" t="s">
        <v>1203</v>
      </c>
      <c r="E80" s="19" t="s">
        <v>509</v>
      </c>
      <c r="F80" s="19" t="s">
        <v>510</v>
      </c>
    </row>
    <row r="81" spans="2:6">
      <c r="B81" s="5" t="s">
        <v>1045</v>
      </c>
      <c r="C81" s="5" t="s">
        <v>161</v>
      </c>
      <c r="D81" s="6" t="s">
        <v>592</v>
      </c>
      <c r="E81" s="6" t="s">
        <v>134</v>
      </c>
      <c r="F81" s="6" t="s">
        <v>1086</v>
      </c>
    </row>
    <row r="82" spans="2:6">
      <c r="B82" s="5" t="s">
        <v>1119</v>
      </c>
      <c r="C82" s="5" t="s">
        <v>161</v>
      </c>
      <c r="D82" s="6" t="s">
        <v>119</v>
      </c>
      <c r="E82" s="6" t="s">
        <v>1068</v>
      </c>
      <c r="F82" s="6" t="s">
        <v>1146</v>
      </c>
    </row>
    <row r="83" spans="2:6">
      <c r="B83" s="5" t="s">
        <v>1136</v>
      </c>
      <c r="C83" s="5" t="s">
        <v>598</v>
      </c>
      <c r="D83" s="6" t="s">
        <v>113</v>
      </c>
      <c r="E83" s="6" t="s">
        <v>267</v>
      </c>
      <c r="F83" s="6" t="s">
        <v>1147</v>
      </c>
    </row>
    <row r="84" spans="2:6">
      <c r="B84" s="5" t="s">
        <v>125</v>
      </c>
    </row>
  </sheetData>
  <mergeCells count="21">
    <mergeCell ref="A50:J50"/>
    <mergeCell ref="A57:J57"/>
    <mergeCell ref="A60:J60"/>
    <mergeCell ref="B3:B4"/>
    <mergeCell ref="A8:J8"/>
    <mergeCell ref="A12:J12"/>
    <mergeCell ref="A16:J16"/>
    <mergeCell ref="A25:J25"/>
    <mergeCell ref="A29:J29"/>
    <mergeCell ref="A38:J38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8"/>
  <sheetViews>
    <sheetView tabSelected="1" topLeftCell="A20" workbookViewId="0">
      <selection activeCell="E48" sqref="E48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33203125" style="5" customWidth="1"/>
    <col min="7" max="8" width="5.5" style="6" customWidth="1"/>
    <col min="9" max="9" width="4.5" style="6" customWidth="1"/>
    <col min="10" max="10" width="4.83203125" style="6" customWidth="1"/>
    <col min="11" max="11" width="10.5" style="30" bestFit="1" customWidth="1"/>
    <col min="12" max="12" width="10.83203125" style="6" customWidth="1"/>
    <col min="13" max="13" width="19.1640625" style="5" customWidth="1"/>
    <col min="14" max="16384" width="9.1640625" style="3"/>
  </cols>
  <sheetData>
    <row r="1" spans="1:13" s="2" customFormat="1" ht="29" customHeight="1">
      <c r="A1" s="41" t="s">
        <v>1260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1261</v>
      </c>
      <c r="H3" s="35"/>
      <c r="I3" s="35"/>
      <c r="J3" s="35"/>
      <c r="K3" s="33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4"/>
      <c r="L4" s="36"/>
      <c r="M4" s="38"/>
    </row>
    <row r="5" spans="1:13" ht="16">
      <c r="A5" s="39" t="s">
        <v>251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1039</v>
      </c>
      <c r="C6" s="7" t="s">
        <v>1040</v>
      </c>
      <c r="D6" s="7" t="s">
        <v>1041</v>
      </c>
      <c r="E6" s="7" t="s">
        <v>1367</v>
      </c>
      <c r="F6" s="7" t="s">
        <v>1265</v>
      </c>
      <c r="G6" s="20" t="s">
        <v>660</v>
      </c>
      <c r="H6" s="20" t="s">
        <v>1038</v>
      </c>
      <c r="I6" s="8"/>
      <c r="J6" s="8"/>
      <c r="K6" s="29" t="str">
        <f>"27,5"</f>
        <v>27,5</v>
      </c>
      <c r="L6" s="8" t="str">
        <f>"30,5525"</f>
        <v>30,5525</v>
      </c>
      <c r="M6" s="7" t="s">
        <v>1149</v>
      </c>
    </row>
    <row r="7" spans="1:13">
      <c r="B7" s="5" t="s">
        <v>125</v>
      </c>
    </row>
    <row r="8" spans="1:13" ht="16">
      <c r="A8" s="52" t="s">
        <v>298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0" t="s">
        <v>124</v>
      </c>
      <c r="B9" s="9" t="s">
        <v>1042</v>
      </c>
      <c r="C9" s="9" t="s">
        <v>1189</v>
      </c>
      <c r="D9" s="9" t="s">
        <v>1043</v>
      </c>
      <c r="E9" s="9" t="s">
        <v>1376</v>
      </c>
      <c r="F9" s="9" t="s">
        <v>1302</v>
      </c>
      <c r="G9" s="22" t="s">
        <v>249</v>
      </c>
      <c r="H9" s="27" t="s">
        <v>608</v>
      </c>
      <c r="I9" s="27" t="s">
        <v>608</v>
      </c>
      <c r="J9" s="10"/>
      <c r="K9" s="28" t="str">
        <f>"45,0"</f>
        <v>45,0</v>
      </c>
      <c r="L9" s="10" t="str">
        <f>"37,4782"</f>
        <v>37,4782</v>
      </c>
      <c r="M9" s="9" t="s">
        <v>1044</v>
      </c>
    </row>
    <row r="10" spans="1:13">
      <c r="A10" s="12" t="s">
        <v>124</v>
      </c>
      <c r="B10" s="11" t="s">
        <v>1045</v>
      </c>
      <c r="C10" s="11" t="s">
        <v>1046</v>
      </c>
      <c r="D10" s="11" t="s">
        <v>669</v>
      </c>
      <c r="E10" s="11" t="s">
        <v>1367</v>
      </c>
      <c r="F10" s="11" t="s">
        <v>1337</v>
      </c>
      <c r="G10" s="24" t="s">
        <v>247</v>
      </c>
      <c r="H10" s="24" t="s">
        <v>1033</v>
      </c>
      <c r="I10" s="24" t="s">
        <v>134</v>
      </c>
      <c r="J10" s="12"/>
      <c r="K10" s="32" t="str">
        <f>"65,0"</f>
        <v>65,0</v>
      </c>
      <c r="L10" s="12" t="str">
        <f>"54,5772"</f>
        <v>54,5772</v>
      </c>
      <c r="M10" s="11"/>
    </row>
    <row r="11" spans="1:13">
      <c r="A11" s="14" t="s">
        <v>124</v>
      </c>
      <c r="B11" s="13" t="s">
        <v>1045</v>
      </c>
      <c r="C11" s="13" t="s">
        <v>1169</v>
      </c>
      <c r="D11" s="13" t="s">
        <v>669</v>
      </c>
      <c r="E11" s="13" t="s">
        <v>1370</v>
      </c>
      <c r="F11" s="13" t="s">
        <v>1337</v>
      </c>
      <c r="G11" s="25" t="s">
        <v>247</v>
      </c>
      <c r="H11" s="25" t="s">
        <v>1033</v>
      </c>
      <c r="I11" s="25" t="s">
        <v>134</v>
      </c>
      <c r="J11" s="14"/>
      <c r="K11" s="31" t="str">
        <f>"65,0"</f>
        <v>65,0</v>
      </c>
      <c r="L11" s="14" t="str">
        <f>"58,2885"</f>
        <v>58,2885</v>
      </c>
      <c r="M11" s="13"/>
    </row>
    <row r="12" spans="1:13">
      <c r="B12" s="5" t="s">
        <v>125</v>
      </c>
    </row>
    <row r="13" spans="1:13" ht="16">
      <c r="A13" s="52" t="s">
        <v>162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3">
      <c r="A14" s="8" t="s">
        <v>124</v>
      </c>
      <c r="B14" s="7" t="s">
        <v>1047</v>
      </c>
      <c r="C14" s="7" t="s">
        <v>1190</v>
      </c>
      <c r="D14" s="7" t="s">
        <v>331</v>
      </c>
      <c r="E14" s="7" t="s">
        <v>1376</v>
      </c>
      <c r="F14" s="7" t="s">
        <v>1302</v>
      </c>
      <c r="G14" s="21" t="s">
        <v>256</v>
      </c>
      <c r="H14" s="20" t="s">
        <v>249</v>
      </c>
      <c r="I14" s="21" t="s">
        <v>293</v>
      </c>
      <c r="J14" s="8"/>
      <c r="K14" s="29" t="str">
        <f>"45,0"</f>
        <v>45,0</v>
      </c>
      <c r="L14" s="8" t="str">
        <f>"34,2428"</f>
        <v>34,2428</v>
      </c>
      <c r="M14" s="7" t="s">
        <v>1044</v>
      </c>
    </row>
    <row r="15" spans="1:13">
      <c r="B15" s="5" t="s">
        <v>125</v>
      </c>
    </row>
    <row r="16" spans="1:13" ht="16">
      <c r="A16" s="52" t="s">
        <v>10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3">
      <c r="A17" s="10" t="s">
        <v>128</v>
      </c>
      <c r="B17" s="9" t="s">
        <v>1048</v>
      </c>
      <c r="C17" s="9" t="s">
        <v>1191</v>
      </c>
      <c r="D17" s="9" t="s">
        <v>180</v>
      </c>
      <c r="E17" s="9" t="s">
        <v>1369</v>
      </c>
      <c r="F17" s="9" t="s">
        <v>1265</v>
      </c>
      <c r="G17" s="27" t="s">
        <v>135</v>
      </c>
      <c r="H17" s="27" t="s">
        <v>279</v>
      </c>
      <c r="I17" s="27" t="s">
        <v>279</v>
      </c>
      <c r="J17" s="10"/>
      <c r="K17" s="28">
        <v>0</v>
      </c>
      <c r="L17" s="10" t="str">
        <f>"0,0000"</f>
        <v>0,0000</v>
      </c>
      <c r="M17" s="9" t="s">
        <v>1205</v>
      </c>
    </row>
    <row r="18" spans="1:13">
      <c r="A18" s="12" t="s">
        <v>124</v>
      </c>
      <c r="B18" s="11" t="s">
        <v>1049</v>
      </c>
      <c r="C18" s="11" t="s">
        <v>1050</v>
      </c>
      <c r="D18" s="11" t="s">
        <v>1051</v>
      </c>
      <c r="E18" s="11" t="s">
        <v>1367</v>
      </c>
      <c r="F18" s="11" t="s">
        <v>1265</v>
      </c>
      <c r="G18" s="24" t="s">
        <v>17</v>
      </c>
      <c r="H18" s="23" t="s">
        <v>1052</v>
      </c>
      <c r="I18" s="12"/>
      <c r="J18" s="12"/>
      <c r="K18" s="32" t="str">
        <f>"80,0"</f>
        <v>80,0</v>
      </c>
      <c r="L18" s="12" t="str">
        <f>"55,6640"</f>
        <v>55,6640</v>
      </c>
      <c r="M18" s="11"/>
    </row>
    <row r="19" spans="1:13">
      <c r="A19" s="12" t="s">
        <v>126</v>
      </c>
      <c r="B19" s="11" t="s">
        <v>1053</v>
      </c>
      <c r="C19" s="11" t="s">
        <v>1054</v>
      </c>
      <c r="D19" s="11" t="s">
        <v>1055</v>
      </c>
      <c r="E19" s="11" t="s">
        <v>1367</v>
      </c>
      <c r="F19" s="11" t="s">
        <v>1265</v>
      </c>
      <c r="G19" s="24" t="s">
        <v>278</v>
      </c>
      <c r="H19" s="23" t="s">
        <v>256</v>
      </c>
      <c r="I19" s="24" t="s">
        <v>256</v>
      </c>
      <c r="J19" s="12"/>
      <c r="K19" s="32" t="str">
        <f>"42,5"</f>
        <v>42,5</v>
      </c>
      <c r="L19" s="12" t="str">
        <f>"30,9018"</f>
        <v>30,9018</v>
      </c>
      <c r="M19" s="11"/>
    </row>
    <row r="20" spans="1:13">
      <c r="A20" s="14" t="s">
        <v>124</v>
      </c>
      <c r="B20" s="13" t="s">
        <v>1056</v>
      </c>
      <c r="C20" s="13" t="s">
        <v>1192</v>
      </c>
      <c r="D20" s="13" t="s">
        <v>180</v>
      </c>
      <c r="E20" s="13" t="s">
        <v>1370</v>
      </c>
      <c r="F20" s="13" t="s">
        <v>1363</v>
      </c>
      <c r="G20" s="25" t="s">
        <v>134</v>
      </c>
      <c r="H20" s="25" t="s">
        <v>28</v>
      </c>
      <c r="I20" s="26" t="s">
        <v>1057</v>
      </c>
      <c r="J20" s="14"/>
      <c r="K20" s="31" t="str">
        <f>"67,5"</f>
        <v>67,5</v>
      </c>
      <c r="L20" s="14" t="str">
        <f>"50,2882"</f>
        <v>50,2882</v>
      </c>
      <c r="M20" s="13"/>
    </row>
    <row r="21" spans="1:13">
      <c r="B21" s="5" t="s">
        <v>125</v>
      </c>
    </row>
    <row r="22" spans="1:13" ht="16">
      <c r="A22" s="52" t="s">
        <v>22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3">
      <c r="A23" s="10" t="s">
        <v>124</v>
      </c>
      <c r="B23" s="9" t="s">
        <v>1058</v>
      </c>
      <c r="C23" s="9" t="s">
        <v>1193</v>
      </c>
      <c r="D23" s="9" t="s">
        <v>1059</v>
      </c>
      <c r="E23" s="9" t="s">
        <v>1369</v>
      </c>
      <c r="F23" s="9" t="s">
        <v>1333</v>
      </c>
      <c r="G23" s="22" t="s">
        <v>134</v>
      </c>
      <c r="H23" s="22" t="s">
        <v>28</v>
      </c>
      <c r="I23" s="27" t="s">
        <v>135</v>
      </c>
      <c r="J23" s="10"/>
      <c r="K23" s="28" t="str">
        <f>"67,5"</f>
        <v>67,5</v>
      </c>
      <c r="L23" s="10" t="str">
        <f>"44,4791"</f>
        <v>44,4791</v>
      </c>
      <c r="M23" s="9"/>
    </row>
    <row r="24" spans="1:13">
      <c r="A24" s="12" t="s">
        <v>126</v>
      </c>
      <c r="B24" s="11" t="s">
        <v>1060</v>
      </c>
      <c r="C24" s="11" t="s">
        <v>1194</v>
      </c>
      <c r="D24" s="11" t="s">
        <v>740</v>
      </c>
      <c r="E24" s="11" t="s">
        <v>1369</v>
      </c>
      <c r="F24" s="11" t="s">
        <v>1358</v>
      </c>
      <c r="G24" s="24" t="s">
        <v>288</v>
      </c>
      <c r="H24" s="23" t="s">
        <v>247</v>
      </c>
      <c r="I24" s="23" t="s">
        <v>247</v>
      </c>
      <c r="J24" s="12"/>
      <c r="K24" s="32" t="str">
        <f>"52,5"</f>
        <v>52,5</v>
      </c>
      <c r="L24" s="12" t="str">
        <f>"34,4216"</f>
        <v>34,4216</v>
      </c>
      <c r="M24" s="11"/>
    </row>
    <row r="25" spans="1:13">
      <c r="A25" s="14" t="s">
        <v>124</v>
      </c>
      <c r="B25" s="13" t="s">
        <v>1061</v>
      </c>
      <c r="C25" s="13" t="s">
        <v>1195</v>
      </c>
      <c r="D25" s="13" t="s">
        <v>1062</v>
      </c>
      <c r="E25" s="13" t="s">
        <v>1373</v>
      </c>
      <c r="F25" s="13" t="s">
        <v>1265</v>
      </c>
      <c r="G25" s="25" t="s">
        <v>608</v>
      </c>
      <c r="H25" s="25" t="s">
        <v>288</v>
      </c>
      <c r="I25" s="25" t="s">
        <v>246</v>
      </c>
      <c r="J25" s="14"/>
      <c r="K25" s="31" t="str">
        <f>"55,0"</f>
        <v>55,0</v>
      </c>
      <c r="L25" s="14" t="str">
        <f>"48,1106"</f>
        <v>48,1106</v>
      </c>
      <c r="M25" s="13"/>
    </row>
    <row r="26" spans="1:13">
      <c r="B26" s="5" t="s">
        <v>125</v>
      </c>
    </row>
    <row r="27" spans="1:13" ht="16">
      <c r="A27" s="52" t="s">
        <v>32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3">
      <c r="A28" s="10" t="s">
        <v>124</v>
      </c>
      <c r="B28" s="9" t="s">
        <v>1034</v>
      </c>
      <c r="C28" s="9" t="s">
        <v>1035</v>
      </c>
      <c r="D28" s="9" t="s">
        <v>1036</v>
      </c>
      <c r="E28" s="9" t="s">
        <v>1367</v>
      </c>
      <c r="F28" s="9" t="s">
        <v>1037</v>
      </c>
      <c r="G28" s="22" t="s">
        <v>17</v>
      </c>
      <c r="H28" s="10"/>
      <c r="I28" s="10"/>
      <c r="J28" s="10"/>
      <c r="K28" s="28" t="str">
        <f>"80,0"</f>
        <v>80,0</v>
      </c>
      <c r="L28" s="10" t="str">
        <f>"49,9400"</f>
        <v>49,9400</v>
      </c>
      <c r="M28" s="9"/>
    </row>
    <row r="29" spans="1:13">
      <c r="A29" s="12" t="s">
        <v>126</v>
      </c>
      <c r="B29" s="11" t="s">
        <v>1031</v>
      </c>
      <c r="C29" s="11" t="s">
        <v>1032</v>
      </c>
      <c r="D29" s="11" t="s">
        <v>765</v>
      </c>
      <c r="E29" s="11" t="s">
        <v>1367</v>
      </c>
      <c r="F29" s="11" t="s">
        <v>1364</v>
      </c>
      <c r="G29" s="24" t="s">
        <v>247</v>
      </c>
      <c r="H29" s="24" t="s">
        <v>134</v>
      </c>
      <c r="I29" s="24" t="s">
        <v>29</v>
      </c>
      <c r="J29" s="12"/>
      <c r="K29" s="32" t="str">
        <f>"72,5"</f>
        <v>72,5</v>
      </c>
      <c r="L29" s="12" t="str">
        <f>"45,7330"</f>
        <v>45,7330</v>
      </c>
      <c r="M29" s="11"/>
    </row>
    <row r="30" spans="1:13">
      <c r="A30" s="14" t="s">
        <v>127</v>
      </c>
      <c r="B30" s="13" t="s">
        <v>1063</v>
      </c>
      <c r="C30" s="13" t="s">
        <v>1064</v>
      </c>
      <c r="D30" s="13" t="s">
        <v>444</v>
      </c>
      <c r="E30" s="13" t="s">
        <v>1367</v>
      </c>
      <c r="F30" s="13" t="s">
        <v>1340</v>
      </c>
      <c r="G30" s="26" t="s">
        <v>246</v>
      </c>
      <c r="H30" s="25" t="s">
        <v>247</v>
      </c>
      <c r="I30" s="26" t="s">
        <v>134</v>
      </c>
      <c r="J30" s="14"/>
      <c r="K30" s="31" t="str">
        <f>"60,0"</f>
        <v>60,0</v>
      </c>
      <c r="L30" s="14" t="str">
        <f>"37,2300"</f>
        <v>37,2300</v>
      </c>
      <c r="M30" s="13"/>
    </row>
    <row r="31" spans="1:13">
      <c r="B31" s="5" t="s">
        <v>125</v>
      </c>
    </row>
    <row r="32" spans="1:13" ht="16">
      <c r="A32" s="52" t="s">
        <v>60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3">
      <c r="A33" s="10" t="s">
        <v>124</v>
      </c>
      <c r="B33" s="9" t="s">
        <v>1065</v>
      </c>
      <c r="C33" s="9" t="s">
        <v>1196</v>
      </c>
      <c r="D33" s="9" t="s">
        <v>1066</v>
      </c>
      <c r="E33" s="9" t="s">
        <v>1376</v>
      </c>
      <c r="F33" s="9" t="s">
        <v>1265</v>
      </c>
      <c r="G33" s="27" t="s">
        <v>134</v>
      </c>
      <c r="H33" s="22" t="s">
        <v>28</v>
      </c>
      <c r="I33" s="22" t="s">
        <v>135</v>
      </c>
      <c r="J33" s="10"/>
      <c r="K33" s="28" t="str">
        <f>"70,0"</f>
        <v>70,0</v>
      </c>
      <c r="L33" s="10" t="str">
        <f>"42,5250"</f>
        <v>42,5250</v>
      </c>
      <c r="M33" s="9"/>
    </row>
    <row r="34" spans="1:13">
      <c r="A34" s="12" t="s">
        <v>124</v>
      </c>
      <c r="B34" s="11" t="s">
        <v>1067</v>
      </c>
      <c r="C34" s="11" t="s">
        <v>1197</v>
      </c>
      <c r="D34" s="11" t="s">
        <v>466</v>
      </c>
      <c r="E34" s="11" t="s">
        <v>1369</v>
      </c>
      <c r="F34" s="11" t="s">
        <v>1365</v>
      </c>
      <c r="G34" s="24" t="s">
        <v>17</v>
      </c>
      <c r="H34" s="24" t="s">
        <v>1068</v>
      </c>
      <c r="I34" s="24" t="s">
        <v>18</v>
      </c>
      <c r="J34" s="24" t="s">
        <v>1069</v>
      </c>
      <c r="K34" s="32" t="str">
        <f>"85,0"</f>
        <v>85,0</v>
      </c>
      <c r="L34" s="12" t="str">
        <f>"49,7760"</f>
        <v>49,7760</v>
      </c>
      <c r="M34" s="11" t="s">
        <v>1070</v>
      </c>
    </row>
    <row r="35" spans="1:13">
      <c r="A35" s="12" t="s">
        <v>126</v>
      </c>
      <c r="B35" s="11" t="s">
        <v>1071</v>
      </c>
      <c r="C35" s="11" t="s">
        <v>1198</v>
      </c>
      <c r="D35" s="11" t="s">
        <v>1072</v>
      </c>
      <c r="E35" s="11" t="s">
        <v>1369</v>
      </c>
      <c r="F35" s="11" t="s">
        <v>1366</v>
      </c>
      <c r="G35" s="24" t="s">
        <v>279</v>
      </c>
      <c r="H35" s="24" t="s">
        <v>17</v>
      </c>
      <c r="I35" s="23" t="s">
        <v>18</v>
      </c>
      <c r="J35" s="12"/>
      <c r="K35" s="32" t="str">
        <f>"80,0"</f>
        <v>80,0</v>
      </c>
      <c r="L35" s="12" t="str">
        <f>"47,5440"</f>
        <v>47,5440</v>
      </c>
      <c r="M35" s="11"/>
    </row>
    <row r="36" spans="1:13">
      <c r="A36" s="12" t="s">
        <v>124</v>
      </c>
      <c r="B36" s="11" t="s">
        <v>1073</v>
      </c>
      <c r="C36" s="11" t="s">
        <v>1074</v>
      </c>
      <c r="D36" s="11" t="s">
        <v>503</v>
      </c>
      <c r="E36" s="11" t="s">
        <v>1367</v>
      </c>
      <c r="F36" s="11" t="s">
        <v>1265</v>
      </c>
      <c r="G36" s="24" t="s">
        <v>255</v>
      </c>
      <c r="H36" s="24" t="s">
        <v>18</v>
      </c>
      <c r="I36" s="24" t="s">
        <v>19</v>
      </c>
      <c r="J36" s="12"/>
      <c r="K36" s="32" t="str">
        <f>"87,5"</f>
        <v>87,5</v>
      </c>
      <c r="L36" s="12" t="str">
        <f>"51,0387"</f>
        <v>51,0387</v>
      </c>
      <c r="M36" s="11"/>
    </row>
    <row r="37" spans="1:13">
      <c r="A37" s="12" t="s">
        <v>126</v>
      </c>
      <c r="B37" s="11" t="s">
        <v>1071</v>
      </c>
      <c r="C37" s="11" t="s">
        <v>1075</v>
      </c>
      <c r="D37" s="11" t="s">
        <v>1072</v>
      </c>
      <c r="E37" s="11" t="s">
        <v>1367</v>
      </c>
      <c r="F37" s="11" t="s">
        <v>1366</v>
      </c>
      <c r="G37" s="24" t="s">
        <v>279</v>
      </c>
      <c r="H37" s="24" t="s">
        <v>17</v>
      </c>
      <c r="I37" s="23" t="s">
        <v>18</v>
      </c>
      <c r="J37" s="12"/>
      <c r="K37" s="32" t="str">
        <f>"80,0"</f>
        <v>80,0</v>
      </c>
      <c r="L37" s="12" t="str">
        <f>"47,5440"</f>
        <v>47,5440</v>
      </c>
      <c r="M37" s="11"/>
    </row>
    <row r="38" spans="1:13">
      <c r="A38" s="12" t="s">
        <v>124</v>
      </c>
      <c r="B38" s="11" t="s">
        <v>1076</v>
      </c>
      <c r="C38" s="11" t="s">
        <v>1187</v>
      </c>
      <c r="D38" s="11" t="s">
        <v>1077</v>
      </c>
      <c r="E38" s="11" t="s">
        <v>1370</v>
      </c>
      <c r="F38" s="11" t="s">
        <v>1265</v>
      </c>
      <c r="G38" s="24" t="s">
        <v>256</v>
      </c>
      <c r="H38" s="23" t="s">
        <v>249</v>
      </c>
      <c r="I38" s="24" t="s">
        <v>249</v>
      </c>
      <c r="J38" s="12"/>
      <c r="K38" s="32" t="str">
        <f>"45,0"</f>
        <v>45,0</v>
      </c>
      <c r="L38" s="12" t="str">
        <f>"28,0767"</f>
        <v>28,0767</v>
      </c>
      <c r="M38" s="11"/>
    </row>
    <row r="39" spans="1:13">
      <c r="A39" s="14" t="s">
        <v>124</v>
      </c>
      <c r="B39" s="13" t="s">
        <v>1078</v>
      </c>
      <c r="C39" s="13" t="s">
        <v>1079</v>
      </c>
      <c r="D39" s="13" t="s">
        <v>1080</v>
      </c>
      <c r="E39" s="13" t="s">
        <v>1371</v>
      </c>
      <c r="F39" s="13" t="s">
        <v>1275</v>
      </c>
      <c r="G39" s="25" t="s">
        <v>277</v>
      </c>
      <c r="H39" s="25" t="s">
        <v>248</v>
      </c>
      <c r="I39" s="26" t="s">
        <v>249</v>
      </c>
      <c r="J39" s="14"/>
      <c r="K39" s="31" t="str">
        <f>"40,0"</f>
        <v>40,0</v>
      </c>
      <c r="L39" s="14" t="str">
        <f>"48,8310"</f>
        <v>48,8310</v>
      </c>
      <c r="M39" s="13" t="s">
        <v>1200</v>
      </c>
    </row>
    <row r="40" spans="1:13">
      <c r="B40" s="5" t="s">
        <v>125</v>
      </c>
    </row>
    <row r="41" spans="1:13" ht="16">
      <c r="A41" s="52" t="s">
        <v>86</v>
      </c>
      <c r="B41" s="52"/>
      <c r="C41" s="52"/>
      <c r="D41" s="52"/>
      <c r="E41" s="52"/>
      <c r="F41" s="52"/>
      <c r="G41" s="52"/>
      <c r="H41" s="52"/>
      <c r="I41" s="52"/>
      <c r="J41" s="52"/>
    </row>
    <row r="42" spans="1:13">
      <c r="A42" s="8" t="s">
        <v>124</v>
      </c>
      <c r="B42" s="7" t="s">
        <v>1081</v>
      </c>
      <c r="C42" s="7" t="s">
        <v>1199</v>
      </c>
      <c r="D42" s="7" t="s">
        <v>1082</v>
      </c>
      <c r="E42" s="7" t="s">
        <v>1376</v>
      </c>
      <c r="F42" s="7" t="s">
        <v>1265</v>
      </c>
      <c r="G42" s="21" t="s">
        <v>279</v>
      </c>
      <c r="H42" s="20" t="s">
        <v>279</v>
      </c>
      <c r="I42" s="21" t="s">
        <v>255</v>
      </c>
      <c r="J42" s="8"/>
      <c r="K42" s="29" t="str">
        <f>"75,0"</f>
        <v>75,0</v>
      </c>
      <c r="L42" s="8" t="str">
        <f>"42,5062"</f>
        <v>42,5062</v>
      </c>
      <c r="M42" s="7" t="s">
        <v>897</v>
      </c>
    </row>
    <row r="43" spans="1:13">
      <c r="B43" s="5" t="s">
        <v>125</v>
      </c>
    </row>
    <row r="44" spans="1:13" ht="16">
      <c r="A44" s="52" t="s">
        <v>218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3">
      <c r="A45" s="8" t="s">
        <v>124</v>
      </c>
      <c r="B45" s="7" t="s">
        <v>573</v>
      </c>
      <c r="C45" s="7" t="s">
        <v>574</v>
      </c>
      <c r="D45" s="7" t="s">
        <v>575</v>
      </c>
      <c r="E45" s="7" t="s">
        <v>1367</v>
      </c>
      <c r="F45" s="7" t="s">
        <v>1342</v>
      </c>
      <c r="G45" s="20" t="s">
        <v>250</v>
      </c>
      <c r="H45" s="21" t="s">
        <v>149</v>
      </c>
      <c r="I45" s="21" t="s">
        <v>149</v>
      </c>
      <c r="J45" s="8"/>
      <c r="K45" s="29" t="str">
        <f>"90,0"</f>
        <v>90,0</v>
      </c>
      <c r="L45" s="8" t="str">
        <f>"49,1535"</f>
        <v>49,1535</v>
      </c>
      <c r="M45" s="7" t="s">
        <v>576</v>
      </c>
    </row>
    <row r="46" spans="1:13">
      <c r="B46" s="5" t="s">
        <v>125</v>
      </c>
    </row>
    <row r="47" spans="1:13" ht="16">
      <c r="A47" s="52" t="s">
        <v>224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3">
      <c r="A48" s="8" t="s">
        <v>124</v>
      </c>
      <c r="B48" s="7" t="s">
        <v>518</v>
      </c>
      <c r="C48" s="7" t="s">
        <v>519</v>
      </c>
      <c r="D48" s="7" t="s">
        <v>520</v>
      </c>
      <c r="E48" s="7" t="s">
        <v>1367</v>
      </c>
      <c r="F48" s="7" t="s">
        <v>1274</v>
      </c>
      <c r="G48" s="20" t="s">
        <v>136</v>
      </c>
      <c r="H48" s="20" t="s">
        <v>137</v>
      </c>
      <c r="I48" s="8"/>
      <c r="J48" s="8"/>
      <c r="K48" s="29" t="str">
        <f>"105,0"</f>
        <v>105,0</v>
      </c>
      <c r="L48" s="8" t="str">
        <f>"56,7221"</f>
        <v>56,7221</v>
      </c>
      <c r="M48" s="7"/>
    </row>
    <row r="49" spans="2:6">
      <c r="B49" s="5" t="s">
        <v>125</v>
      </c>
    </row>
    <row r="50" spans="2:6">
      <c r="B50" s="5" t="s">
        <v>125</v>
      </c>
    </row>
    <row r="51" spans="2:6">
      <c r="B51" s="5" t="s">
        <v>125</v>
      </c>
    </row>
    <row r="52" spans="2:6" ht="18">
      <c r="B52" s="15" t="s">
        <v>101</v>
      </c>
      <c r="C52" s="15"/>
      <c r="F52" s="3"/>
    </row>
    <row r="53" spans="2:6" ht="16">
      <c r="B53" s="16" t="s">
        <v>111</v>
      </c>
      <c r="C53" s="16"/>
      <c r="F53" s="3"/>
    </row>
    <row r="54" spans="2:6" ht="14">
      <c r="B54" s="17"/>
      <c r="C54" s="18" t="s">
        <v>103</v>
      </c>
      <c r="F54" s="3"/>
    </row>
    <row r="55" spans="2:6" ht="14">
      <c r="B55" s="19" t="s">
        <v>104</v>
      </c>
      <c r="C55" s="19" t="s">
        <v>105</v>
      </c>
      <c r="D55" s="19" t="s">
        <v>1203</v>
      </c>
      <c r="E55" s="19" t="s">
        <v>509</v>
      </c>
      <c r="F55" s="19" t="s">
        <v>510</v>
      </c>
    </row>
    <row r="56" spans="2:6">
      <c r="B56" s="5" t="s">
        <v>518</v>
      </c>
      <c r="C56" s="5" t="s">
        <v>103</v>
      </c>
      <c r="D56" s="6" t="s">
        <v>237</v>
      </c>
      <c r="E56" s="6" t="s">
        <v>137</v>
      </c>
      <c r="F56" s="6" t="s">
        <v>1083</v>
      </c>
    </row>
    <row r="57" spans="2:6">
      <c r="B57" s="5" t="s">
        <v>1049</v>
      </c>
      <c r="C57" s="5" t="s">
        <v>103</v>
      </c>
      <c r="D57" s="6" t="s">
        <v>109</v>
      </c>
      <c r="E57" s="6" t="s">
        <v>17</v>
      </c>
      <c r="F57" s="6" t="s">
        <v>1084</v>
      </c>
    </row>
    <row r="58" spans="2:6">
      <c r="B58" s="5" t="s">
        <v>1045</v>
      </c>
      <c r="C58" s="5" t="s">
        <v>103</v>
      </c>
      <c r="D58" s="6" t="s">
        <v>592</v>
      </c>
      <c r="E58" s="6" t="s">
        <v>134</v>
      </c>
      <c r="F58" s="6" t="s">
        <v>1085</v>
      </c>
    </row>
  </sheetData>
  <mergeCells count="21">
    <mergeCell ref="A41:J41"/>
    <mergeCell ref="A44:J44"/>
    <mergeCell ref="A47:J47"/>
    <mergeCell ref="B3:B4"/>
    <mergeCell ref="A8:J8"/>
    <mergeCell ref="A13:J13"/>
    <mergeCell ref="A16:J16"/>
    <mergeCell ref="A22:J22"/>
    <mergeCell ref="A27:J27"/>
    <mergeCell ref="A32:J32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U21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4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0" bestFit="1" customWidth="1"/>
    <col min="20" max="20" width="8.5" style="6" bestFit="1" customWidth="1"/>
    <col min="21" max="21" width="17.33203125" style="5" customWidth="1"/>
    <col min="22" max="16384" width="9.1640625" style="3"/>
  </cols>
  <sheetData>
    <row r="1" spans="1:21" s="2" customFormat="1" ht="29" customHeight="1">
      <c r="A1" s="41" t="s">
        <v>1240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124</v>
      </c>
      <c r="B6" s="7" t="s">
        <v>129</v>
      </c>
      <c r="C6" s="7" t="s">
        <v>130</v>
      </c>
      <c r="D6" s="7" t="s">
        <v>131</v>
      </c>
      <c r="E6" s="7" t="s">
        <v>1367</v>
      </c>
      <c r="F6" s="7" t="s">
        <v>1265</v>
      </c>
      <c r="G6" s="20" t="s">
        <v>57</v>
      </c>
      <c r="H6" s="20" t="s">
        <v>132</v>
      </c>
      <c r="I6" s="20" t="s">
        <v>133</v>
      </c>
      <c r="J6" s="8"/>
      <c r="K6" s="20" t="s">
        <v>134</v>
      </c>
      <c r="L6" s="20" t="s">
        <v>28</v>
      </c>
      <c r="M6" s="20" t="s">
        <v>135</v>
      </c>
      <c r="N6" s="8"/>
      <c r="O6" s="20" t="s">
        <v>136</v>
      </c>
      <c r="P6" s="20" t="s">
        <v>137</v>
      </c>
      <c r="Q6" s="20" t="s">
        <v>138</v>
      </c>
      <c r="R6" s="8"/>
      <c r="S6" s="29" t="str">
        <f>"317,5"</f>
        <v>317,5</v>
      </c>
      <c r="T6" s="8" t="str">
        <f>"309,5942"</f>
        <v>309,5942</v>
      </c>
      <c r="U6" s="7" t="s">
        <v>139</v>
      </c>
    </row>
    <row r="7" spans="1:21">
      <c r="B7" s="5" t="s">
        <v>125</v>
      </c>
    </row>
    <row r="8" spans="1:21" ht="16">
      <c r="A8" s="52" t="s">
        <v>10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128</v>
      </c>
      <c r="B9" s="7" t="s">
        <v>140</v>
      </c>
      <c r="C9" s="7" t="s">
        <v>141</v>
      </c>
      <c r="D9" s="7" t="s">
        <v>142</v>
      </c>
      <c r="E9" s="7" t="s">
        <v>1368</v>
      </c>
      <c r="F9" s="7" t="s">
        <v>1265</v>
      </c>
      <c r="G9" s="21" t="s">
        <v>30</v>
      </c>
      <c r="H9" s="21" t="s">
        <v>21</v>
      </c>
      <c r="I9" s="21" t="s">
        <v>21</v>
      </c>
      <c r="J9" s="8"/>
      <c r="K9" s="21"/>
      <c r="L9" s="8"/>
      <c r="M9" s="8"/>
      <c r="N9" s="8"/>
      <c r="O9" s="21"/>
      <c r="P9" s="8"/>
      <c r="Q9" s="8"/>
      <c r="R9" s="8"/>
      <c r="S9" s="29">
        <v>0</v>
      </c>
      <c r="T9" s="8" t="str">
        <f>"0,0000"</f>
        <v>0,0000</v>
      </c>
      <c r="U9" s="7"/>
    </row>
    <row r="10" spans="1:21">
      <c r="B10" s="5" t="s">
        <v>125</v>
      </c>
    </row>
    <row r="11" spans="1:21" ht="16">
      <c r="A11" s="52" t="s">
        <v>22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8" t="s">
        <v>124</v>
      </c>
      <c r="B12" s="7" t="s">
        <v>144</v>
      </c>
      <c r="C12" s="7" t="s">
        <v>145</v>
      </c>
      <c r="D12" s="7" t="s">
        <v>146</v>
      </c>
      <c r="E12" s="7" t="s">
        <v>1370</v>
      </c>
      <c r="F12" s="7" t="s">
        <v>1265</v>
      </c>
      <c r="G12" s="20" t="s">
        <v>147</v>
      </c>
      <c r="H12" s="20" t="s">
        <v>148</v>
      </c>
      <c r="I12" s="21" t="s">
        <v>15</v>
      </c>
      <c r="J12" s="8"/>
      <c r="K12" s="20" t="s">
        <v>149</v>
      </c>
      <c r="L12" s="20" t="s">
        <v>150</v>
      </c>
      <c r="M12" s="21" t="s">
        <v>138</v>
      </c>
      <c r="N12" s="8"/>
      <c r="O12" s="20" t="s">
        <v>27</v>
      </c>
      <c r="P12" s="20" t="s">
        <v>14</v>
      </c>
      <c r="Q12" s="20" t="s">
        <v>16</v>
      </c>
      <c r="R12" s="8"/>
      <c r="S12" s="29" t="str">
        <f>"447,5"</f>
        <v>447,5</v>
      </c>
      <c r="T12" s="8" t="str">
        <f>"305,1116"</f>
        <v>305,1116</v>
      </c>
      <c r="U12" s="7"/>
    </row>
    <row r="13" spans="1:21">
      <c r="B13" s="5" t="s">
        <v>125</v>
      </c>
    </row>
    <row r="14" spans="1:21" ht="16">
      <c r="A14" s="52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21">
      <c r="A15" s="8" t="s">
        <v>124</v>
      </c>
      <c r="B15" s="7" t="s">
        <v>151</v>
      </c>
      <c r="C15" s="7" t="s">
        <v>152</v>
      </c>
      <c r="D15" s="7" t="s">
        <v>153</v>
      </c>
      <c r="E15" s="7" t="s">
        <v>1367</v>
      </c>
      <c r="F15" s="7" t="s">
        <v>1302</v>
      </c>
      <c r="G15" s="20" t="s">
        <v>14</v>
      </c>
      <c r="H15" s="20" t="s">
        <v>16</v>
      </c>
      <c r="I15" s="20" t="s">
        <v>30</v>
      </c>
      <c r="J15" s="8"/>
      <c r="K15" s="20" t="s">
        <v>154</v>
      </c>
      <c r="L15" s="20" t="s">
        <v>51</v>
      </c>
      <c r="M15" s="21" t="s">
        <v>147</v>
      </c>
      <c r="N15" s="8"/>
      <c r="O15" s="20" t="s">
        <v>91</v>
      </c>
      <c r="P15" s="20" t="s">
        <v>155</v>
      </c>
      <c r="Q15" s="21" t="s">
        <v>83</v>
      </c>
      <c r="R15" s="8"/>
      <c r="S15" s="29" t="str">
        <f>"562,5"</f>
        <v>562,5</v>
      </c>
      <c r="T15" s="8" t="str">
        <f>"360,9563"</f>
        <v>360,9563</v>
      </c>
      <c r="U15" s="7"/>
    </row>
    <row r="16" spans="1:21">
      <c r="B16" s="5" t="s">
        <v>125</v>
      </c>
    </row>
    <row r="17" spans="1:21" ht="16">
      <c r="A17" s="52" t="s">
        <v>60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21">
      <c r="A18" s="8" t="s">
        <v>124</v>
      </c>
      <c r="B18" s="7" t="s">
        <v>156</v>
      </c>
      <c r="C18" s="7" t="s">
        <v>157</v>
      </c>
      <c r="D18" s="7" t="s">
        <v>158</v>
      </c>
      <c r="E18" s="7" t="s">
        <v>1367</v>
      </c>
      <c r="F18" s="7" t="s">
        <v>1281</v>
      </c>
      <c r="G18" s="20" t="s">
        <v>31</v>
      </c>
      <c r="H18" s="21" t="s">
        <v>73</v>
      </c>
      <c r="I18" s="21" t="s">
        <v>74</v>
      </c>
      <c r="J18" s="8"/>
      <c r="K18" s="20" t="s">
        <v>58</v>
      </c>
      <c r="L18" s="20" t="s">
        <v>159</v>
      </c>
      <c r="M18" s="21" t="s">
        <v>50</v>
      </c>
      <c r="N18" s="8"/>
      <c r="O18" s="20" t="s">
        <v>31</v>
      </c>
      <c r="P18" s="20" t="s">
        <v>73</v>
      </c>
      <c r="Q18" s="20" t="s">
        <v>74</v>
      </c>
      <c r="R18" s="8"/>
      <c r="S18" s="29" t="str">
        <f>"562,5"</f>
        <v>562,5</v>
      </c>
      <c r="T18" s="8" t="str">
        <f>"352,1250"</f>
        <v>352,1250</v>
      </c>
      <c r="U18" s="7" t="s">
        <v>160</v>
      </c>
    </row>
    <row r="19" spans="1:21">
      <c r="B19" s="5" t="s">
        <v>125</v>
      </c>
    </row>
    <row r="20" spans="1:21">
      <c r="B20" s="5" t="s">
        <v>125</v>
      </c>
    </row>
    <row r="21" spans="1:21">
      <c r="B21" s="5" t="s">
        <v>125</v>
      </c>
    </row>
  </sheetData>
  <mergeCells count="18">
    <mergeCell ref="A8:R8"/>
    <mergeCell ref="A11:R11"/>
    <mergeCell ref="A14:R14"/>
    <mergeCell ref="A17:R17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">
    <pageSetUpPr fitToPage="1"/>
  </sheetPr>
  <dimension ref="A1:U34"/>
  <sheetViews>
    <sheetView workbookViewId="0">
      <selection activeCell="E25" sqref="E25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4.832031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5.83203125" style="5" bestFit="1" customWidth="1"/>
    <col min="22" max="16384" width="9.1640625" style="3"/>
  </cols>
  <sheetData>
    <row r="1" spans="1:21" s="2" customFormat="1" ht="29" customHeight="1">
      <c r="A1" s="41" t="s">
        <v>1241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124</v>
      </c>
      <c r="B6" s="7" t="s">
        <v>11</v>
      </c>
      <c r="C6" s="7" t="s">
        <v>12</v>
      </c>
      <c r="D6" s="7" t="s">
        <v>13</v>
      </c>
      <c r="E6" s="7" t="s">
        <v>1367</v>
      </c>
      <c r="F6" s="7" t="s">
        <v>1265</v>
      </c>
      <c r="G6" s="20" t="s">
        <v>14</v>
      </c>
      <c r="H6" s="20" t="s">
        <v>15</v>
      </c>
      <c r="I6" s="21" t="s">
        <v>16</v>
      </c>
      <c r="J6" s="8"/>
      <c r="K6" s="20" t="s">
        <v>17</v>
      </c>
      <c r="L6" s="20" t="s">
        <v>18</v>
      </c>
      <c r="M6" s="21" t="s">
        <v>19</v>
      </c>
      <c r="N6" s="8"/>
      <c r="O6" s="20" t="s">
        <v>16</v>
      </c>
      <c r="P6" s="20" t="s">
        <v>20</v>
      </c>
      <c r="Q6" s="20" t="s">
        <v>21</v>
      </c>
      <c r="R6" s="8"/>
      <c r="S6" s="8" t="str">
        <f>"455,0"</f>
        <v>455,0</v>
      </c>
      <c r="T6" s="8" t="str">
        <f>"438,5290"</f>
        <v>438,5290</v>
      </c>
      <c r="U6" s="7" t="s">
        <v>1233</v>
      </c>
    </row>
    <row r="7" spans="1:21">
      <c r="B7" s="5" t="s">
        <v>125</v>
      </c>
    </row>
    <row r="8" spans="1:21" ht="16">
      <c r="A8" s="52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21">
      <c r="A9" s="8" t="s">
        <v>124</v>
      </c>
      <c r="B9" s="7" t="s">
        <v>23</v>
      </c>
      <c r="C9" s="7" t="s">
        <v>24</v>
      </c>
      <c r="D9" s="7" t="s">
        <v>25</v>
      </c>
      <c r="E9" s="7" t="s">
        <v>1367</v>
      </c>
      <c r="F9" s="7" t="s">
        <v>1265</v>
      </c>
      <c r="G9" s="20" t="s">
        <v>26</v>
      </c>
      <c r="H9" s="20" t="s">
        <v>27</v>
      </c>
      <c r="I9" s="21" t="s">
        <v>14</v>
      </c>
      <c r="J9" s="8"/>
      <c r="K9" s="20" t="s">
        <v>28</v>
      </c>
      <c r="L9" s="20" t="s">
        <v>29</v>
      </c>
      <c r="M9" s="21" t="s">
        <v>17</v>
      </c>
      <c r="N9" s="8"/>
      <c r="O9" s="20" t="s">
        <v>14</v>
      </c>
      <c r="P9" s="20" t="s">
        <v>30</v>
      </c>
      <c r="Q9" s="21" t="s">
        <v>31</v>
      </c>
      <c r="R9" s="8"/>
      <c r="S9" s="8" t="str">
        <f>"417,5"</f>
        <v>417,5</v>
      </c>
      <c r="T9" s="8" t="str">
        <f>"383,0980"</f>
        <v>383,0980</v>
      </c>
      <c r="U9" s="7"/>
    </row>
    <row r="10" spans="1:21">
      <c r="B10" s="5" t="s">
        <v>125</v>
      </c>
    </row>
    <row r="11" spans="1:21" ht="16">
      <c r="A11" s="52" t="s">
        <v>32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21">
      <c r="A12" s="10" t="s">
        <v>124</v>
      </c>
      <c r="B12" s="9" t="s">
        <v>33</v>
      </c>
      <c r="C12" s="9" t="s">
        <v>34</v>
      </c>
      <c r="D12" s="9" t="s">
        <v>35</v>
      </c>
      <c r="E12" s="9" t="s">
        <v>1367</v>
      </c>
      <c r="F12" s="9" t="s">
        <v>36</v>
      </c>
      <c r="G12" s="22" t="s">
        <v>37</v>
      </c>
      <c r="H12" s="22" t="s">
        <v>38</v>
      </c>
      <c r="I12" s="22" t="s">
        <v>39</v>
      </c>
      <c r="J12" s="10"/>
      <c r="K12" s="22" t="s">
        <v>15</v>
      </c>
      <c r="L12" s="22" t="s">
        <v>40</v>
      </c>
      <c r="M12" s="22" t="s">
        <v>20</v>
      </c>
      <c r="N12" s="10"/>
      <c r="O12" s="22" t="s">
        <v>41</v>
      </c>
      <c r="P12" s="22" t="s">
        <v>42</v>
      </c>
      <c r="Q12" s="22" t="s">
        <v>43</v>
      </c>
      <c r="R12" s="10"/>
      <c r="S12" s="10" t="str">
        <f>"792,5"</f>
        <v>792,5</v>
      </c>
      <c r="T12" s="10" t="str">
        <f>"512,8267"</f>
        <v>512,8267</v>
      </c>
      <c r="U12" s="9" t="s">
        <v>44</v>
      </c>
    </row>
    <row r="13" spans="1:21">
      <c r="A13" s="12" t="s">
        <v>126</v>
      </c>
      <c r="B13" s="11" t="s">
        <v>45</v>
      </c>
      <c r="C13" s="11" t="s">
        <v>46</v>
      </c>
      <c r="D13" s="11" t="s">
        <v>47</v>
      </c>
      <c r="E13" s="11" t="s">
        <v>1367</v>
      </c>
      <c r="F13" s="11" t="s">
        <v>1302</v>
      </c>
      <c r="G13" s="23" t="s">
        <v>48</v>
      </c>
      <c r="H13" s="24" t="s">
        <v>48</v>
      </c>
      <c r="I13" s="24" t="s">
        <v>49</v>
      </c>
      <c r="J13" s="12"/>
      <c r="K13" s="24" t="s">
        <v>50</v>
      </c>
      <c r="L13" s="24" t="s">
        <v>26</v>
      </c>
      <c r="M13" s="23" t="s">
        <v>51</v>
      </c>
      <c r="N13" s="12"/>
      <c r="O13" s="23" t="s">
        <v>52</v>
      </c>
      <c r="P13" s="24" t="s">
        <v>49</v>
      </c>
      <c r="Q13" s="24" t="s">
        <v>53</v>
      </c>
      <c r="R13" s="12"/>
      <c r="S13" s="12" t="str">
        <f>"675,0"</f>
        <v>675,0</v>
      </c>
      <c r="T13" s="12" t="str">
        <f>"434,4300"</f>
        <v>434,4300</v>
      </c>
      <c r="U13" s="11"/>
    </row>
    <row r="14" spans="1:21">
      <c r="A14" s="14" t="s">
        <v>124</v>
      </c>
      <c r="B14" s="13" t="s">
        <v>54</v>
      </c>
      <c r="C14" s="13" t="s">
        <v>55</v>
      </c>
      <c r="D14" s="13" t="s">
        <v>56</v>
      </c>
      <c r="E14" s="13" t="s">
        <v>1372</v>
      </c>
      <c r="F14" s="13" t="s">
        <v>1265</v>
      </c>
      <c r="G14" s="25" t="s">
        <v>14</v>
      </c>
      <c r="H14" s="26" t="s">
        <v>20</v>
      </c>
      <c r="I14" s="26" t="s">
        <v>21</v>
      </c>
      <c r="J14" s="14"/>
      <c r="K14" s="25" t="s">
        <v>57</v>
      </c>
      <c r="L14" s="25" t="s">
        <v>58</v>
      </c>
      <c r="M14" s="26" t="s">
        <v>50</v>
      </c>
      <c r="N14" s="14"/>
      <c r="O14" s="25" t="s">
        <v>16</v>
      </c>
      <c r="P14" s="25" t="s">
        <v>31</v>
      </c>
      <c r="Q14" s="25" t="s">
        <v>59</v>
      </c>
      <c r="R14" s="14"/>
      <c r="S14" s="14" t="str">
        <f>"515,0"</f>
        <v>515,0</v>
      </c>
      <c r="T14" s="14" t="str">
        <f>"579,1494"</f>
        <v>579,1494</v>
      </c>
      <c r="U14" s="13"/>
    </row>
    <row r="15" spans="1:21">
      <c r="B15" s="5" t="s">
        <v>125</v>
      </c>
    </row>
    <row r="16" spans="1:21" ht="16">
      <c r="A16" s="52" t="s">
        <v>60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21">
      <c r="A17" s="10" t="s">
        <v>124</v>
      </c>
      <c r="B17" s="9" t="s">
        <v>61</v>
      </c>
      <c r="C17" s="9" t="s">
        <v>62</v>
      </c>
      <c r="D17" s="9" t="s">
        <v>63</v>
      </c>
      <c r="E17" s="9" t="s">
        <v>1369</v>
      </c>
      <c r="F17" s="9" t="s">
        <v>64</v>
      </c>
      <c r="G17" s="22" t="s">
        <v>65</v>
      </c>
      <c r="H17" s="22" t="s">
        <v>66</v>
      </c>
      <c r="I17" s="27" t="s">
        <v>49</v>
      </c>
      <c r="J17" s="10"/>
      <c r="K17" s="22" t="s">
        <v>58</v>
      </c>
      <c r="L17" s="22" t="s">
        <v>26</v>
      </c>
      <c r="M17" s="27" t="s">
        <v>27</v>
      </c>
      <c r="N17" s="10"/>
      <c r="O17" s="22" t="s">
        <v>48</v>
      </c>
      <c r="P17" s="22" t="s">
        <v>53</v>
      </c>
      <c r="Q17" s="27" t="s">
        <v>41</v>
      </c>
      <c r="R17" s="10"/>
      <c r="S17" s="10" t="str">
        <f>"667,5"</f>
        <v>667,5</v>
      </c>
      <c r="T17" s="10" t="str">
        <f>"406,2405"</f>
        <v>406,2405</v>
      </c>
      <c r="U17" s="9"/>
    </row>
    <row r="18" spans="1:21">
      <c r="A18" s="12" t="s">
        <v>124</v>
      </c>
      <c r="B18" s="11" t="s">
        <v>68</v>
      </c>
      <c r="C18" s="11" t="s">
        <v>69</v>
      </c>
      <c r="D18" s="11" t="s">
        <v>70</v>
      </c>
      <c r="E18" s="11" t="s">
        <v>1367</v>
      </c>
      <c r="F18" s="11" t="s">
        <v>1305</v>
      </c>
      <c r="G18" s="23" t="s">
        <v>71</v>
      </c>
      <c r="H18" s="24" t="s">
        <v>71</v>
      </c>
      <c r="I18" s="23" t="s">
        <v>72</v>
      </c>
      <c r="J18" s="12"/>
      <c r="K18" s="24" t="s">
        <v>73</v>
      </c>
      <c r="L18" s="24" t="s">
        <v>74</v>
      </c>
      <c r="M18" s="12"/>
      <c r="N18" s="12"/>
      <c r="O18" s="24" t="s">
        <v>75</v>
      </c>
      <c r="P18" s="23" t="s">
        <v>39</v>
      </c>
      <c r="Q18" s="23" t="s">
        <v>39</v>
      </c>
      <c r="R18" s="12"/>
      <c r="S18" s="12" t="str">
        <f>"840,0"</f>
        <v>840,0</v>
      </c>
      <c r="T18" s="12" t="str">
        <f>"513,7440"</f>
        <v>513,7440</v>
      </c>
      <c r="U18" s="11" t="s">
        <v>76</v>
      </c>
    </row>
    <row r="19" spans="1:21">
      <c r="A19" s="12" t="s">
        <v>126</v>
      </c>
      <c r="B19" s="11" t="s">
        <v>77</v>
      </c>
      <c r="C19" s="11" t="s">
        <v>78</v>
      </c>
      <c r="D19" s="11" t="s">
        <v>79</v>
      </c>
      <c r="E19" s="11" t="s">
        <v>1367</v>
      </c>
      <c r="F19" s="11" t="s">
        <v>1306</v>
      </c>
      <c r="G19" s="24" t="s">
        <v>48</v>
      </c>
      <c r="H19" s="23" t="s">
        <v>80</v>
      </c>
      <c r="I19" s="23" t="s">
        <v>41</v>
      </c>
      <c r="J19" s="12"/>
      <c r="K19" s="24" t="s">
        <v>26</v>
      </c>
      <c r="L19" s="24" t="s">
        <v>81</v>
      </c>
      <c r="M19" s="24" t="s">
        <v>82</v>
      </c>
      <c r="N19" s="12"/>
      <c r="O19" s="24" t="s">
        <v>83</v>
      </c>
      <c r="P19" s="24" t="s">
        <v>52</v>
      </c>
      <c r="Q19" s="24" t="s">
        <v>84</v>
      </c>
      <c r="R19" s="12"/>
      <c r="S19" s="12" t="str">
        <f>"700,0"</f>
        <v>700,0</v>
      </c>
      <c r="T19" s="12" t="str">
        <f>"431,2700"</f>
        <v>431,2700</v>
      </c>
      <c r="U19" s="11" t="s">
        <v>100</v>
      </c>
    </row>
    <row r="20" spans="1:21">
      <c r="A20" s="14" t="s">
        <v>127</v>
      </c>
      <c r="B20" s="13" t="s">
        <v>61</v>
      </c>
      <c r="C20" s="13" t="s">
        <v>85</v>
      </c>
      <c r="D20" s="13" t="s">
        <v>63</v>
      </c>
      <c r="E20" s="13" t="s">
        <v>1367</v>
      </c>
      <c r="F20" s="13" t="s">
        <v>64</v>
      </c>
      <c r="G20" s="25" t="s">
        <v>65</v>
      </c>
      <c r="H20" s="25" t="s">
        <v>66</v>
      </c>
      <c r="I20" s="26" t="s">
        <v>49</v>
      </c>
      <c r="J20" s="14"/>
      <c r="K20" s="25" t="s">
        <v>58</v>
      </c>
      <c r="L20" s="25" t="s">
        <v>26</v>
      </c>
      <c r="M20" s="26" t="s">
        <v>27</v>
      </c>
      <c r="N20" s="14"/>
      <c r="O20" s="25" t="s">
        <v>48</v>
      </c>
      <c r="P20" s="25" t="s">
        <v>53</v>
      </c>
      <c r="Q20" s="26" t="s">
        <v>41</v>
      </c>
      <c r="R20" s="14"/>
      <c r="S20" s="14" t="str">
        <f>"667,5"</f>
        <v>667,5</v>
      </c>
      <c r="T20" s="14" t="str">
        <f>"406,2405"</f>
        <v>406,2405</v>
      </c>
      <c r="U20" s="13"/>
    </row>
    <row r="21" spans="1:21">
      <c r="B21" s="5" t="s">
        <v>125</v>
      </c>
    </row>
    <row r="22" spans="1:21" ht="16">
      <c r="A22" s="52" t="s">
        <v>86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21">
      <c r="A23" s="10" t="s">
        <v>124</v>
      </c>
      <c r="B23" s="9" t="s">
        <v>87</v>
      </c>
      <c r="C23" s="9" t="s">
        <v>88</v>
      </c>
      <c r="D23" s="9" t="s">
        <v>89</v>
      </c>
      <c r="E23" s="9" t="s">
        <v>1367</v>
      </c>
      <c r="F23" s="9" t="s">
        <v>64</v>
      </c>
      <c r="G23" s="27" t="s">
        <v>72</v>
      </c>
      <c r="H23" s="22" t="s">
        <v>72</v>
      </c>
      <c r="I23" s="27" t="s">
        <v>90</v>
      </c>
      <c r="J23" s="10"/>
      <c r="K23" s="22" t="s">
        <v>31</v>
      </c>
      <c r="L23" s="22" t="s">
        <v>91</v>
      </c>
      <c r="M23" s="27" t="s">
        <v>73</v>
      </c>
      <c r="N23" s="10"/>
      <c r="O23" s="22" t="s">
        <v>92</v>
      </c>
      <c r="P23" s="22" t="s">
        <v>93</v>
      </c>
      <c r="Q23" s="27" t="s">
        <v>94</v>
      </c>
      <c r="R23" s="10"/>
      <c r="S23" s="10" t="str">
        <f>"930,0"</f>
        <v>930,0</v>
      </c>
      <c r="T23" s="10" t="str">
        <f>"550,1880"</f>
        <v>550,1880</v>
      </c>
      <c r="U23" s="9"/>
    </row>
    <row r="24" spans="1:21">
      <c r="A24" s="14" t="s">
        <v>126</v>
      </c>
      <c r="B24" s="13" t="s">
        <v>95</v>
      </c>
      <c r="C24" s="13" t="s">
        <v>96</v>
      </c>
      <c r="D24" s="13" t="s">
        <v>97</v>
      </c>
      <c r="E24" s="13" t="s">
        <v>1367</v>
      </c>
      <c r="F24" s="13" t="s">
        <v>1265</v>
      </c>
      <c r="G24" s="25" t="s">
        <v>98</v>
      </c>
      <c r="H24" s="25" t="s">
        <v>41</v>
      </c>
      <c r="I24" s="26" t="s">
        <v>75</v>
      </c>
      <c r="J24" s="14"/>
      <c r="K24" s="25" t="s">
        <v>14</v>
      </c>
      <c r="L24" s="26" t="s">
        <v>99</v>
      </c>
      <c r="M24" s="25" t="s">
        <v>40</v>
      </c>
      <c r="N24" s="14"/>
      <c r="O24" s="25" t="s">
        <v>98</v>
      </c>
      <c r="P24" s="25" t="s">
        <v>37</v>
      </c>
      <c r="Q24" s="26" t="s">
        <v>43</v>
      </c>
      <c r="R24" s="14"/>
      <c r="S24" s="14" t="str">
        <f>"747,5"</f>
        <v>747,5</v>
      </c>
      <c r="T24" s="14" t="str">
        <f>"445,3605"</f>
        <v>445,3605</v>
      </c>
      <c r="U24" s="13" t="s">
        <v>100</v>
      </c>
    </row>
    <row r="25" spans="1:21">
      <c r="B25" s="5" t="s">
        <v>125</v>
      </c>
    </row>
    <row r="26" spans="1:21">
      <c r="B26" s="5" t="s">
        <v>125</v>
      </c>
    </row>
    <row r="27" spans="1:21">
      <c r="B27" s="5" t="s">
        <v>125</v>
      </c>
    </row>
    <row r="28" spans="1:21" ht="18">
      <c r="B28" s="15" t="s">
        <v>101</v>
      </c>
      <c r="C28" s="15"/>
      <c r="F28" s="3"/>
    </row>
    <row r="29" spans="1:21" ht="16">
      <c r="B29" s="16" t="s">
        <v>111</v>
      </c>
      <c r="C29" s="16"/>
      <c r="F29" s="3"/>
    </row>
    <row r="30" spans="1:21" ht="14">
      <c r="B30" s="17"/>
      <c r="C30" s="18" t="s">
        <v>103</v>
      </c>
      <c r="F30" s="3"/>
    </row>
    <row r="31" spans="1:21" ht="14">
      <c r="B31" s="19" t="s">
        <v>104</v>
      </c>
      <c r="C31" s="19" t="s">
        <v>105</v>
      </c>
      <c r="D31" s="19" t="s">
        <v>1203</v>
      </c>
      <c r="E31" s="19" t="s">
        <v>107</v>
      </c>
      <c r="F31" s="19" t="s">
        <v>108</v>
      </c>
    </row>
    <row r="32" spans="1:21">
      <c r="B32" s="5" t="s">
        <v>87</v>
      </c>
      <c r="C32" s="5" t="s">
        <v>103</v>
      </c>
      <c r="D32" s="6" t="s">
        <v>114</v>
      </c>
      <c r="E32" s="6" t="s">
        <v>115</v>
      </c>
      <c r="F32" s="6" t="s">
        <v>116</v>
      </c>
    </row>
    <row r="33" spans="2:6">
      <c r="B33" s="5" t="s">
        <v>68</v>
      </c>
      <c r="C33" s="5" t="s">
        <v>103</v>
      </c>
      <c r="D33" s="6" t="s">
        <v>113</v>
      </c>
      <c r="E33" s="6" t="s">
        <v>117</v>
      </c>
      <c r="F33" s="6" t="s">
        <v>118</v>
      </c>
    </row>
    <row r="34" spans="2:6">
      <c r="B34" s="5" t="s">
        <v>33</v>
      </c>
      <c r="C34" s="5" t="s">
        <v>103</v>
      </c>
      <c r="D34" s="6" t="s">
        <v>119</v>
      </c>
      <c r="E34" s="6" t="s">
        <v>120</v>
      </c>
      <c r="F34" s="6" t="s">
        <v>121</v>
      </c>
    </row>
  </sheetData>
  <mergeCells count="18">
    <mergeCell ref="A5:R5"/>
    <mergeCell ref="A8:R8"/>
    <mergeCell ref="A11:R11"/>
    <mergeCell ref="A16:R16"/>
    <mergeCell ref="A22:R22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37"/>
  <sheetViews>
    <sheetView topLeftCell="A9" workbookViewId="0">
      <selection activeCell="E37" sqref="E37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164062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8.5" style="6" customWidth="1"/>
    <col min="16" max="16" width="8.5" style="6" bestFit="1" customWidth="1"/>
    <col min="17" max="17" width="19.6640625" style="5" customWidth="1"/>
    <col min="18" max="16384" width="9.1640625" style="3"/>
  </cols>
  <sheetData>
    <row r="1" spans="1:17" s="2" customFormat="1" ht="29" customHeight="1">
      <c r="A1" s="41" t="s">
        <v>1242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9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281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8" t="s">
        <v>124</v>
      </c>
      <c r="B6" s="7" t="s">
        <v>1002</v>
      </c>
      <c r="C6" s="7" t="s">
        <v>1003</v>
      </c>
      <c r="D6" s="7" t="s">
        <v>1004</v>
      </c>
      <c r="E6" s="7" t="s">
        <v>1367</v>
      </c>
      <c r="F6" s="7" t="s">
        <v>1274</v>
      </c>
      <c r="G6" s="20" t="s">
        <v>276</v>
      </c>
      <c r="H6" s="20" t="s">
        <v>278</v>
      </c>
      <c r="I6" s="20" t="s">
        <v>248</v>
      </c>
      <c r="J6" s="8"/>
      <c r="K6" s="20" t="s">
        <v>247</v>
      </c>
      <c r="L6" s="20" t="s">
        <v>135</v>
      </c>
      <c r="M6" s="20" t="s">
        <v>279</v>
      </c>
      <c r="N6" s="8"/>
      <c r="O6" s="8" t="str">
        <f>"115,0"</f>
        <v>115,0</v>
      </c>
      <c r="P6" s="8" t="str">
        <f>"141,2660"</f>
        <v>141,2660</v>
      </c>
      <c r="Q6" s="7" t="s">
        <v>311</v>
      </c>
    </row>
    <row r="7" spans="1:17">
      <c r="B7" s="5" t="s">
        <v>125</v>
      </c>
    </row>
    <row r="8" spans="1:17" ht="16">
      <c r="A8" s="52" t="s">
        <v>10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>
      <c r="A9" s="10" t="s">
        <v>124</v>
      </c>
      <c r="B9" s="9" t="s">
        <v>1005</v>
      </c>
      <c r="C9" s="9" t="s">
        <v>1006</v>
      </c>
      <c r="D9" s="9" t="s">
        <v>1007</v>
      </c>
      <c r="E9" s="9" t="s">
        <v>1367</v>
      </c>
      <c r="F9" s="9" t="s">
        <v>1274</v>
      </c>
      <c r="G9" s="22" t="s">
        <v>249</v>
      </c>
      <c r="H9" s="22" t="s">
        <v>293</v>
      </c>
      <c r="I9" s="27" t="s">
        <v>288</v>
      </c>
      <c r="J9" s="10"/>
      <c r="K9" s="22" t="s">
        <v>136</v>
      </c>
      <c r="L9" s="22" t="s">
        <v>265</v>
      </c>
      <c r="M9" s="22" t="s">
        <v>174</v>
      </c>
      <c r="N9" s="10"/>
      <c r="O9" s="10" t="str">
        <f>"162,5"</f>
        <v>162,5</v>
      </c>
      <c r="P9" s="10" t="str">
        <f>"157,1700"</f>
        <v>157,1700</v>
      </c>
      <c r="Q9" s="9" t="s">
        <v>311</v>
      </c>
    </row>
    <row r="10" spans="1:17">
      <c r="A10" s="14" t="s">
        <v>124</v>
      </c>
      <c r="B10" s="13" t="s">
        <v>1008</v>
      </c>
      <c r="C10" s="13" t="s">
        <v>1009</v>
      </c>
      <c r="D10" s="13" t="s">
        <v>1010</v>
      </c>
      <c r="E10" s="13" t="s">
        <v>1373</v>
      </c>
      <c r="F10" s="13" t="s">
        <v>1307</v>
      </c>
      <c r="G10" s="25" t="s">
        <v>249</v>
      </c>
      <c r="H10" s="25" t="s">
        <v>608</v>
      </c>
      <c r="I10" s="26" t="s">
        <v>293</v>
      </c>
      <c r="J10" s="14"/>
      <c r="K10" s="25" t="s">
        <v>250</v>
      </c>
      <c r="L10" s="25" t="s">
        <v>136</v>
      </c>
      <c r="M10" s="26" t="s">
        <v>137</v>
      </c>
      <c r="N10" s="14"/>
      <c r="O10" s="14" t="str">
        <f>"147,5"</f>
        <v>147,5</v>
      </c>
      <c r="P10" s="14" t="str">
        <f>"186,7911"</f>
        <v>186,7911</v>
      </c>
      <c r="Q10" s="13"/>
    </row>
    <row r="11" spans="1:17">
      <c r="B11" s="5" t="s">
        <v>125</v>
      </c>
    </row>
    <row r="12" spans="1:17" ht="16">
      <c r="A12" s="52" t="s">
        <v>251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7">
      <c r="A13" s="8" t="s">
        <v>124</v>
      </c>
      <c r="B13" s="7" t="s">
        <v>651</v>
      </c>
      <c r="C13" s="7" t="s">
        <v>652</v>
      </c>
      <c r="D13" s="7" t="s">
        <v>653</v>
      </c>
      <c r="E13" s="7" t="s">
        <v>1374</v>
      </c>
      <c r="F13" s="7" t="s">
        <v>1308</v>
      </c>
      <c r="G13" s="20" t="s">
        <v>277</v>
      </c>
      <c r="H13" s="20" t="s">
        <v>256</v>
      </c>
      <c r="I13" s="21" t="s">
        <v>249</v>
      </c>
      <c r="J13" s="8"/>
      <c r="K13" s="20" t="s">
        <v>267</v>
      </c>
      <c r="L13" s="20" t="s">
        <v>29</v>
      </c>
      <c r="M13" s="20" t="s">
        <v>279</v>
      </c>
      <c r="N13" s="8"/>
      <c r="O13" s="8" t="str">
        <f>"117,5"</f>
        <v>117,5</v>
      </c>
      <c r="P13" s="8" t="str">
        <f>"139,9543"</f>
        <v>139,9543</v>
      </c>
      <c r="Q13" s="7" t="s">
        <v>654</v>
      </c>
    </row>
    <row r="14" spans="1:17">
      <c r="B14" s="5" t="s">
        <v>125</v>
      </c>
    </row>
    <row r="15" spans="1:17" ht="16">
      <c r="A15" s="52" t="s">
        <v>298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7">
      <c r="A16" s="8" t="s">
        <v>124</v>
      </c>
      <c r="B16" s="7" t="s">
        <v>340</v>
      </c>
      <c r="C16" s="7" t="s">
        <v>341</v>
      </c>
      <c r="D16" s="7" t="s">
        <v>342</v>
      </c>
      <c r="E16" s="7" t="s">
        <v>1367</v>
      </c>
      <c r="F16" s="7" t="s">
        <v>1280</v>
      </c>
      <c r="G16" s="21" t="s">
        <v>17</v>
      </c>
      <c r="H16" s="20" t="s">
        <v>17</v>
      </c>
      <c r="I16" s="20" t="s">
        <v>255</v>
      </c>
      <c r="J16" s="8"/>
      <c r="K16" s="20" t="s">
        <v>149</v>
      </c>
      <c r="L16" s="20" t="s">
        <v>136</v>
      </c>
      <c r="M16" s="20" t="s">
        <v>137</v>
      </c>
      <c r="N16" s="8"/>
      <c r="O16" s="8" t="str">
        <f>"187,5"</f>
        <v>187,5</v>
      </c>
      <c r="P16" s="8" t="str">
        <f>"170,4000"</f>
        <v>170,4000</v>
      </c>
      <c r="Q16" s="7"/>
    </row>
    <row r="17" spans="1:17">
      <c r="B17" s="5" t="s">
        <v>125</v>
      </c>
    </row>
    <row r="18" spans="1:17" ht="16">
      <c r="A18" s="52" t="s">
        <v>10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7">
      <c r="A19" s="8" t="s">
        <v>124</v>
      </c>
      <c r="B19" s="7" t="s">
        <v>1011</v>
      </c>
      <c r="C19" s="7" t="s">
        <v>1012</v>
      </c>
      <c r="D19" s="7" t="s">
        <v>1013</v>
      </c>
      <c r="E19" s="7" t="s">
        <v>1368</v>
      </c>
      <c r="F19" s="7" t="s">
        <v>1304</v>
      </c>
      <c r="G19" s="21" t="s">
        <v>247</v>
      </c>
      <c r="H19" s="20" t="s">
        <v>247</v>
      </c>
      <c r="I19" s="20" t="s">
        <v>134</v>
      </c>
      <c r="J19" s="8"/>
      <c r="K19" s="20" t="s">
        <v>136</v>
      </c>
      <c r="L19" s="20" t="s">
        <v>138</v>
      </c>
      <c r="M19" s="20" t="s">
        <v>294</v>
      </c>
      <c r="N19" s="8"/>
      <c r="O19" s="8" t="str">
        <f>"190,0"</f>
        <v>190,0</v>
      </c>
      <c r="P19" s="8" t="str">
        <f>"139,4030"</f>
        <v>139,4030</v>
      </c>
      <c r="Q19" s="7" t="s">
        <v>311</v>
      </c>
    </row>
    <row r="20" spans="1:17">
      <c r="B20" s="5" t="s">
        <v>125</v>
      </c>
    </row>
    <row r="21" spans="1:17" ht="16">
      <c r="A21" s="52" t="s">
        <v>22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7">
      <c r="A22" s="10" t="s">
        <v>124</v>
      </c>
      <c r="B22" s="9" t="s">
        <v>1014</v>
      </c>
      <c r="C22" s="9" t="s">
        <v>1015</v>
      </c>
      <c r="D22" s="9" t="s">
        <v>1016</v>
      </c>
      <c r="E22" s="9" t="s">
        <v>1369</v>
      </c>
      <c r="F22" s="9" t="s">
        <v>1265</v>
      </c>
      <c r="G22" s="22" t="s">
        <v>18</v>
      </c>
      <c r="H22" s="22" t="s">
        <v>250</v>
      </c>
      <c r="I22" s="22" t="s">
        <v>169</v>
      </c>
      <c r="J22" s="10"/>
      <c r="K22" s="22" t="s">
        <v>138</v>
      </c>
      <c r="L22" s="22" t="s">
        <v>166</v>
      </c>
      <c r="M22" s="22" t="s">
        <v>294</v>
      </c>
      <c r="N22" s="10"/>
      <c r="O22" s="10" t="str">
        <f>"217,5"</f>
        <v>217,5</v>
      </c>
      <c r="P22" s="10" t="str">
        <f>"154,6860"</f>
        <v>154,6860</v>
      </c>
      <c r="Q22" s="9" t="s">
        <v>960</v>
      </c>
    </row>
    <row r="23" spans="1:17">
      <c r="A23" s="12" t="s">
        <v>124</v>
      </c>
      <c r="B23" s="11" t="s">
        <v>958</v>
      </c>
      <c r="C23" s="11" t="s">
        <v>959</v>
      </c>
      <c r="D23" s="11" t="s">
        <v>729</v>
      </c>
      <c r="E23" s="11" t="s">
        <v>1367</v>
      </c>
      <c r="F23" s="11" t="s">
        <v>1265</v>
      </c>
      <c r="G23" s="24" t="s">
        <v>137</v>
      </c>
      <c r="H23" s="24" t="s">
        <v>174</v>
      </c>
      <c r="I23" s="23" t="s">
        <v>272</v>
      </c>
      <c r="J23" s="12"/>
      <c r="K23" s="24" t="s">
        <v>20</v>
      </c>
      <c r="L23" s="23" t="s">
        <v>176</v>
      </c>
      <c r="M23" s="23" t="s">
        <v>176</v>
      </c>
      <c r="N23" s="12"/>
      <c r="O23" s="12" t="str">
        <f>"302,5"</f>
        <v>302,5</v>
      </c>
      <c r="P23" s="12" t="str">
        <f>"203,5523"</f>
        <v>203,5523</v>
      </c>
      <c r="Q23" s="11" t="s">
        <v>960</v>
      </c>
    </row>
    <row r="24" spans="1:17">
      <c r="A24" s="14" t="s">
        <v>124</v>
      </c>
      <c r="B24" s="13" t="s">
        <v>1017</v>
      </c>
      <c r="C24" s="13" t="s">
        <v>1018</v>
      </c>
      <c r="D24" s="13" t="s">
        <v>373</v>
      </c>
      <c r="E24" s="13" t="s">
        <v>1371</v>
      </c>
      <c r="F24" s="13" t="s">
        <v>1307</v>
      </c>
      <c r="G24" s="25" t="s">
        <v>17</v>
      </c>
      <c r="H24" s="25" t="s">
        <v>18</v>
      </c>
      <c r="I24" s="25" t="s">
        <v>250</v>
      </c>
      <c r="J24" s="14"/>
      <c r="K24" s="25" t="s">
        <v>58</v>
      </c>
      <c r="L24" s="25" t="s">
        <v>26</v>
      </c>
      <c r="M24" s="25" t="s">
        <v>147</v>
      </c>
      <c r="N24" s="14"/>
      <c r="O24" s="14" t="str">
        <f>"245,0"</f>
        <v>245,0</v>
      </c>
      <c r="P24" s="14" t="str">
        <f>"228,5218"</f>
        <v>228,5218</v>
      </c>
      <c r="Q24" s="13" t="s">
        <v>1206</v>
      </c>
    </row>
    <row r="25" spans="1:17">
      <c r="B25" s="5" t="s">
        <v>125</v>
      </c>
    </row>
    <row r="26" spans="1:17" ht="16">
      <c r="A26" s="52" t="s">
        <v>32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7">
      <c r="A27" s="10" t="s">
        <v>124</v>
      </c>
      <c r="B27" s="9" t="s">
        <v>415</v>
      </c>
      <c r="C27" s="9" t="s">
        <v>416</v>
      </c>
      <c r="D27" s="9" t="s">
        <v>409</v>
      </c>
      <c r="E27" s="9" t="s">
        <v>1367</v>
      </c>
      <c r="F27" s="9" t="s">
        <v>1289</v>
      </c>
      <c r="G27" s="22" t="s">
        <v>132</v>
      </c>
      <c r="H27" s="22" t="s">
        <v>50</v>
      </c>
      <c r="I27" s="22" t="s">
        <v>26</v>
      </c>
      <c r="J27" s="10"/>
      <c r="K27" s="22" t="s">
        <v>155</v>
      </c>
      <c r="L27" s="22" t="s">
        <v>65</v>
      </c>
      <c r="M27" s="27" t="s">
        <v>52</v>
      </c>
      <c r="N27" s="10"/>
      <c r="O27" s="10" t="str">
        <f>"390,0"</f>
        <v>390,0</v>
      </c>
      <c r="P27" s="10" t="str">
        <f>"248,9760"</f>
        <v>248,9760</v>
      </c>
      <c r="Q27" s="9"/>
    </row>
    <row r="28" spans="1:17">
      <c r="A28" s="12" t="s">
        <v>126</v>
      </c>
      <c r="B28" s="11" t="s">
        <v>420</v>
      </c>
      <c r="C28" s="11" t="s">
        <v>421</v>
      </c>
      <c r="D28" s="11" t="s">
        <v>422</v>
      </c>
      <c r="E28" s="11" t="s">
        <v>1367</v>
      </c>
      <c r="F28" s="11" t="s">
        <v>1290</v>
      </c>
      <c r="G28" s="24" t="s">
        <v>50</v>
      </c>
      <c r="H28" s="24" t="s">
        <v>51</v>
      </c>
      <c r="I28" s="23" t="s">
        <v>217</v>
      </c>
      <c r="J28" s="12"/>
      <c r="K28" s="24" t="s">
        <v>91</v>
      </c>
      <c r="L28" s="24" t="s">
        <v>423</v>
      </c>
      <c r="M28" s="24" t="s">
        <v>424</v>
      </c>
      <c r="N28" s="12"/>
      <c r="O28" s="12" t="str">
        <f>"380,0"</f>
        <v>380,0</v>
      </c>
      <c r="P28" s="12" t="str">
        <f>"245,4420"</f>
        <v>245,4420</v>
      </c>
      <c r="Q28" s="11"/>
    </row>
    <row r="29" spans="1:17">
      <c r="A29" s="12" t="s">
        <v>127</v>
      </c>
      <c r="B29" s="11" t="s">
        <v>1019</v>
      </c>
      <c r="C29" s="11" t="s">
        <v>1020</v>
      </c>
      <c r="D29" s="11" t="s">
        <v>1021</v>
      </c>
      <c r="E29" s="11" t="s">
        <v>1367</v>
      </c>
      <c r="F29" s="11" t="s">
        <v>67</v>
      </c>
      <c r="G29" s="24" t="s">
        <v>26</v>
      </c>
      <c r="H29" s="24" t="s">
        <v>147</v>
      </c>
      <c r="I29" s="23" t="s">
        <v>27</v>
      </c>
      <c r="J29" s="12"/>
      <c r="K29" s="24" t="s">
        <v>73</v>
      </c>
      <c r="L29" s="23" t="s">
        <v>424</v>
      </c>
      <c r="M29" s="23" t="s">
        <v>357</v>
      </c>
      <c r="N29" s="12"/>
      <c r="O29" s="12" t="str">
        <f>"370,0"</f>
        <v>370,0</v>
      </c>
      <c r="P29" s="12" t="str">
        <f>"237,9840"</f>
        <v>237,9840</v>
      </c>
      <c r="Q29" s="11"/>
    </row>
    <row r="30" spans="1:17">
      <c r="A30" s="14" t="s">
        <v>124</v>
      </c>
      <c r="B30" s="13" t="s">
        <v>1022</v>
      </c>
      <c r="C30" s="13" t="s">
        <v>1023</v>
      </c>
      <c r="D30" s="13" t="s">
        <v>153</v>
      </c>
      <c r="E30" s="13" t="s">
        <v>1371</v>
      </c>
      <c r="F30" s="13" t="s">
        <v>1287</v>
      </c>
      <c r="G30" s="25" t="s">
        <v>18</v>
      </c>
      <c r="H30" s="26" t="s">
        <v>149</v>
      </c>
      <c r="I30" s="25" t="s">
        <v>149</v>
      </c>
      <c r="J30" s="14"/>
      <c r="K30" s="25" t="s">
        <v>26</v>
      </c>
      <c r="L30" s="25" t="s">
        <v>14</v>
      </c>
      <c r="M30" s="25" t="s">
        <v>30</v>
      </c>
      <c r="N30" s="14"/>
      <c r="O30" s="14" t="str">
        <f>"280,0"</f>
        <v>280,0</v>
      </c>
      <c r="P30" s="14" t="str">
        <f>"275,4433"</f>
        <v>275,4433</v>
      </c>
      <c r="Q30" s="13"/>
    </row>
    <row r="31" spans="1:17">
      <c r="B31" s="5" t="s">
        <v>125</v>
      </c>
    </row>
    <row r="32" spans="1:17" ht="16">
      <c r="A32" s="52" t="s">
        <v>60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7">
      <c r="A33" s="8" t="s">
        <v>124</v>
      </c>
      <c r="B33" s="7" t="s">
        <v>1024</v>
      </c>
      <c r="C33" s="7" t="s">
        <v>1025</v>
      </c>
      <c r="D33" s="7" t="s">
        <v>209</v>
      </c>
      <c r="E33" s="7" t="s">
        <v>1370</v>
      </c>
      <c r="F33" s="7" t="s">
        <v>1265</v>
      </c>
      <c r="G33" s="20" t="s">
        <v>14</v>
      </c>
      <c r="H33" s="20" t="s">
        <v>16</v>
      </c>
      <c r="I33" s="20" t="s">
        <v>538</v>
      </c>
      <c r="J33" s="8"/>
      <c r="K33" s="20" t="s">
        <v>83</v>
      </c>
      <c r="L33" s="20" t="s">
        <v>413</v>
      </c>
      <c r="M33" s="20" t="s">
        <v>66</v>
      </c>
      <c r="N33" s="8"/>
      <c r="O33" s="8" t="str">
        <f>"440,0"</f>
        <v>440,0</v>
      </c>
      <c r="P33" s="8" t="str">
        <f>"271,9791"</f>
        <v>271,9791</v>
      </c>
      <c r="Q33" s="7" t="s">
        <v>1026</v>
      </c>
    </row>
    <row r="34" spans="1:17">
      <c r="B34" s="5" t="s">
        <v>125</v>
      </c>
    </row>
    <row r="35" spans="1:17" ht="16">
      <c r="A35" s="52" t="s">
        <v>86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7">
      <c r="A36" s="8" t="s">
        <v>124</v>
      </c>
      <c r="B36" s="7" t="s">
        <v>1027</v>
      </c>
      <c r="C36" s="7" t="s">
        <v>1028</v>
      </c>
      <c r="D36" s="7" t="s">
        <v>1029</v>
      </c>
      <c r="E36" s="7" t="s">
        <v>1367</v>
      </c>
      <c r="F36" s="7" t="s">
        <v>1274</v>
      </c>
      <c r="G36" s="20" t="s">
        <v>133</v>
      </c>
      <c r="H36" s="20" t="s">
        <v>50</v>
      </c>
      <c r="I36" s="20" t="s">
        <v>26</v>
      </c>
      <c r="J36" s="8"/>
      <c r="K36" s="20" t="s">
        <v>30</v>
      </c>
      <c r="L36" s="20" t="s">
        <v>73</v>
      </c>
      <c r="M36" s="20" t="s">
        <v>155</v>
      </c>
      <c r="N36" s="8"/>
      <c r="O36" s="8" t="str">
        <f>"375,0"</f>
        <v>375,0</v>
      </c>
      <c r="P36" s="8" t="str">
        <f>"224,7000"</f>
        <v>224,7000</v>
      </c>
      <c r="Q36" s="7" t="s">
        <v>311</v>
      </c>
    </row>
    <row r="37" spans="1:17">
      <c r="B37" s="5" t="s">
        <v>125</v>
      </c>
    </row>
  </sheetData>
  <mergeCells count="21">
    <mergeCell ref="A32:N32"/>
    <mergeCell ref="A35:N35"/>
    <mergeCell ref="B3:B4"/>
    <mergeCell ref="A8:N8"/>
    <mergeCell ref="A12:N12"/>
    <mergeCell ref="A15:N15"/>
    <mergeCell ref="A18:N18"/>
    <mergeCell ref="A21:N21"/>
    <mergeCell ref="A26:N26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11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17.5" style="5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41" t="s">
        <v>1243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9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281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8" t="s">
        <v>124</v>
      </c>
      <c r="B6" s="7" t="s">
        <v>999</v>
      </c>
      <c r="C6" s="7" t="s">
        <v>1000</v>
      </c>
      <c r="D6" s="7" t="s">
        <v>1001</v>
      </c>
      <c r="E6" s="7" t="s">
        <v>1374</v>
      </c>
      <c r="F6" s="7" t="s">
        <v>1309</v>
      </c>
      <c r="G6" s="20" t="s">
        <v>256</v>
      </c>
      <c r="H6" s="20" t="s">
        <v>249</v>
      </c>
      <c r="I6" s="20" t="s">
        <v>608</v>
      </c>
      <c r="J6" s="20" t="s">
        <v>293</v>
      </c>
      <c r="K6" s="21" t="s">
        <v>279</v>
      </c>
      <c r="L6" s="20" t="s">
        <v>279</v>
      </c>
      <c r="M6" s="20" t="s">
        <v>18</v>
      </c>
      <c r="N6" s="20" t="s">
        <v>250</v>
      </c>
      <c r="O6" s="8" t="str">
        <f>"132,5"</f>
        <v>132,5</v>
      </c>
      <c r="P6" s="8" t="str">
        <f>"121,2640"</f>
        <v>121,2640</v>
      </c>
      <c r="Q6" s="7" t="s">
        <v>1207</v>
      </c>
    </row>
    <row r="7" spans="1:17">
      <c r="B7" s="5" t="s">
        <v>125</v>
      </c>
    </row>
    <row r="8" spans="1:17" ht="16">
      <c r="A8" s="52" t="s">
        <v>86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7">
      <c r="A9" s="8" t="s">
        <v>124</v>
      </c>
      <c r="B9" s="7" t="s">
        <v>87</v>
      </c>
      <c r="C9" s="7" t="s">
        <v>88</v>
      </c>
      <c r="D9" s="7" t="s">
        <v>89</v>
      </c>
      <c r="E9" s="7" t="s">
        <v>1367</v>
      </c>
      <c r="F9" s="7" t="s">
        <v>64</v>
      </c>
      <c r="G9" s="20" t="s">
        <v>31</v>
      </c>
      <c r="H9" s="20" t="s">
        <v>91</v>
      </c>
      <c r="I9" s="21" t="s">
        <v>73</v>
      </c>
      <c r="J9" s="8"/>
      <c r="K9" s="20" t="s">
        <v>92</v>
      </c>
      <c r="L9" s="20" t="s">
        <v>93</v>
      </c>
      <c r="M9" s="21" t="s">
        <v>94</v>
      </c>
      <c r="N9" s="8"/>
      <c r="O9" s="8" t="str">
        <f>"590,0"</f>
        <v>590,0</v>
      </c>
      <c r="P9" s="8" t="str">
        <f>"349,0440"</f>
        <v>349,0440</v>
      </c>
      <c r="Q9" s="7" t="s">
        <v>1207</v>
      </c>
    </row>
    <row r="10" spans="1:17">
      <c r="B10" s="5" t="s">
        <v>125</v>
      </c>
    </row>
    <row r="11" spans="1:17">
      <c r="B11" s="5" t="s">
        <v>125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64"/>
  <sheetViews>
    <sheetView topLeftCell="A106" workbookViewId="0">
      <selection activeCell="E129" sqref="E129"/>
    </sheetView>
  </sheetViews>
  <sheetFormatPr baseColWidth="10" defaultColWidth="9.1640625" defaultRowHeight="13"/>
  <cols>
    <col min="1" max="1" width="7.5" style="5" bestFit="1" customWidth="1"/>
    <col min="2" max="2" width="22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2" style="5" bestFit="1" customWidth="1"/>
    <col min="7" max="10" width="5.5" style="6" customWidth="1"/>
    <col min="11" max="11" width="10.5" style="30" bestFit="1" customWidth="1"/>
    <col min="12" max="12" width="8.5" style="6" bestFit="1" customWidth="1"/>
    <col min="13" max="13" width="30.6640625" style="5" bestFit="1" customWidth="1"/>
    <col min="14" max="16384" width="9.1640625" style="3"/>
  </cols>
  <sheetData>
    <row r="1" spans="1:13" s="2" customFormat="1" ht="29" customHeight="1">
      <c r="A1" s="41" t="s">
        <v>1244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3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4"/>
      <c r="L4" s="36"/>
      <c r="M4" s="38"/>
    </row>
    <row r="5" spans="1:13" ht="16">
      <c r="A5" s="39" t="s">
        <v>600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0" t="s">
        <v>124</v>
      </c>
      <c r="B6" s="9" t="s">
        <v>601</v>
      </c>
      <c r="C6" s="9" t="s">
        <v>602</v>
      </c>
      <c r="D6" s="9" t="s">
        <v>603</v>
      </c>
      <c r="E6" s="9" t="s">
        <v>1367</v>
      </c>
      <c r="F6" s="9" t="s">
        <v>1310</v>
      </c>
      <c r="G6" s="22" t="s">
        <v>293</v>
      </c>
      <c r="H6" s="22" t="s">
        <v>288</v>
      </c>
      <c r="I6" s="22" t="s">
        <v>246</v>
      </c>
      <c r="J6" s="10"/>
      <c r="K6" s="28" t="str">
        <f>"55,0"</f>
        <v>55,0</v>
      </c>
      <c r="L6" s="10" t="str">
        <f>"78,8590"</f>
        <v>78,8590</v>
      </c>
      <c r="M6" s="9" t="s">
        <v>604</v>
      </c>
    </row>
    <row r="7" spans="1:13">
      <c r="A7" s="14" t="s">
        <v>126</v>
      </c>
      <c r="B7" s="13" t="s">
        <v>605</v>
      </c>
      <c r="C7" s="13" t="s">
        <v>606</v>
      </c>
      <c r="D7" s="13" t="s">
        <v>607</v>
      </c>
      <c r="E7" s="13" t="s">
        <v>1367</v>
      </c>
      <c r="F7" s="13" t="s">
        <v>1311</v>
      </c>
      <c r="G7" s="25" t="s">
        <v>248</v>
      </c>
      <c r="H7" s="25" t="s">
        <v>249</v>
      </c>
      <c r="I7" s="25" t="s">
        <v>608</v>
      </c>
      <c r="J7" s="14"/>
      <c r="K7" s="31" t="str">
        <f>"47,5"</f>
        <v>47,5</v>
      </c>
      <c r="L7" s="14" t="str">
        <f>"67,2885"</f>
        <v>67,2885</v>
      </c>
      <c r="M7" s="13"/>
    </row>
    <row r="8" spans="1:13">
      <c r="B8" s="5" t="s">
        <v>125</v>
      </c>
    </row>
    <row r="9" spans="1:13" ht="16">
      <c r="A9" s="52" t="s">
        <v>242</v>
      </c>
      <c r="B9" s="52"/>
      <c r="C9" s="52"/>
      <c r="D9" s="52"/>
      <c r="E9" s="52"/>
      <c r="F9" s="52"/>
      <c r="G9" s="52"/>
      <c r="H9" s="52"/>
      <c r="I9" s="52"/>
      <c r="J9" s="52"/>
    </row>
    <row r="10" spans="1:13">
      <c r="A10" s="10" t="s">
        <v>124</v>
      </c>
      <c r="B10" s="9" t="s">
        <v>609</v>
      </c>
      <c r="C10" s="9" t="s">
        <v>610</v>
      </c>
      <c r="D10" s="9" t="s">
        <v>611</v>
      </c>
      <c r="E10" s="9" t="s">
        <v>1367</v>
      </c>
      <c r="F10" s="9" t="s">
        <v>1312</v>
      </c>
      <c r="G10" s="27" t="s">
        <v>248</v>
      </c>
      <c r="H10" s="22" t="s">
        <v>248</v>
      </c>
      <c r="I10" s="27" t="s">
        <v>256</v>
      </c>
      <c r="J10" s="10"/>
      <c r="K10" s="28" t="str">
        <f>"40,0"</f>
        <v>40,0</v>
      </c>
      <c r="L10" s="10" t="str">
        <f>"53,2200"</f>
        <v>53,2200</v>
      </c>
      <c r="M10" s="9" t="s">
        <v>612</v>
      </c>
    </row>
    <row r="11" spans="1:13">
      <c r="A11" s="14" t="s">
        <v>126</v>
      </c>
      <c r="B11" s="13" t="s">
        <v>243</v>
      </c>
      <c r="C11" s="13" t="s">
        <v>244</v>
      </c>
      <c r="D11" s="13" t="s">
        <v>245</v>
      </c>
      <c r="E11" s="13" t="s">
        <v>1367</v>
      </c>
      <c r="F11" s="13" t="s">
        <v>1265</v>
      </c>
      <c r="G11" s="25" t="s">
        <v>248</v>
      </c>
      <c r="H11" s="26" t="s">
        <v>249</v>
      </c>
      <c r="I11" s="26" t="s">
        <v>249</v>
      </c>
      <c r="J11" s="14"/>
      <c r="K11" s="31" t="str">
        <f>"40,0"</f>
        <v>40,0</v>
      </c>
      <c r="L11" s="14" t="str">
        <f>"53,1400"</f>
        <v>53,1400</v>
      </c>
      <c r="M11" s="13" t="s">
        <v>1217</v>
      </c>
    </row>
    <row r="12" spans="1:13">
      <c r="B12" s="5" t="s">
        <v>125</v>
      </c>
    </row>
    <row r="13" spans="1:13" ht="16">
      <c r="A13" s="52" t="s">
        <v>251</v>
      </c>
      <c r="B13" s="52"/>
      <c r="C13" s="52"/>
      <c r="D13" s="52"/>
      <c r="E13" s="52"/>
      <c r="F13" s="52"/>
      <c r="G13" s="52"/>
      <c r="H13" s="52"/>
      <c r="I13" s="52"/>
      <c r="J13" s="52"/>
    </row>
    <row r="14" spans="1:13">
      <c r="A14" s="10" t="s">
        <v>124</v>
      </c>
      <c r="B14" s="9" t="s">
        <v>258</v>
      </c>
      <c r="C14" s="9" t="s">
        <v>259</v>
      </c>
      <c r="D14" s="9" t="s">
        <v>260</v>
      </c>
      <c r="E14" s="9" t="s">
        <v>1369</v>
      </c>
      <c r="F14" s="9" t="s">
        <v>1267</v>
      </c>
      <c r="G14" s="22" t="s">
        <v>256</v>
      </c>
      <c r="H14" s="27" t="s">
        <v>249</v>
      </c>
      <c r="I14" s="27" t="s">
        <v>249</v>
      </c>
      <c r="J14" s="10"/>
      <c r="K14" s="28" t="str">
        <f>"42,5"</f>
        <v>42,5</v>
      </c>
      <c r="L14" s="10" t="str">
        <f>"54,2683"</f>
        <v>54,2683</v>
      </c>
      <c r="M14" s="9" t="s">
        <v>261</v>
      </c>
    </row>
    <row r="15" spans="1:13">
      <c r="A15" s="12" t="s">
        <v>124</v>
      </c>
      <c r="B15" s="11" t="s">
        <v>613</v>
      </c>
      <c r="C15" s="11" t="s">
        <v>614</v>
      </c>
      <c r="D15" s="11" t="s">
        <v>615</v>
      </c>
      <c r="E15" s="11" t="s">
        <v>1367</v>
      </c>
      <c r="F15" s="11" t="s">
        <v>1313</v>
      </c>
      <c r="G15" s="24" t="s">
        <v>266</v>
      </c>
      <c r="H15" s="24" t="s">
        <v>247</v>
      </c>
      <c r="I15" s="23" t="s">
        <v>267</v>
      </c>
      <c r="J15" s="12"/>
      <c r="K15" s="32" t="str">
        <f>"60,0"</f>
        <v>60,0</v>
      </c>
      <c r="L15" s="12" t="str">
        <f>"78,9780"</f>
        <v>78,9780</v>
      </c>
      <c r="M15" s="11" t="s">
        <v>616</v>
      </c>
    </row>
    <row r="16" spans="1:13">
      <c r="A16" s="14" t="s">
        <v>126</v>
      </c>
      <c r="B16" s="13" t="s">
        <v>617</v>
      </c>
      <c r="C16" s="13" t="s">
        <v>618</v>
      </c>
      <c r="D16" s="13" t="s">
        <v>254</v>
      </c>
      <c r="E16" s="13" t="s">
        <v>1367</v>
      </c>
      <c r="F16" s="13" t="s">
        <v>1314</v>
      </c>
      <c r="G16" s="25" t="s">
        <v>288</v>
      </c>
      <c r="H16" s="26" t="s">
        <v>246</v>
      </c>
      <c r="I16" s="26" t="s">
        <v>246</v>
      </c>
      <c r="J16" s="14"/>
      <c r="K16" s="31" t="str">
        <f>"52,5"</f>
        <v>52,5</v>
      </c>
      <c r="L16" s="14" t="str">
        <f>"65,5462"</f>
        <v>65,5462</v>
      </c>
      <c r="M16" s="13" t="s">
        <v>619</v>
      </c>
    </row>
    <row r="17" spans="1:13">
      <c r="B17" s="5" t="s">
        <v>125</v>
      </c>
    </row>
    <row r="18" spans="1:13" ht="16">
      <c r="A18" s="52" t="s">
        <v>281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3">
      <c r="A19" s="10" t="s">
        <v>124</v>
      </c>
      <c r="B19" s="9" t="s">
        <v>620</v>
      </c>
      <c r="C19" s="9" t="s">
        <v>621</v>
      </c>
      <c r="D19" s="9" t="s">
        <v>622</v>
      </c>
      <c r="E19" s="9" t="s">
        <v>1367</v>
      </c>
      <c r="F19" s="9" t="s">
        <v>1265</v>
      </c>
      <c r="G19" s="27" t="s">
        <v>247</v>
      </c>
      <c r="H19" s="27" t="s">
        <v>247</v>
      </c>
      <c r="I19" s="22" t="s">
        <v>267</v>
      </c>
      <c r="J19" s="10"/>
      <c r="K19" s="28" t="str">
        <f>"62,5"</f>
        <v>62,5</v>
      </c>
      <c r="L19" s="10" t="str">
        <f>"74,0563"</f>
        <v>74,0563</v>
      </c>
      <c r="M19" s="9" t="s">
        <v>139</v>
      </c>
    </row>
    <row r="20" spans="1:13">
      <c r="A20" s="12" t="s">
        <v>126</v>
      </c>
      <c r="B20" s="11" t="s">
        <v>285</v>
      </c>
      <c r="C20" s="11" t="s">
        <v>286</v>
      </c>
      <c r="D20" s="11" t="s">
        <v>287</v>
      </c>
      <c r="E20" s="11" t="s">
        <v>1367</v>
      </c>
      <c r="F20" s="11" t="s">
        <v>1265</v>
      </c>
      <c r="G20" s="24" t="s">
        <v>288</v>
      </c>
      <c r="H20" s="23" t="s">
        <v>246</v>
      </c>
      <c r="I20" s="24" t="s">
        <v>246</v>
      </c>
      <c r="J20" s="12"/>
      <c r="K20" s="32" t="str">
        <f>"55,0"</f>
        <v>55,0</v>
      </c>
      <c r="L20" s="12" t="str">
        <f>"65,0760"</f>
        <v>65,0760</v>
      </c>
      <c r="M20" s="11" t="s">
        <v>289</v>
      </c>
    </row>
    <row r="21" spans="1:13">
      <c r="A21" s="12" t="s">
        <v>127</v>
      </c>
      <c r="B21" s="11" t="s">
        <v>623</v>
      </c>
      <c r="C21" s="11" t="s">
        <v>624</v>
      </c>
      <c r="D21" s="11" t="s">
        <v>625</v>
      </c>
      <c r="E21" s="11" t="s">
        <v>1367</v>
      </c>
      <c r="F21" s="11" t="s">
        <v>1315</v>
      </c>
      <c r="G21" s="24" t="s">
        <v>248</v>
      </c>
      <c r="H21" s="24" t="s">
        <v>249</v>
      </c>
      <c r="I21" s="24" t="s">
        <v>608</v>
      </c>
      <c r="J21" s="12"/>
      <c r="K21" s="32" t="str">
        <f>"47,5"</f>
        <v>47,5</v>
      </c>
      <c r="L21" s="12" t="str">
        <f>"56,3635"</f>
        <v>56,3635</v>
      </c>
      <c r="M21" s="11" t="s">
        <v>445</v>
      </c>
    </row>
    <row r="22" spans="1:13">
      <c r="A22" s="14" t="s">
        <v>240</v>
      </c>
      <c r="B22" s="13" t="s">
        <v>626</v>
      </c>
      <c r="C22" s="13" t="s">
        <v>627</v>
      </c>
      <c r="D22" s="13" t="s">
        <v>628</v>
      </c>
      <c r="E22" s="13" t="s">
        <v>1367</v>
      </c>
      <c r="F22" s="13" t="s">
        <v>1265</v>
      </c>
      <c r="G22" s="25" t="s">
        <v>256</v>
      </c>
      <c r="H22" s="26" t="s">
        <v>249</v>
      </c>
      <c r="I22" s="26" t="s">
        <v>608</v>
      </c>
      <c r="J22" s="14"/>
      <c r="K22" s="31" t="str">
        <f>"42,5"</f>
        <v>42,5</v>
      </c>
      <c r="L22" s="14" t="str">
        <f>"51,5227"</f>
        <v>51,5227</v>
      </c>
      <c r="M22" s="13" t="s">
        <v>139</v>
      </c>
    </row>
    <row r="23" spans="1:13">
      <c r="B23" s="5" t="s">
        <v>125</v>
      </c>
    </row>
    <row r="24" spans="1:13" ht="16">
      <c r="A24" s="52" t="s">
        <v>298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13">
      <c r="A25" s="8" t="s">
        <v>124</v>
      </c>
      <c r="B25" s="7" t="s">
        <v>629</v>
      </c>
      <c r="C25" s="7" t="s">
        <v>630</v>
      </c>
      <c r="D25" s="7" t="s">
        <v>631</v>
      </c>
      <c r="E25" s="7" t="s">
        <v>1367</v>
      </c>
      <c r="F25" s="7" t="s">
        <v>1265</v>
      </c>
      <c r="G25" s="21" t="s">
        <v>288</v>
      </c>
      <c r="H25" s="20" t="s">
        <v>288</v>
      </c>
      <c r="I25" s="21" t="s">
        <v>266</v>
      </c>
      <c r="J25" s="8"/>
      <c r="K25" s="29" t="str">
        <f>"52,5"</f>
        <v>52,5</v>
      </c>
      <c r="L25" s="8" t="str">
        <f>"58,6057"</f>
        <v>58,6057</v>
      </c>
      <c r="M25" s="7" t="s">
        <v>1218</v>
      </c>
    </row>
    <row r="26" spans="1:13">
      <c r="B26" s="5" t="s">
        <v>125</v>
      </c>
    </row>
    <row r="27" spans="1:13" ht="16">
      <c r="A27" s="52" t="s">
        <v>162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3">
      <c r="A28" s="10" t="s">
        <v>124</v>
      </c>
      <c r="B28" s="9" t="s">
        <v>632</v>
      </c>
      <c r="C28" s="9" t="s">
        <v>633</v>
      </c>
      <c r="D28" s="9" t="s">
        <v>634</v>
      </c>
      <c r="E28" s="9" t="s">
        <v>1367</v>
      </c>
      <c r="F28" s="9" t="s">
        <v>1294</v>
      </c>
      <c r="G28" s="22" t="s">
        <v>134</v>
      </c>
      <c r="H28" s="22" t="s">
        <v>135</v>
      </c>
      <c r="I28" s="22" t="s">
        <v>29</v>
      </c>
      <c r="J28" s="10"/>
      <c r="K28" s="28" t="str">
        <f>"72,5"</f>
        <v>72,5</v>
      </c>
      <c r="L28" s="10" t="str">
        <f>"74,2328"</f>
        <v>74,2328</v>
      </c>
      <c r="M28" s="9" t="s">
        <v>454</v>
      </c>
    </row>
    <row r="29" spans="1:13">
      <c r="A29" s="12" t="s">
        <v>126</v>
      </c>
      <c r="B29" s="11" t="s">
        <v>326</v>
      </c>
      <c r="C29" s="11" t="s">
        <v>327</v>
      </c>
      <c r="D29" s="11" t="s">
        <v>328</v>
      </c>
      <c r="E29" s="11" t="s">
        <v>1367</v>
      </c>
      <c r="F29" s="11" t="s">
        <v>1277</v>
      </c>
      <c r="G29" s="24" t="s">
        <v>246</v>
      </c>
      <c r="H29" s="24" t="s">
        <v>266</v>
      </c>
      <c r="I29" s="23" t="s">
        <v>247</v>
      </c>
      <c r="J29" s="12"/>
      <c r="K29" s="32" t="str">
        <f>"57,5"</f>
        <v>57,5</v>
      </c>
      <c r="L29" s="12" t="str">
        <f>"58,7478"</f>
        <v>58,7478</v>
      </c>
      <c r="M29" s="11"/>
    </row>
    <row r="30" spans="1:13">
      <c r="A30" s="14" t="s">
        <v>128</v>
      </c>
      <c r="B30" s="13" t="s">
        <v>635</v>
      </c>
      <c r="C30" s="13" t="s">
        <v>636</v>
      </c>
      <c r="D30" s="13" t="s">
        <v>637</v>
      </c>
      <c r="E30" s="13" t="s">
        <v>1367</v>
      </c>
      <c r="F30" s="13" t="s">
        <v>1265</v>
      </c>
      <c r="G30" s="26" t="s">
        <v>247</v>
      </c>
      <c r="H30" s="26" t="s">
        <v>247</v>
      </c>
      <c r="I30" s="26" t="s">
        <v>247</v>
      </c>
      <c r="J30" s="14"/>
      <c r="K30" s="31" t="str">
        <f>"0.00"</f>
        <v>0.00</v>
      </c>
      <c r="L30" s="14" t="str">
        <f>"0,0000"</f>
        <v>0,0000</v>
      </c>
      <c r="M30" s="13"/>
    </row>
    <row r="31" spans="1:13">
      <c r="B31" s="5" t="s">
        <v>125</v>
      </c>
    </row>
    <row r="32" spans="1:13" ht="16">
      <c r="A32" s="52" t="s">
        <v>10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3">
      <c r="A33" s="8" t="s">
        <v>124</v>
      </c>
      <c r="B33" s="7" t="s">
        <v>638</v>
      </c>
      <c r="C33" s="7" t="s">
        <v>639</v>
      </c>
      <c r="D33" s="7" t="s">
        <v>640</v>
      </c>
      <c r="E33" s="7" t="s">
        <v>1367</v>
      </c>
      <c r="F33" s="7" t="s">
        <v>1273</v>
      </c>
      <c r="G33" s="20" t="s">
        <v>608</v>
      </c>
      <c r="H33" s="20" t="s">
        <v>288</v>
      </c>
      <c r="I33" s="21" t="s">
        <v>266</v>
      </c>
      <c r="J33" s="8"/>
      <c r="K33" s="29" t="str">
        <f>"52,5"</f>
        <v>52,5</v>
      </c>
      <c r="L33" s="8" t="str">
        <f>"51,1455"</f>
        <v>51,1455</v>
      </c>
      <c r="M33" s="7" t="s">
        <v>1219</v>
      </c>
    </row>
    <row r="34" spans="1:13">
      <c r="B34" s="5" t="s">
        <v>125</v>
      </c>
    </row>
    <row r="35" spans="1:13" ht="16">
      <c r="A35" s="52" t="s">
        <v>22</v>
      </c>
      <c r="B35" s="52"/>
      <c r="C35" s="52"/>
      <c r="D35" s="52"/>
      <c r="E35" s="52"/>
      <c r="F35" s="52"/>
      <c r="G35" s="52"/>
      <c r="H35" s="52"/>
      <c r="I35" s="52"/>
      <c r="J35" s="52"/>
    </row>
    <row r="36" spans="1:13">
      <c r="A36" s="8" t="s">
        <v>124</v>
      </c>
      <c r="B36" s="7" t="s">
        <v>641</v>
      </c>
      <c r="C36" s="7" t="s">
        <v>642</v>
      </c>
      <c r="D36" s="7" t="s">
        <v>643</v>
      </c>
      <c r="E36" s="7" t="s">
        <v>1367</v>
      </c>
      <c r="F36" s="7" t="s">
        <v>1316</v>
      </c>
      <c r="G36" s="20" t="s">
        <v>17</v>
      </c>
      <c r="H36" s="21" t="s">
        <v>18</v>
      </c>
      <c r="I36" s="20" t="s">
        <v>19</v>
      </c>
      <c r="J36" s="8"/>
      <c r="K36" s="29" t="str">
        <f>"87,5"</f>
        <v>87,5</v>
      </c>
      <c r="L36" s="8" t="str">
        <f>"79,2050"</f>
        <v>79,2050</v>
      </c>
      <c r="M36" s="7"/>
    </row>
    <row r="37" spans="1:13">
      <c r="B37" s="5" t="s">
        <v>125</v>
      </c>
    </row>
    <row r="38" spans="1:13" ht="16">
      <c r="A38" s="52" t="s">
        <v>32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3">
      <c r="A39" s="8" t="s">
        <v>124</v>
      </c>
      <c r="B39" s="7" t="s">
        <v>644</v>
      </c>
      <c r="C39" s="7" t="s">
        <v>645</v>
      </c>
      <c r="D39" s="7" t="s">
        <v>646</v>
      </c>
      <c r="E39" s="7" t="s">
        <v>1370</v>
      </c>
      <c r="F39" s="7" t="s">
        <v>1314</v>
      </c>
      <c r="G39" s="20" t="s">
        <v>18</v>
      </c>
      <c r="H39" s="20" t="s">
        <v>19</v>
      </c>
      <c r="I39" s="20" t="s">
        <v>250</v>
      </c>
      <c r="J39" s="8"/>
      <c r="K39" s="29" t="str">
        <f>"90,0"</f>
        <v>90,0</v>
      </c>
      <c r="L39" s="8" t="str">
        <f>"79,4340"</f>
        <v>79,4340</v>
      </c>
      <c r="M39" s="7"/>
    </row>
    <row r="40" spans="1:13">
      <c r="B40" s="5" t="s">
        <v>125</v>
      </c>
    </row>
    <row r="41" spans="1:13" ht="16">
      <c r="A41" s="52" t="s">
        <v>647</v>
      </c>
      <c r="B41" s="52"/>
      <c r="C41" s="52"/>
      <c r="D41" s="52"/>
      <c r="E41" s="52"/>
      <c r="F41" s="52"/>
      <c r="G41" s="52"/>
      <c r="H41" s="52"/>
      <c r="I41" s="52"/>
      <c r="J41" s="52"/>
    </row>
    <row r="42" spans="1:13">
      <c r="A42" s="8" t="s">
        <v>124</v>
      </c>
      <c r="B42" s="7" t="s">
        <v>648</v>
      </c>
      <c r="C42" s="7" t="s">
        <v>649</v>
      </c>
      <c r="D42" s="7" t="s">
        <v>650</v>
      </c>
      <c r="E42" s="7" t="s">
        <v>1370</v>
      </c>
      <c r="F42" s="7" t="s">
        <v>1265</v>
      </c>
      <c r="G42" s="20" t="s">
        <v>135</v>
      </c>
      <c r="H42" s="20" t="s">
        <v>279</v>
      </c>
      <c r="I42" s="21" t="s">
        <v>17</v>
      </c>
      <c r="J42" s="8"/>
      <c r="K42" s="29" t="str">
        <f>"75,0"</f>
        <v>75,0</v>
      </c>
      <c r="L42" s="8" t="str">
        <f>"60,8352"</f>
        <v>60,8352</v>
      </c>
      <c r="M42" s="7" t="s">
        <v>1220</v>
      </c>
    </row>
    <row r="43" spans="1:13">
      <c r="B43" s="5" t="s">
        <v>125</v>
      </c>
    </row>
    <row r="44" spans="1:13" ht="16">
      <c r="A44" s="52" t="s">
        <v>251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3">
      <c r="A45" s="10" t="s">
        <v>124</v>
      </c>
      <c r="B45" s="9" t="s">
        <v>651</v>
      </c>
      <c r="C45" s="9" t="s">
        <v>652</v>
      </c>
      <c r="D45" s="9" t="s">
        <v>653</v>
      </c>
      <c r="E45" s="9" t="s">
        <v>1374</v>
      </c>
      <c r="F45" s="9" t="s">
        <v>1308</v>
      </c>
      <c r="G45" s="22" t="s">
        <v>277</v>
      </c>
      <c r="H45" s="22" t="s">
        <v>256</v>
      </c>
      <c r="I45" s="27" t="s">
        <v>249</v>
      </c>
      <c r="J45" s="10"/>
      <c r="K45" s="28" t="str">
        <f>"42,5"</f>
        <v>42,5</v>
      </c>
      <c r="L45" s="10" t="str">
        <f>"50,6218"</f>
        <v>50,6218</v>
      </c>
      <c r="M45" s="9" t="s">
        <v>654</v>
      </c>
    </row>
    <row r="46" spans="1:13">
      <c r="A46" s="14" t="s">
        <v>126</v>
      </c>
      <c r="B46" s="13" t="s">
        <v>655</v>
      </c>
      <c r="C46" s="13" t="s">
        <v>656</v>
      </c>
      <c r="D46" s="13" t="s">
        <v>657</v>
      </c>
      <c r="E46" s="13" t="s">
        <v>1374</v>
      </c>
      <c r="F46" s="13" t="s">
        <v>1265</v>
      </c>
      <c r="G46" s="25" t="s">
        <v>658</v>
      </c>
      <c r="H46" s="25" t="s">
        <v>659</v>
      </c>
      <c r="I46" s="25" t="s">
        <v>660</v>
      </c>
      <c r="J46" s="14"/>
      <c r="K46" s="31" t="str">
        <f>"25,0"</f>
        <v>25,0</v>
      </c>
      <c r="L46" s="14" t="str">
        <f>"24,9875"</f>
        <v>24,9875</v>
      </c>
      <c r="M46" s="13"/>
    </row>
    <row r="47" spans="1:13">
      <c r="B47" s="5" t="s">
        <v>125</v>
      </c>
    </row>
    <row r="48" spans="1:13" ht="16">
      <c r="A48" s="52" t="s">
        <v>281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3">
      <c r="A49" s="8" t="s">
        <v>124</v>
      </c>
      <c r="B49" s="7" t="s">
        <v>661</v>
      </c>
      <c r="C49" s="7" t="s">
        <v>662</v>
      </c>
      <c r="D49" s="7" t="s">
        <v>663</v>
      </c>
      <c r="E49" s="7" t="s">
        <v>1374</v>
      </c>
      <c r="F49" s="7" t="s">
        <v>1317</v>
      </c>
      <c r="G49" s="20" t="s">
        <v>246</v>
      </c>
      <c r="H49" s="20" t="s">
        <v>266</v>
      </c>
      <c r="I49" s="21" t="s">
        <v>247</v>
      </c>
      <c r="J49" s="8"/>
      <c r="K49" s="29" t="str">
        <f>"57,5"</f>
        <v>57,5</v>
      </c>
      <c r="L49" s="8" t="str">
        <f>"54,0730"</f>
        <v>54,0730</v>
      </c>
      <c r="M49" s="7" t="s">
        <v>664</v>
      </c>
    </row>
    <row r="50" spans="1:13">
      <c r="B50" s="5" t="s">
        <v>125</v>
      </c>
    </row>
    <row r="51" spans="1:13" ht="16">
      <c r="A51" s="52" t="s">
        <v>298</v>
      </c>
      <c r="B51" s="52"/>
      <c r="C51" s="52"/>
      <c r="D51" s="52"/>
      <c r="E51" s="52"/>
      <c r="F51" s="52"/>
      <c r="G51" s="52"/>
      <c r="H51" s="52"/>
      <c r="I51" s="52"/>
      <c r="J51" s="52"/>
    </row>
    <row r="52" spans="1:13">
      <c r="A52" s="10" t="s">
        <v>124</v>
      </c>
      <c r="B52" s="9" t="s">
        <v>665</v>
      </c>
      <c r="C52" s="9" t="s">
        <v>666</v>
      </c>
      <c r="D52" s="9" t="s">
        <v>631</v>
      </c>
      <c r="E52" s="9" t="s">
        <v>1374</v>
      </c>
      <c r="F52" s="9" t="s">
        <v>1317</v>
      </c>
      <c r="G52" s="22" t="s">
        <v>18</v>
      </c>
      <c r="H52" s="27" t="s">
        <v>19</v>
      </c>
      <c r="I52" s="27" t="s">
        <v>19</v>
      </c>
      <c r="J52" s="10"/>
      <c r="K52" s="28" t="str">
        <f>"85,0"</f>
        <v>85,0</v>
      </c>
      <c r="L52" s="10" t="str">
        <f>"72,6070"</f>
        <v>72,6070</v>
      </c>
      <c r="M52" s="9" t="s">
        <v>664</v>
      </c>
    </row>
    <row r="53" spans="1:13">
      <c r="A53" s="14" t="s">
        <v>124</v>
      </c>
      <c r="B53" s="13" t="s">
        <v>667</v>
      </c>
      <c r="C53" s="13" t="s">
        <v>668</v>
      </c>
      <c r="D53" s="13" t="s">
        <v>669</v>
      </c>
      <c r="E53" s="13" t="s">
        <v>1368</v>
      </c>
      <c r="F53" s="13" t="s">
        <v>1296</v>
      </c>
      <c r="G53" s="25" t="s">
        <v>138</v>
      </c>
      <c r="H53" s="25" t="s">
        <v>272</v>
      </c>
      <c r="I53" s="25" t="s">
        <v>143</v>
      </c>
      <c r="J53" s="14"/>
      <c r="K53" s="31" t="str">
        <f>"117,5"</f>
        <v>117,5</v>
      </c>
      <c r="L53" s="14" t="str">
        <f>"100,9795"</f>
        <v>100,9795</v>
      </c>
      <c r="M53" s="13" t="s">
        <v>670</v>
      </c>
    </row>
    <row r="54" spans="1:13">
      <c r="B54" s="5" t="s">
        <v>125</v>
      </c>
    </row>
    <row r="55" spans="1:13" ht="16">
      <c r="A55" s="52" t="s">
        <v>162</v>
      </c>
      <c r="B55" s="52"/>
      <c r="C55" s="52"/>
      <c r="D55" s="52"/>
      <c r="E55" s="52"/>
      <c r="F55" s="52"/>
      <c r="G55" s="52"/>
      <c r="H55" s="52"/>
      <c r="I55" s="52"/>
      <c r="J55" s="52"/>
    </row>
    <row r="56" spans="1:13">
      <c r="A56" s="10" t="s">
        <v>124</v>
      </c>
      <c r="B56" s="9" t="s">
        <v>671</v>
      </c>
      <c r="C56" s="9" t="s">
        <v>672</v>
      </c>
      <c r="D56" s="9" t="s">
        <v>673</v>
      </c>
      <c r="E56" s="9" t="s">
        <v>1374</v>
      </c>
      <c r="F56" s="9" t="s">
        <v>1265</v>
      </c>
      <c r="G56" s="22" t="s">
        <v>17</v>
      </c>
      <c r="H56" s="22" t="s">
        <v>19</v>
      </c>
      <c r="I56" s="22" t="s">
        <v>169</v>
      </c>
      <c r="J56" s="10"/>
      <c r="K56" s="28" t="str">
        <f>"92,5"</f>
        <v>92,5</v>
      </c>
      <c r="L56" s="10" t="str">
        <f>"71,6597"</f>
        <v>71,6597</v>
      </c>
      <c r="M56" s="9" t="s">
        <v>1221</v>
      </c>
    </row>
    <row r="57" spans="1:13">
      <c r="A57" s="12" t="s">
        <v>126</v>
      </c>
      <c r="B57" s="11" t="s">
        <v>674</v>
      </c>
      <c r="C57" s="11" t="s">
        <v>675</v>
      </c>
      <c r="D57" s="11" t="s">
        <v>676</v>
      </c>
      <c r="E57" s="11" t="s">
        <v>1374</v>
      </c>
      <c r="F57" s="11" t="s">
        <v>1318</v>
      </c>
      <c r="G57" s="23" t="s">
        <v>343</v>
      </c>
      <c r="H57" s="24" t="s">
        <v>343</v>
      </c>
      <c r="I57" s="24" t="s">
        <v>255</v>
      </c>
      <c r="J57" s="12"/>
      <c r="K57" s="32" t="str">
        <f>"82,5"</f>
        <v>82,5</v>
      </c>
      <c r="L57" s="12" t="str">
        <f>"65,8598"</f>
        <v>65,8598</v>
      </c>
      <c r="M57" s="11" t="s">
        <v>677</v>
      </c>
    </row>
    <row r="58" spans="1:13">
      <c r="A58" s="12" t="s">
        <v>124</v>
      </c>
      <c r="B58" s="11" t="s">
        <v>678</v>
      </c>
      <c r="C58" s="11" t="s">
        <v>679</v>
      </c>
      <c r="D58" s="11" t="s">
        <v>680</v>
      </c>
      <c r="E58" s="11" t="s">
        <v>1368</v>
      </c>
      <c r="F58" s="11" t="s">
        <v>1319</v>
      </c>
      <c r="G58" s="24" t="s">
        <v>136</v>
      </c>
      <c r="H58" s="23" t="s">
        <v>137</v>
      </c>
      <c r="I58" s="24" t="s">
        <v>137</v>
      </c>
      <c r="J58" s="12"/>
      <c r="K58" s="32" t="str">
        <f>"105,0"</f>
        <v>105,0</v>
      </c>
      <c r="L58" s="12" t="str">
        <f>"81,9420"</f>
        <v>81,9420</v>
      </c>
      <c r="M58" s="11"/>
    </row>
    <row r="59" spans="1:13">
      <c r="A59" s="12" t="s">
        <v>126</v>
      </c>
      <c r="B59" s="11" t="s">
        <v>681</v>
      </c>
      <c r="C59" s="11" t="s">
        <v>682</v>
      </c>
      <c r="D59" s="11" t="s">
        <v>683</v>
      </c>
      <c r="E59" s="11" t="s">
        <v>1368</v>
      </c>
      <c r="F59" s="11" t="s">
        <v>1318</v>
      </c>
      <c r="G59" s="24" t="s">
        <v>250</v>
      </c>
      <c r="H59" s="24" t="s">
        <v>149</v>
      </c>
      <c r="I59" s="24" t="s">
        <v>136</v>
      </c>
      <c r="J59" s="12"/>
      <c r="K59" s="32" t="str">
        <f>"100,0"</f>
        <v>100,0</v>
      </c>
      <c r="L59" s="12" t="str">
        <f>"79,1100"</f>
        <v>79,1100</v>
      </c>
      <c r="M59" s="11" t="s">
        <v>677</v>
      </c>
    </row>
    <row r="60" spans="1:13">
      <c r="A60" s="12" t="s">
        <v>124</v>
      </c>
      <c r="B60" s="11" t="s">
        <v>684</v>
      </c>
      <c r="C60" s="11" t="s">
        <v>685</v>
      </c>
      <c r="D60" s="11" t="s">
        <v>686</v>
      </c>
      <c r="E60" s="11" t="s">
        <v>1369</v>
      </c>
      <c r="F60" s="11" t="s">
        <v>1320</v>
      </c>
      <c r="G60" s="24" t="s">
        <v>57</v>
      </c>
      <c r="H60" s="24" t="s">
        <v>58</v>
      </c>
      <c r="I60" s="24" t="s">
        <v>159</v>
      </c>
      <c r="J60" s="23" t="s">
        <v>50</v>
      </c>
      <c r="K60" s="32" t="str">
        <f>"142,5"</f>
        <v>142,5</v>
      </c>
      <c r="L60" s="12" t="str">
        <f>"112,0335"</f>
        <v>112,0335</v>
      </c>
      <c r="M60" s="11" t="s">
        <v>311</v>
      </c>
    </row>
    <row r="61" spans="1:13">
      <c r="A61" s="12" t="s">
        <v>126</v>
      </c>
      <c r="B61" s="11" t="s">
        <v>687</v>
      </c>
      <c r="C61" s="11" t="s">
        <v>688</v>
      </c>
      <c r="D61" s="11" t="s">
        <v>683</v>
      </c>
      <c r="E61" s="11" t="s">
        <v>1369</v>
      </c>
      <c r="F61" s="11" t="s">
        <v>1321</v>
      </c>
      <c r="G61" s="24" t="s">
        <v>166</v>
      </c>
      <c r="H61" s="24" t="s">
        <v>294</v>
      </c>
      <c r="I61" s="24" t="s">
        <v>57</v>
      </c>
      <c r="J61" s="12"/>
      <c r="K61" s="32" t="str">
        <f>"130,0"</f>
        <v>130,0</v>
      </c>
      <c r="L61" s="12" t="str">
        <f>"102,8430"</f>
        <v>102,8430</v>
      </c>
      <c r="M61" s="11"/>
    </row>
    <row r="62" spans="1:13">
      <c r="A62" s="14" t="s">
        <v>124</v>
      </c>
      <c r="B62" s="13" t="s">
        <v>689</v>
      </c>
      <c r="C62" s="13" t="s">
        <v>690</v>
      </c>
      <c r="D62" s="13" t="s">
        <v>691</v>
      </c>
      <c r="E62" s="13" t="s">
        <v>1367</v>
      </c>
      <c r="F62" s="13" t="s">
        <v>1322</v>
      </c>
      <c r="G62" s="26" t="s">
        <v>265</v>
      </c>
      <c r="H62" s="25" t="s">
        <v>294</v>
      </c>
      <c r="I62" s="26" t="s">
        <v>168</v>
      </c>
      <c r="J62" s="14"/>
      <c r="K62" s="31" t="str">
        <f>"125,0"</f>
        <v>125,0</v>
      </c>
      <c r="L62" s="14" t="str">
        <f>"99,4000"</f>
        <v>99,4000</v>
      </c>
      <c r="M62" s="13"/>
    </row>
    <row r="63" spans="1:13">
      <c r="B63" s="5" t="s">
        <v>125</v>
      </c>
    </row>
    <row r="64" spans="1:13" ht="16">
      <c r="A64" s="52" t="s">
        <v>10</v>
      </c>
      <c r="B64" s="52"/>
      <c r="C64" s="52"/>
      <c r="D64" s="52"/>
      <c r="E64" s="52"/>
      <c r="F64" s="52"/>
      <c r="G64" s="52"/>
      <c r="H64" s="52"/>
      <c r="I64" s="52"/>
      <c r="J64" s="52"/>
    </row>
    <row r="65" spans="1:13">
      <c r="A65" s="10" t="s">
        <v>124</v>
      </c>
      <c r="B65" s="9" t="s">
        <v>692</v>
      </c>
      <c r="C65" s="9" t="s">
        <v>693</v>
      </c>
      <c r="D65" s="9" t="s">
        <v>356</v>
      </c>
      <c r="E65" s="9" t="s">
        <v>1374</v>
      </c>
      <c r="F65" s="9" t="s">
        <v>1274</v>
      </c>
      <c r="G65" s="22" t="s">
        <v>247</v>
      </c>
      <c r="H65" s="27" t="s">
        <v>135</v>
      </c>
      <c r="I65" s="27" t="s">
        <v>135</v>
      </c>
      <c r="J65" s="10"/>
      <c r="K65" s="28" t="str">
        <f>"60,0"</f>
        <v>60,0</v>
      </c>
      <c r="L65" s="10" t="str">
        <f>"43,8000"</f>
        <v>43,8000</v>
      </c>
      <c r="M65" s="9" t="s">
        <v>311</v>
      </c>
    </row>
    <row r="66" spans="1:13">
      <c r="A66" s="12" t="s">
        <v>124</v>
      </c>
      <c r="B66" s="11" t="s">
        <v>694</v>
      </c>
      <c r="C66" s="11" t="s">
        <v>695</v>
      </c>
      <c r="D66" s="11" t="s">
        <v>696</v>
      </c>
      <c r="E66" s="11" t="s">
        <v>1368</v>
      </c>
      <c r="F66" s="11" t="s">
        <v>1318</v>
      </c>
      <c r="G66" s="24" t="s">
        <v>136</v>
      </c>
      <c r="H66" s="24" t="s">
        <v>137</v>
      </c>
      <c r="I66" s="23" t="s">
        <v>138</v>
      </c>
      <c r="J66" s="12"/>
      <c r="K66" s="32" t="str">
        <f>"105,0"</f>
        <v>105,0</v>
      </c>
      <c r="L66" s="12" t="str">
        <f>"75,3795"</f>
        <v>75,3795</v>
      </c>
      <c r="M66" s="11" t="s">
        <v>677</v>
      </c>
    </row>
    <row r="67" spans="1:13">
      <c r="A67" s="12" t="s">
        <v>124</v>
      </c>
      <c r="B67" s="11" t="s">
        <v>697</v>
      </c>
      <c r="C67" s="11" t="s">
        <v>698</v>
      </c>
      <c r="D67" s="11" t="s">
        <v>699</v>
      </c>
      <c r="E67" s="11" t="s">
        <v>1367</v>
      </c>
      <c r="F67" s="11" t="s">
        <v>1265</v>
      </c>
      <c r="G67" s="24" t="s">
        <v>154</v>
      </c>
      <c r="H67" s="24" t="s">
        <v>147</v>
      </c>
      <c r="I67" s="24" t="s">
        <v>217</v>
      </c>
      <c r="J67" s="12"/>
      <c r="K67" s="32" t="str">
        <f>"157,5"</f>
        <v>157,5</v>
      </c>
      <c r="L67" s="12" t="str">
        <f>"113,5103"</f>
        <v>113,5103</v>
      </c>
      <c r="M67" s="11"/>
    </row>
    <row r="68" spans="1:13">
      <c r="A68" s="12" t="s">
        <v>126</v>
      </c>
      <c r="B68" s="11" t="s">
        <v>700</v>
      </c>
      <c r="C68" s="11" t="s">
        <v>701</v>
      </c>
      <c r="D68" s="11" t="s">
        <v>142</v>
      </c>
      <c r="E68" s="11" t="s">
        <v>1367</v>
      </c>
      <c r="F68" s="11" t="s">
        <v>1265</v>
      </c>
      <c r="G68" s="24" t="s">
        <v>166</v>
      </c>
      <c r="H68" s="24" t="s">
        <v>57</v>
      </c>
      <c r="I68" s="24" t="s">
        <v>132</v>
      </c>
      <c r="J68" s="12"/>
      <c r="K68" s="32" t="str">
        <f>"135,0"</f>
        <v>135,0</v>
      </c>
      <c r="L68" s="12" t="str">
        <f>"97,8615"</f>
        <v>97,8615</v>
      </c>
      <c r="M68" s="11" t="s">
        <v>702</v>
      </c>
    </row>
    <row r="69" spans="1:13">
      <c r="A69" s="12" t="s">
        <v>127</v>
      </c>
      <c r="B69" s="11" t="s">
        <v>703</v>
      </c>
      <c r="C69" s="11" t="s">
        <v>704</v>
      </c>
      <c r="D69" s="11" t="s">
        <v>705</v>
      </c>
      <c r="E69" s="11" t="s">
        <v>1367</v>
      </c>
      <c r="F69" s="11" t="s">
        <v>1265</v>
      </c>
      <c r="G69" s="24" t="s">
        <v>57</v>
      </c>
      <c r="H69" s="24" t="s">
        <v>132</v>
      </c>
      <c r="I69" s="23" t="s">
        <v>58</v>
      </c>
      <c r="J69" s="12"/>
      <c r="K69" s="32" t="str">
        <f>"135,0"</f>
        <v>135,0</v>
      </c>
      <c r="L69" s="12" t="str">
        <f>"96,6465"</f>
        <v>96,6465</v>
      </c>
      <c r="M69" s="11" t="s">
        <v>706</v>
      </c>
    </row>
    <row r="70" spans="1:13">
      <c r="A70" s="12" t="s">
        <v>240</v>
      </c>
      <c r="B70" s="11" t="s">
        <v>707</v>
      </c>
      <c r="C70" s="11" t="s">
        <v>708</v>
      </c>
      <c r="D70" s="11" t="s">
        <v>705</v>
      </c>
      <c r="E70" s="11" t="s">
        <v>1367</v>
      </c>
      <c r="F70" s="11" t="s">
        <v>1265</v>
      </c>
      <c r="G70" s="24" t="s">
        <v>143</v>
      </c>
      <c r="H70" s="24" t="s">
        <v>166</v>
      </c>
      <c r="I70" s="23" t="s">
        <v>167</v>
      </c>
      <c r="J70" s="12"/>
      <c r="K70" s="32" t="str">
        <f>"120,0"</f>
        <v>120,0</v>
      </c>
      <c r="L70" s="12" t="str">
        <f>"85,9080"</f>
        <v>85,9080</v>
      </c>
      <c r="M70" s="11"/>
    </row>
    <row r="71" spans="1:13">
      <c r="A71" s="12" t="s">
        <v>241</v>
      </c>
      <c r="B71" s="11" t="s">
        <v>709</v>
      </c>
      <c r="C71" s="11" t="s">
        <v>710</v>
      </c>
      <c r="D71" s="11" t="s">
        <v>711</v>
      </c>
      <c r="E71" s="11" t="s">
        <v>1367</v>
      </c>
      <c r="F71" s="11" t="s">
        <v>1265</v>
      </c>
      <c r="G71" s="24" t="s">
        <v>143</v>
      </c>
      <c r="H71" s="23" t="s">
        <v>167</v>
      </c>
      <c r="I71" s="23" t="s">
        <v>167</v>
      </c>
      <c r="J71" s="12"/>
      <c r="K71" s="32" t="str">
        <f>"117,5"</f>
        <v>117,5</v>
      </c>
      <c r="L71" s="12" t="str">
        <f>"86,9265"</f>
        <v>86,9265</v>
      </c>
      <c r="M71" s="11" t="s">
        <v>1222</v>
      </c>
    </row>
    <row r="72" spans="1:13">
      <c r="A72" s="14" t="s">
        <v>492</v>
      </c>
      <c r="B72" s="13" t="s">
        <v>712</v>
      </c>
      <c r="C72" s="13" t="s">
        <v>713</v>
      </c>
      <c r="D72" s="13" t="s">
        <v>349</v>
      </c>
      <c r="E72" s="13" t="s">
        <v>1367</v>
      </c>
      <c r="F72" s="13" t="s">
        <v>1272</v>
      </c>
      <c r="G72" s="25" t="s">
        <v>138</v>
      </c>
      <c r="H72" s="26" t="s">
        <v>143</v>
      </c>
      <c r="I72" s="25" t="s">
        <v>143</v>
      </c>
      <c r="J72" s="14"/>
      <c r="K72" s="31" t="str">
        <f>"117,5"</f>
        <v>117,5</v>
      </c>
      <c r="L72" s="14" t="str">
        <f>"84,9290"</f>
        <v>84,9290</v>
      </c>
      <c r="M72" s="13" t="s">
        <v>1223</v>
      </c>
    </row>
    <row r="73" spans="1:13">
      <c r="B73" s="5" t="s">
        <v>125</v>
      </c>
    </row>
    <row r="74" spans="1:13" ht="16">
      <c r="A74" s="52" t="s">
        <v>22</v>
      </c>
      <c r="B74" s="52"/>
      <c r="C74" s="52"/>
      <c r="D74" s="52"/>
      <c r="E74" s="52"/>
      <c r="F74" s="52"/>
      <c r="G74" s="52"/>
      <c r="H74" s="52"/>
      <c r="I74" s="52"/>
      <c r="J74" s="52"/>
    </row>
    <row r="75" spans="1:13">
      <c r="A75" s="10" t="s">
        <v>124</v>
      </c>
      <c r="B75" s="9" t="s">
        <v>714</v>
      </c>
      <c r="C75" s="9" t="s">
        <v>715</v>
      </c>
      <c r="D75" s="9" t="s">
        <v>716</v>
      </c>
      <c r="E75" s="9" t="s">
        <v>1374</v>
      </c>
      <c r="F75" s="9" t="s">
        <v>1323</v>
      </c>
      <c r="G75" s="22" t="s">
        <v>279</v>
      </c>
      <c r="H75" s="22" t="s">
        <v>343</v>
      </c>
      <c r="I75" s="22" t="s">
        <v>17</v>
      </c>
      <c r="J75" s="10"/>
      <c r="K75" s="28" t="str">
        <f>"80,0"</f>
        <v>80,0</v>
      </c>
      <c r="L75" s="10" t="str">
        <f>"55,9440"</f>
        <v>55,9440</v>
      </c>
      <c r="M75" s="9" t="s">
        <v>670</v>
      </c>
    </row>
    <row r="76" spans="1:13">
      <c r="A76" s="12" t="s">
        <v>126</v>
      </c>
      <c r="B76" s="11" t="s">
        <v>717</v>
      </c>
      <c r="C76" s="11" t="s">
        <v>718</v>
      </c>
      <c r="D76" s="11" t="s">
        <v>719</v>
      </c>
      <c r="E76" s="11" t="s">
        <v>1374</v>
      </c>
      <c r="F76" s="11" t="s">
        <v>1274</v>
      </c>
      <c r="G76" s="24" t="s">
        <v>247</v>
      </c>
      <c r="H76" s="24" t="s">
        <v>134</v>
      </c>
      <c r="I76" s="23" t="s">
        <v>135</v>
      </c>
      <c r="J76" s="12"/>
      <c r="K76" s="32" t="str">
        <f>"65,0"</f>
        <v>65,0</v>
      </c>
      <c r="L76" s="12" t="str">
        <f>"44,6225"</f>
        <v>44,6225</v>
      </c>
      <c r="M76" s="11" t="s">
        <v>311</v>
      </c>
    </row>
    <row r="77" spans="1:13">
      <c r="A77" s="12" t="s">
        <v>124</v>
      </c>
      <c r="B77" s="11" t="s">
        <v>720</v>
      </c>
      <c r="C77" s="11" t="s">
        <v>721</v>
      </c>
      <c r="D77" s="11" t="s">
        <v>643</v>
      </c>
      <c r="E77" s="11" t="s">
        <v>1369</v>
      </c>
      <c r="F77" s="11" t="s">
        <v>722</v>
      </c>
      <c r="G77" s="24" t="s">
        <v>132</v>
      </c>
      <c r="H77" s="24" t="s">
        <v>58</v>
      </c>
      <c r="I77" s="24" t="s">
        <v>50</v>
      </c>
      <c r="J77" s="12"/>
      <c r="K77" s="32" t="str">
        <f>"145,0"</f>
        <v>145,0</v>
      </c>
      <c r="L77" s="12" t="str">
        <f>"97,7880"</f>
        <v>97,7880</v>
      </c>
      <c r="M77" s="11" t="s">
        <v>723</v>
      </c>
    </row>
    <row r="78" spans="1:13">
      <c r="A78" s="12" t="s">
        <v>126</v>
      </c>
      <c r="B78" s="11" t="s">
        <v>724</v>
      </c>
      <c r="C78" s="11" t="s">
        <v>725</v>
      </c>
      <c r="D78" s="11" t="s">
        <v>726</v>
      </c>
      <c r="E78" s="11" t="s">
        <v>1369</v>
      </c>
      <c r="F78" s="11" t="s">
        <v>1309</v>
      </c>
      <c r="G78" s="24" t="s">
        <v>137</v>
      </c>
      <c r="H78" s="24" t="s">
        <v>272</v>
      </c>
      <c r="I78" s="24" t="s">
        <v>166</v>
      </c>
      <c r="J78" s="12"/>
      <c r="K78" s="32" t="str">
        <f>"120,0"</f>
        <v>120,0</v>
      </c>
      <c r="L78" s="12" t="str">
        <f>"81,7320"</f>
        <v>81,7320</v>
      </c>
      <c r="M78" s="11"/>
    </row>
    <row r="79" spans="1:13">
      <c r="A79" s="12" t="s">
        <v>124</v>
      </c>
      <c r="B79" s="11" t="s">
        <v>727</v>
      </c>
      <c r="C79" s="11" t="s">
        <v>728</v>
      </c>
      <c r="D79" s="11" t="s">
        <v>729</v>
      </c>
      <c r="E79" s="11" t="s">
        <v>1367</v>
      </c>
      <c r="F79" s="11" t="s">
        <v>1324</v>
      </c>
      <c r="G79" s="24" t="s">
        <v>99</v>
      </c>
      <c r="H79" s="24" t="s">
        <v>30</v>
      </c>
      <c r="I79" s="23" t="s">
        <v>538</v>
      </c>
      <c r="J79" s="12"/>
      <c r="K79" s="32" t="str">
        <f>"185,0"</f>
        <v>185,0</v>
      </c>
      <c r="L79" s="12" t="str">
        <f>"124,4865"</f>
        <v>124,4865</v>
      </c>
      <c r="M79" s="11"/>
    </row>
    <row r="80" spans="1:13">
      <c r="A80" s="12" t="s">
        <v>126</v>
      </c>
      <c r="B80" s="11" t="s">
        <v>730</v>
      </c>
      <c r="C80" s="11" t="s">
        <v>731</v>
      </c>
      <c r="D80" s="11" t="s">
        <v>729</v>
      </c>
      <c r="E80" s="11" t="s">
        <v>1367</v>
      </c>
      <c r="F80" s="11" t="s">
        <v>1325</v>
      </c>
      <c r="G80" s="24" t="s">
        <v>147</v>
      </c>
      <c r="H80" s="24" t="s">
        <v>81</v>
      </c>
      <c r="I80" s="23" t="s">
        <v>382</v>
      </c>
      <c r="J80" s="12"/>
      <c r="K80" s="32" t="str">
        <f>"162,5"</f>
        <v>162,5</v>
      </c>
      <c r="L80" s="12" t="str">
        <f>"109,3463"</f>
        <v>109,3463</v>
      </c>
      <c r="M80" s="11"/>
    </row>
    <row r="81" spans="1:13">
      <c r="A81" s="12" t="s">
        <v>127</v>
      </c>
      <c r="B81" s="11" t="s">
        <v>732</v>
      </c>
      <c r="C81" s="11" t="s">
        <v>733</v>
      </c>
      <c r="D81" s="11" t="s">
        <v>734</v>
      </c>
      <c r="E81" s="11" t="s">
        <v>1367</v>
      </c>
      <c r="F81" s="11" t="s">
        <v>1326</v>
      </c>
      <c r="G81" s="24" t="s">
        <v>133</v>
      </c>
      <c r="H81" s="24" t="s">
        <v>50</v>
      </c>
      <c r="I81" s="23" t="s">
        <v>26</v>
      </c>
      <c r="J81" s="12"/>
      <c r="K81" s="32" t="str">
        <f>"145,0"</f>
        <v>145,0</v>
      </c>
      <c r="L81" s="12" t="str">
        <f>"97,6430"</f>
        <v>97,6430</v>
      </c>
      <c r="M81" s="11"/>
    </row>
    <row r="82" spans="1:13">
      <c r="A82" s="12" t="s">
        <v>240</v>
      </c>
      <c r="B82" s="11" t="s">
        <v>735</v>
      </c>
      <c r="C82" s="11" t="s">
        <v>736</v>
      </c>
      <c r="D82" s="11" t="s">
        <v>737</v>
      </c>
      <c r="E82" s="11" t="s">
        <v>1367</v>
      </c>
      <c r="F82" s="11" t="s">
        <v>1273</v>
      </c>
      <c r="G82" s="24" t="s">
        <v>132</v>
      </c>
      <c r="H82" s="23" t="s">
        <v>50</v>
      </c>
      <c r="I82" s="23" t="s">
        <v>50</v>
      </c>
      <c r="J82" s="12"/>
      <c r="K82" s="32" t="str">
        <f>"135,0"</f>
        <v>135,0</v>
      </c>
      <c r="L82" s="12" t="str">
        <f>"92,1645"</f>
        <v>92,1645</v>
      </c>
      <c r="M82" s="11"/>
    </row>
    <row r="83" spans="1:13">
      <c r="A83" s="12" t="s">
        <v>241</v>
      </c>
      <c r="B83" s="11" t="s">
        <v>738</v>
      </c>
      <c r="C83" s="11" t="s">
        <v>739</v>
      </c>
      <c r="D83" s="11" t="s">
        <v>740</v>
      </c>
      <c r="E83" s="11" t="s">
        <v>1367</v>
      </c>
      <c r="F83" s="11" t="s">
        <v>1327</v>
      </c>
      <c r="G83" s="23" t="s">
        <v>167</v>
      </c>
      <c r="H83" s="24" t="s">
        <v>168</v>
      </c>
      <c r="I83" s="24" t="s">
        <v>57</v>
      </c>
      <c r="J83" s="12"/>
      <c r="K83" s="32" t="str">
        <f>"130,0"</f>
        <v>130,0</v>
      </c>
      <c r="L83" s="12" t="str">
        <f>"88,4780"</f>
        <v>88,4780</v>
      </c>
      <c r="M83" s="11" t="s">
        <v>741</v>
      </c>
    </row>
    <row r="84" spans="1:13">
      <c r="A84" s="12" t="s">
        <v>492</v>
      </c>
      <c r="B84" s="11" t="s">
        <v>742</v>
      </c>
      <c r="C84" s="11" t="s">
        <v>743</v>
      </c>
      <c r="D84" s="11" t="s">
        <v>740</v>
      </c>
      <c r="E84" s="11" t="s">
        <v>1367</v>
      </c>
      <c r="F84" s="11" t="s">
        <v>1265</v>
      </c>
      <c r="G84" s="24" t="s">
        <v>57</v>
      </c>
      <c r="H84" s="23" t="s">
        <v>132</v>
      </c>
      <c r="I84" s="23" t="s">
        <v>132</v>
      </c>
      <c r="J84" s="12"/>
      <c r="K84" s="32" t="str">
        <f>"130,0"</f>
        <v>130,0</v>
      </c>
      <c r="L84" s="12" t="str">
        <f>"88,4780"</f>
        <v>88,4780</v>
      </c>
      <c r="M84" s="11"/>
    </row>
    <row r="85" spans="1:13">
      <c r="A85" s="12" t="s">
        <v>124</v>
      </c>
      <c r="B85" s="11" t="s">
        <v>730</v>
      </c>
      <c r="C85" s="11" t="s">
        <v>744</v>
      </c>
      <c r="D85" s="11" t="s">
        <v>729</v>
      </c>
      <c r="E85" s="11" t="s">
        <v>1370</v>
      </c>
      <c r="F85" s="11" t="s">
        <v>1325</v>
      </c>
      <c r="G85" s="24" t="s">
        <v>147</v>
      </c>
      <c r="H85" s="24" t="s">
        <v>81</v>
      </c>
      <c r="I85" s="23" t="s">
        <v>382</v>
      </c>
      <c r="J85" s="12"/>
      <c r="K85" s="32" t="str">
        <f>"162,5"</f>
        <v>162,5</v>
      </c>
      <c r="L85" s="12" t="str">
        <f>"109,3463"</f>
        <v>109,3463</v>
      </c>
      <c r="M85" s="11"/>
    </row>
    <row r="86" spans="1:13">
      <c r="A86" s="12" t="s">
        <v>126</v>
      </c>
      <c r="B86" s="11" t="s">
        <v>745</v>
      </c>
      <c r="C86" s="11" t="s">
        <v>746</v>
      </c>
      <c r="D86" s="11" t="s">
        <v>747</v>
      </c>
      <c r="E86" s="11" t="s">
        <v>1370</v>
      </c>
      <c r="F86" s="11" t="s">
        <v>1274</v>
      </c>
      <c r="G86" s="24" t="s">
        <v>166</v>
      </c>
      <c r="H86" s="23" t="s">
        <v>57</v>
      </c>
      <c r="I86" s="23" t="s">
        <v>58</v>
      </c>
      <c r="J86" s="12"/>
      <c r="K86" s="32" t="str">
        <f>"120,0"</f>
        <v>120,0</v>
      </c>
      <c r="L86" s="12" t="str">
        <f>"83,5024"</f>
        <v>83,5024</v>
      </c>
      <c r="M86" s="11"/>
    </row>
    <row r="87" spans="1:13">
      <c r="A87" s="14" t="s">
        <v>127</v>
      </c>
      <c r="B87" s="13" t="s">
        <v>748</v>
      </c>
      <c r="C87" s="13" t="s">
        <v>749</v>
      </c>
      <c r="D87" s="13" t="s">
        <v>189</v>
      </c>
      <c r="E87" s="13" t="s">
        <v>1370</v>
      </c>
      <c r="F87" s="13" t="s">
        <v>1265</v>
      </c>
      <c r="G87" s="25" t="s">
        <v>272</v>
      </c>
      <c r="H87" s="25" t="s">
        <v>143</v>
      </c>
      <c r="I87" s="14"/>
      <c r="J87" s="14"/>
      <c r="K87" s="31" t="str">
        <f>"117,5"</f>
        <v>117,5</v>
      </c>
      <c r="L87" s="14" t="str">
        <f>"80,5897"</f>
        <v>80,5897</v>
      </c>
      <c r="M87" s="13"/>
    </row>
    <row r="88" spans="1:13">
      <c r="B88" s="5" t="s">
        <v>125</v>
      </c>
    </row>
    <row r="89" spans="1:13" ht="16">
      <c r="A89" s="52" t="s">
        <v>32</v>
      </c>
      <c r="B89" s="52"/>
      <c r="C89" s="52"/>
      <c r="D89" s="52"/>
      <c r="E89" s="52"/>
      <c r="F89" s="52"/>
      <c r="G89" s="52"/>
      <c r="H89" s="52"/>
      <c r="I89" s="52"/>
      <c r="J89" s="52"/>
    </row>
    <row r="90" spans="1:13">
      <c r="A90" s="10" t="s">
        <v>124</v>
      </c>
      <c r="B90" s="9" t="s">
        <v>420</v>
      </c>
      <c r="C90" s="9" t="s">
        <v>421</v>
      </c>
      <c r="D90" s="9" t="s">
        <v>422</v>
      </c>
      <c r="E90" s="9" t="s">
        <v>1367</v>
      </c>
      <c r="F90" s="9" t="s">
        <v>1290</v>
      </c>
      <c r="G90" s="22" t="s">
        <v>50</v>
      </c>
      <c r="H90" s="22" t="s">
        <v>51</v>
      </c>
      <c r="I90" s="27" t="s">
        <v>217</v>
      </c>
      <c r="J90" s="10"/>
      <c r="K90" s="28" t="str">
        <f>"152,5"</f>
        <v>152,5</v>
      </c>
      <c r="L90" s="10" t="str">
        <f>"98,4998"</f>
        <v>98,4998</v>
      </c>
      <c r="M90" s="9"/>
    </row>
    <row r="91" spans="1:13">
      <c r="A91" s="12" t="s">
        <v>126</v>
      </c>
      <c r="B91" s="11" t="s">
        <v>750</v>
      </c>
      <c r="C91" s="11" t="s">
        <v>751</v>
      </c>
      <c r="D91" s="11" t="s">
        <v>47</v>
      </c>
      <c r="E91" s="11" t="s">
        <v>1367</v>
      </c>
      <c r="F91" s="11" t="s">
        <v>1328</v>
      </c>
      <c r="G91" s="24" t="s">
        <v>154</v>
      </c>
      <c r="H91" s="23" t="s">
        <v>51</v>
      </c>
      <c r="I91" s="23" t="s">
        <v>51</v>
      </c>
      <c r="J91" s="12"/>
      <c r="K91" s="32" t="str">
        <f>"147,5"</f>
        <v>147,5</v>
      </c>
      <c r="L91" s="12" t="str">
        <f>"94,9310"</f>
        <v>94,9310</v>
      </c>
      <c r="M91" s="11" t="s">
        <v>1224</v>
      </c>
    </row>
    <row r="92" spans="1:13">
      <c r="A92" s="12" t="s">
        <v>127</v>
      </c>
      <c r="B92" s="11" t="s">
        <v>752</v>
      </c>
      <c r="C92" s="11" t="s">
        <v>753</v>
      </c>
      <c r="D92" s="11" t="s">
        <v>392</v>
      </c>
      <c r="E92" s="11" t="s">
        <v>1367</v>
      </c>
      <c r="F92" s="11" t="s">
        <v>1265</v>
      </c>
      <c r="G92" s="23" t="s">
        <v>50</v>
      </c>
      <c r="H92" s="24" t="s">
        <v>50</v>
      </c>
      <c r="I92" s="23" t="s">
        <v>51</v>
      </c>
      <c r="J92" s="12"/>
      <c r="K92" s="32" t="str">
        <f>"145,0"</f>
        <v>145,0</v>
      </c>
      <c r="L92" s="12" t="str">
        <f>"92,8290"</f>
        <v>92,8290</v>
      </c>
      <c r="M92" s="11" t="s">
        <v>754</v>
      </c>
    </row>
    <row r="93" spans="1:13">
      <c r="A93" s="12" t="s">
        <v>240</v>
      </c>
      <c r="B93" s="11" t="s">
        <v>755</v>
      </c>
      <c r="C93" s="11" t="s">
        <v>756</v>
      </c>
      <c r="D93" s="11" t="s">
        <v>448</v>
      </c>
      <c r="E93" s="11" t="s">
        <v>1367</v>
      </c>
      <c r="F93" s="11" t="s">
        <v>1314</v>
      </c>
      <c r="G93" s="24" t="s">
        <v>268</v>
      </c>
      <c r="H93" s="24" t="s">
        <v>159</v>
      </c>
      <c r="I93" s="23" t="s">
        <v>51</v>
      </c>
      <c r="J93" s="12"/>
      <c r="K93" s="32" t="str">
        <f>"142,5"</f>
        <v>142,5</v>
      </c>
      <c r="L93" s="12" t="str">
        <f>"91,4992"</f>
        <v>91,4992</v>
      </c>
      <c r="M93" s="11" t="s">
        <v>757</v>
      </c>
    </row>
    <row r="94" spans="1:13">
      <c r="A94" s="12" t="s">
        <v>241</v>
      </c>
      <c r="B94" s="11" t="s">
        <v>758</v>
      </c>
      <c r="C94" s="11" t="s">
        <v>759</v>
      </c>
      <c r="D94" s="11" t="s">
        <v>760</v>
      </c>
      <c r="E94" s="11" t="s">
        <v>1367</v>
      </c>
      <c r="F94" s="11" t="s">
        <v>1265</v>
      </c>
      <c r="G94" s="24" t="s">
        <v>168</v>
      </c>
      <c r="H94" s="24" t="s">
        <v>268</v>
      </c>
      <c r="I94" s="23" t="s">
        <v>133</v>
      </c>
      <c r="J94" s="12"/>
      <c r="K94" s="32" t="str">
        <f>"132,5"</f>
        <v>132,5</v>
      </c>
      <c r="L94" s="12" t="str">
        <f>"86,4298"</f>
        <v>86,4298</v>
      </c>
      <c r="M94" s="11" t="s">
        <v>1225</v>
      </c>
    </row>
    <row r="95" spans="1:13">
      <c r="A95" s="12" t="s">
        <v>128</v>
      </c>
      <c r="B95" s="11" t="s">
        <v>761</v>
      </c>
      <c r="C95" s="11" t="s">
        <v>762</v>
      </c>
      <c r="D95" s="11" t="s">
        <v>534</v>
      </c>
      <c r="E95" s="11" t="s">
        <v>1367</v>
      </c>
      <c r="F95" s="11" t="s">
        <v>1265</v>
      </c>
      <c r="G95" s="23" t="s">
        <v>51</v>
      </c>
      <c r="H95" s="23" t="s">
        <v>51</v>
      </c>
      <c r="I95" s="23" t="s">
        <v>51</v>
      </c>
      <c r="J95" s="12"/>
      <c r="K95" s="32">
        <v>0</v>
      </c>
      <c r="L95" s="12" t="str">
        <f>"0,0000"</f>
        <v>0,0000</v>
      </c>
      <c r="M95" s="11"/>
    </row>
    <row r="96" spans="1:13">
      <c r="A96" s="12" t="s">
        <v>128</v>
      </c>
      <c r="B96" s="11" t="s">
        <v>446</v>
      </c>
      <c r="C96" s="11" t="s">
        <v>447</v>
      </c>
      <c r="D96" s="11" t="s">
        <v>448</v>
      </c>
      <c r="E96" s="11" t="s">
        <v>1367</v>
      </c>
      <c r="F96" s="11" t="s">
        <v>1290</v>
      </c>
      <c r="G96" s="23" t="s">
        <v>27</v>
      </c>
      <c r="H96" s="23" t="s">
        <v>27</v>
      </c>
      <c r="I96" s="23" t="s">
        <v>27</v>
      </c>
      <c r="J96" s="12"/>
      <c r="K96" s="32">
        <v>0</v>
      </c>
      <c r="L96" s="12" t="str">
        <f>"0,0000"</f>
        <v>0,0000</v>
      </c>
      <c r="M96" s="11"/>
    </row>
    <row r="97" spans="1:13">
      <c r="A97" s="12" t="s">
        <v>124</v>
      </c>
      <c r="B97" s="11" t="s">
        <v>763</v>
      </c>
      <c r="C97" s="11" t="s">
        <v>764</v>
      </c>
      <c r="D97" s="11" t="s">
        <v>765</v>
      </c>
      <c r="E97" s="11" t="s">
        <v>1370</v>
      </c>
      <c r="F97" s="11" t="s">
        <v>1279</v>
      </c>
      <c r="G97" s="24" t="s">
        <v>50</v>
      </c>
      <c r="H97" s="24" t="s">
        <v>51</v>
      </c>
      <c r="I97" s="23" t="s">
        <v>217</v>
      </c>
      <c r="J97" s="12"/>
      <c r="K97" s="32" t="str">
        <f>"152,5"</f>
        <v>152,5</v>
      </c>
      <c r="L97" s="12" t="str">
        <f>"100,1315"</f>
        <v>100,1315</v>
      </c>
      <c r="M97" s="11" t="s">
        <v>766</v>
      </c>
    </row>
    <row r="98" spans="1:13">
      <c r="A98" s="12" t="s">
        <v>126</v>
      </c>
      <c r="B98" s="11" t="s">
        <v>755</v>
      </c>
      <c r="C98" s="11" t="s">
        <v>767</v>
      </c>
      <c r="D98" s="11" t="s">
        <v>448</v>
      </c>
      <c r="E98" s="11" t="s">
        <v>1370</v>
      </c>
      <c r="F98" s="11" t="s">
        <v>1314</v>
      </c>
      <c r="G98" s="24" t="s">
        <v>268</v>
      </c>
      <c r="H98" s="24" t="s">
        <v>159</v>
      </c>
      <c r="I98" s="23" t="s">
        <v>51</v>
      </c>
      <c r="J98" s="12"/>
      <c r="K98" s="32" t="str">
        <f>"142,5"</f>
        <v>142,5</v>
      </c>
      <c r="L98" s="12" t="str">
        <f>"92,7802"</f>
        <v>92,7802</v>
      </c>
      <c r="M98" s="11" t="s">
        <v>757</v>
      </c>
    </row>
    <row r="99" spans="1:13">
      <c r="A99" s="14" t="s">
        <v>124</v>
      </c>
      <c r="B99" s="13" t="s">
        <v>768</v>
      </c>
      <c r="C99" s="13" t="s">
        <v>769</v>
      </c>
      <c r="D99" s="13" t="s">
        <v>546</v>
      </c>
      <c r="E99" s="13" t="s">
        <v>1372</v>
      </c>
      <c r="F99" s="13" t="s">
        <v>1325</v>
      </c>
      <c r="G99" s="25" t="s">
        <v>138</v>
      </c>
      <c r="H99" s="26" t="s">
        <v>272</v>
      </c>
      <c r="I99" s="25" t="s">
        <v>143</v>
      </c>
      <c r="J99" s="14"/>
      <c r="K99" s="31" t="str">
        <f>"117,5"</f>
        <v>117,5</v>
      </c>
      <c r="L99" s="14" t="str">
        <f>"150,8270"</f>
        <v>150,8270</v>
      </c>
      <c r="M99" s="13" t="s">
        <v>1226</v>
      </c>
    </row>
    <row r="100" spans="1:13">
      <c r="B100" s="5" t="s">
        <v>125</v>
      </c>
    </row>
    <row r="101" spans="1:13" ht="16">
      <c r="A101" s="52" t="s">
        <v>60</v>
      </c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3">
      <c r="A102" s="10" t="s">
        <v>124</v>
      </c>
      <c r="B102" s="9" t="s">
        <v>770</v>
      </c>
      <c r="C102" s="9" t="s">
        <v>771</v>
      </c>
      <c r="D102" s="9" t="s">
        <v>772</v>
      </c>
      <c r="E102" s="9" t="s">
        <v>1369</v>
      </c>
      <c r="F102" s="9" t="s">
        <v>1274</v>
      </c>
      <c r="G102" s="22" t="s">
        <v>57</v>
      </c>
      <c r="H102" s="27" t="s">
        <v>58</v>
      </c>
      <c r="I102" s="27" t="s">
        <v>58</v>
      </c>
      <c r="J102" s="10"/>
      <c r="K102" s="28" t="str">
        <f>"130,0"</f>
        <v>130,0</v>
      </c>
      <c r="L102" s="10" t="str">
        <f>"80,0540"</f>
        <v>80,0540</v>
      </c>
      <c r="M102" s="9" t="s">
        <v>311</v>
      </c>
    </row>
    <row r="103" spans="1:13">
      <c r="A103" s="12" t="s">
        <v>124</v>
      </c>
      <c r="B103" s="11" t="s">
        <v>773</v>
      </c>
      <c r="C103" s="11" t="s">
        <v>774</v>
      </c>
      <c r="D103" s="11" t="s">
        <v>775</v>
      </c>
      <c r="E103" s="11" t="s">
        <v>1367</v>
      </c>
      <c r="F103" s="11" t="s">
        <v>776</v>
      </c>
      <c r="G103" s="24" t="s">
        <v>21</v>
      </c>
      <c r="H103" s="24" t="s">
        <v>59</v>
      </c>
      <c r="I103" s="24" t="s">
        <v>91</v>
      </c>
      <c r="J103" s="24" t="s">
        <v>777</v>
      </c>
      <c r="K103" s="32" t="str">
        <f>"210,0"</f>
        <v>210,0</v>
      </c>
      <c r="L103" s="12" t="str">
        <f>"128,4780"</f>
        <v>128,4780</v>
      </c>
      <c r="M103" s="11"/>
    </row>
    <row r="104" spans="1:13">
      <c r="A104" s="12" t="s">
        <v>126</v>
      </c>
      <c r="B104" s="11" t="s">
        <v>778</v>
      </c>
      <c r="C104" s="11" t="s">
        <v>779</v>
      </c>
      <c r="D104" s="11" t="s">
        <v>780</v>
      </c>
      <c r="E104" s="11" t="s">
        <v>1367</v>
      </c>
      <c r="F104" s="11" t="s">
        <v>1329</v>
      </c>
      <c r="G104" s="24" t="s">
        <v>31</v>
      </c>
      <c r="H104" s="23" t="s">
        <v>91</v>
      </c>
      <c r="I104" s="24" t="s">
        <v>91</v>
      </c>
      <c r="J104" s="12"/>
      <c r="K104" s="32" t="str">
        <f>"210,0"</f>
        <v>210,0</v>
      </c>
      <c r="L104" s="12" t="str">
        <f>"127,9110"</f>
        <v>127,9110</v>
      </c>
      <c r="M104" s="11" t="s">
        <v>307</v>
      </c>
    </row>
    <row r="105" spans="1:13">
      <c r="A105" s="12" t="s">
        <v>127</v>
      </c>
      <c r="B105" s="11" t="s">
        <v>781</v>
      </c>
      <c r="C105" s="11" t="s">
        <v>782</v>
      </c>
      <c r="D105" s="11" t="s">
        <v>783</v>
      </c>
      <c r="E105" s="11" t="s">
        <v>1367</v>
      </c>
      <c r="F105" s="11" t="s">
        <v>1265</v>
      </c>
      <c r="G105" s="24" t="s">
        <v>26</v>
      </c>
      <c r="H105" s="24" t="s">
        <v>217</v>
      </c>
      <c r="I105" s="24" t="s">
        <v>81</v>
      </c>
      <c r="J105" s="12"/>
      <c r="K105" s="32" t="str">
        <f>"162,5"</f>
        <v>162,5</v>
      </c>
      <c r="L105" s="12" t="str">
        <f>"99,0925"</f>
        <v>99,0925</v>
      </c>
      <c r="M105" s="11" t="s">
        <v>1227</v>
      </c>
    </row>
    <row r="106" spans="1:13">
      <c r="A106" s="12" t="s">
        <v>240</v>
      </c>
      <c r="B106" s="11" t="s">
        <v>784</v>
      </c>
      <c r="C106" s="11" t="s">
        <v>785</v>
      </c>
      <c r="D106" s="11" t="s">
        <v>786</v>
      </c>
      <c r="E106" s="11" t="s">
        <v>1367</v>
      </c>
      <c r="F106" s="11" t="s">
        <v>1273</v>
      </c>
      <c r="G106" s="24" t="s">
        <v>51</v>
      </c>
      <c r="H106" s="24" t="s">
        <v>147</v>
      </c>
      <c r="I106" s="24" t="s">
        <v>217</v>
      </c>
      <c r="J106" s="12"/>
      <c r="K106" s="32" t="str">
        <f>"157,5"</f>
        <v>157,5</v>
      </c>
      <c r="L106" s="12" t="str">
        <f>"98,7368"</f>
        <v>98,7368</v>
      </c>
      <c r="M106" s="11" t="s">
        <v>410</v>
      </c>
    </row>
    <row r="107" spans="1:13">
      <c r="A107" s="12" t="s">
        <v>241</v>
      </c>
      <c r="B107" s="11" t="s">
        <v>787</v>
      </c>
      <c r="C107" s="11" t="s">
        <v>788</v>
      </c>
      <c r="D107" s="11" t="s">
        <v>789</v>
      </c>
      <c r="E107" s="11" t="s">
        <v>1367</v>
      </c>
      <c r="F107" s="11" t="s">
        <v>1330</v>
      </c>
      <c r="G107" s="24" t="s">
        <v>147</v>
      </c>
      <c r="H107" s="23" t="s">
        <v>81</v>
      </c>
      <c r="I107" s="23" t="s">
        <v>81</v>
      </c>
      <c r="J107" s="12"/>
      <c r="K107" s="32" t="str">
        <f>"155,0"</f>
        <v>155,0</v>
      </c>
      <c r="L107" s="12" t="str">
        <f>"95,2010"</f>
        <v>95,2010</v>
      </c>
      <c r="M107" s="11" t="s">
        <v>790</v>
      </c>
    </row>
    <row r="108" spans="1:13">
      <c r="A108" s="12" t="s">
        <v>492</v>
      </c>
      <c r="B108" s="11" t="s">
        <v>791</v>
      </c>
      <c r="C108" s="11" t="s">
        <v>792</v>
      </c>
      <c r="D108" s="11" t="s">
        <v>503</v>
      </c>
      <c r="E108" s="11" t="s">
        <v>1367</v>
      </c>
      <c r="F108" s="11" t="s">
        <v>1331</v>
      </c>
      <c r="G108" s="24" t="s">
        <v>51</v>
      </c>
      <c r="H108" s="23" t="s">
        <v>81</v>
      </c>
      <c r="I108" s="23" t="s">
        <v>81</v>
      </c>
      <c r="J108" s="12"/>
      <c r="K108" s="32" t="str">
        <f>"152,5"</f>
        <v>152,5</v>
      </c>
      <c r="L108" s="12" t="str">
        <f>"93,1165"</f>
        <v>93,1165</v>
      </c>
      <c r="M108" s="11" t="s">
        <v>1228</v>
      </c>
    </row>
    <row r="109" spans="1:13">
      <c r="A109" s="12" t="s">
        <v>493</v>
      </c>
      <c r="B109" s="11" t="s">
        <v>793</v>
      </c>
      <c r="C109" s="11" t="s">
        <v>794</v>
      </c>
      <c r="D109" s="11" t="s">
        <v>795</v>
      </c>
      <c r="E109" s="11" t="s">
        <v>1367</v>
      </c>
      <c r="F109" s="11" t="s">
        <v>1265</v>
      </c>
      <c r="G109" s="24" t="s">
        <v>294</v>
      </c>
      <c r="H109" s="23" t="s">
        <v>268</v>
      </c>
      <c r="I109" s="24" t="s">
        <v>58</v>
      </c>
      <c r="J109" s="12"/>
      <c r="K109" s="32" t="str">
        <f>"140,0"</f>
        <v>140,0</v>
      </c>
      <c r="L109" s="12" t="str">
        <f>"86,4360"</f>
        <v>86,4360</v>
      </c>
      <c r="M109" s="11"/>
    </row>
    <row r="110" spans="1:13">
      <c r="A110" s="12" t="s">
        <v>494</v>
      </c>
      <c r="B110" s="11" t="s">
        <v>796</v>
      </c>
      <c r="C110" s="11" t="s">
        <v>797</v>
      </c>
      <c r="D110" s="11" t="s">
        <v>557</v>
      </c>
      <c r="E110" s="11" t="s">
        <v>1367</v>
      </c>
      <c r="F110" s="11" t="s">
        <v>1274</v>
      </c>
      <c r="G110" s="24" t="s">
        <v>166</v>
      </c>
      <c r="H110" s="23" t="s">
        <v>57</v>
      </c>
      <c r="I110" s="24" t="s">
        <v>58</v>
      </c>
      <c r="J110" s="12"/>
      <c r="K110" s="32" t="str">
        <f>"140,0"</f>
        <v>140,0</v>
      </c>
      <c r="L110" s="12" t="str">
        <f>"86,1280"</f>
        <v>86,1280</v>
      </c>
      <c r="M110" s="11" t="s">
        <v>311</v>
      </c>
    </row>
    <row r="111" spans="1:13">
      <c r="A111" s="12" t="s">
        <v>124</v>
      </c>
      <c r="B111" s="11" t="s">
        <v>798</v>
      </c>
      <c r="C111" s="11" t="s">
        <v>799</v>
      </c>
      <c r="D111" s="11" t="s">
        <v>786</v>
      </c>
      <c r="E111" s="11" t="s">
        <v>1370</v>
      </c>
      <c r="F111" s="11" t="s">
        <v>1332</v>
      </c>
      <c r="G111" s="23" t="s">
        <v>27</v>
      </c>
      <c r="H111" s="24" t="s">
        <v>27</v>
      </c>
      <c r="I111" s="23" t="s">
        <v>148</v>
      </c>
      <c r="J111" s="12"/>
      <c r="K111" s="32" t="str">
        <f>"160,0"</f>
        <v>160,0</v>
      </c>
      <c r="L111" s="12" t="str">
        <f>"109,9332"</f>
        <v>109,9332</v>
      </c>
      <c r="M111" s="11" t="s">
        <v>1229</v>
      </c>
    </row>
    <row r="112" spans="1:13">
      <c r="A112" s="14" t="s">
        <v>126</v>
      </c>
      <c r="B112" s="13" t="s">
        <v>800</v>
      </c>
      <c r="C112" s="13" t="s">
        <v>801</v>
      </c>
      <c r="D112" s="13" t="s">
        <v>802</v>
      </c>
      <c r="E112" s="13" t="s">
        <v>1370</v>
      </c>
      <c r="F112" s="13" t="s">
        <v>1333</v>
      </c>
      <c r="G112" s="25" t="s">
        <v>294</v>
      </c>
      <c r="H112" s="25" t="s">
        <v>57</v>
      </c>
      <c r="I112" s="25" t="s">
        <v>132</v>
      </c>
      <c r="J112" s="14"/>
      <c r="K112" s="31" t="str">
        <f>"135,0"</f>
        <v>135,0</v>
      </c>
      <c r="L112" s="14" t="str">
        <f>"84,9472"</f>
        <v>84,9472</v>
      </c>
      <c r="M112" s="13"/>
    </row>
    <row r="113" spans="1:13">
      <c r="B113" s="5" t="s">
        <v>125</v>
      </c>
    </row>
    <row r="114" spans="1:13" ht="16">
      <c r="A114" s="52" t="s">
        <v>86</v>
      </c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3">
      <c r="A115" s="10" t="s">
        <v>124</v>
      </c>
      <c r="B115" s="9" t="s">
        <v>803</v>
      </c>
      <c r="C115" s="9" t="s">
        <v>804</v>
      </c>
      <c r="D115" s="9" t="s">
        <v>805</v>
      </c>
      <c r="E115" s="9" t="s">
        <v>1374</v>
      </c>
      <c r="F115" s="9" t="s">
        <v>1288</v>
      </c>
      <c r="G115" s="22" t="s">
        <v>149</v>
      </c>
      <c r="H115" s="22" t="s">
        <v>150</v>
      </c>
      <c r="I115" s="22" t="s">
        <v>265</v>
      </c>
      <c r="J115" s="10"/>
      <c r="K115" s="28" t="str">
        <f>"107,5"</f>
        <v>107,5</v>
      </c>
      <c r="L115" s="10" t="str">
        <f>"64,3065"</f>
        <v>64,3065</v>
      </c>
      <c r="M115" s="9"/>
    </row>
    <row r="116" spans="1:13">
      <c r="A116" s="12" t="s">
        <v>124</v>
      </c>
      <c r="B116" s="11" t="s">
        <v>806</v>
      </c>
      <c r="C116" s="11" t="s">
        <v>807</v>
      </c>
      <c r="D116" s="11" t="s">
        <v>808</v>
      </c>
      <c r="E116" s="11" t="s">
        <v>1369</v>
      </c>
      <c r="F116" s="11" t="s">
        <v>1334</v>
      </c>
      <c r="G116" s="24" t="s">
        <v>154</v>
      </c>
      <c r="H116" s="24" t="s">
        <v>27</v>
      </c>
      <c r="I116" s="23" t="s">
        <v>382</v>
      </c>
      <c r="J116" s="12"/>
      <c r="K116" s="32" t="str">
        <f>"160,0"</f>
        <v>160,0</v>
      </c>
      <c r="L116" s="12" t="str">
        <f>"96,1440"</f>
        <v>96,1440</v>
      </c>
      <c r="M116" s="11"/>
    </row>
    <row r="117" spans="1:13">
      <c r="A117" s="12" t="s">
        <v>126</v>
      </c>
      <c r="B117" s="11" t="s">
        <v>809</v>
      </c>
      <c r="C117" s="11" t="s">
        <v>810</v>
      </c>
      <c r="D117" s="11" t="s">
        <v>811</v>
      </c>
      <c r="E117" s="11" t="s">
        <v>1369</v>
      </c>
      <c r="F117" s="11" t="s">
        <v>1265</v>
      </c>
      <c r="G117" s="24" t="s">
        <v>58</v>
      </c>
      <c r="H117" s="24" t="s">
        <v>50</v>
      </c>
      <c r="I117" s="24" t="s">
        <v>26</v>
      </c>
      <c r="J117" s="12"/>
      <c r="K117" s="32" t="str">
        <f>"150,0"</f>
        <v>150,0</v>
      </c>
      <c r="L117" s="12" t="str">
        <f>"89,2500"</f>
        <v>89,2500</v>
      </c>
      <c r="M117" s="11" t="s">
        <v>812</v>
      </c>
    </row>
    <row r="118" spans="1:13">
      <c r="A118" s="12" t="s">
        <v>127</v>
      </c>
      <c r="B118" s="11" t="s">
        <v>813</v>
      </c>
      <c r="C118" s="11" t="s">
        <v>814</v>
      </c>
      <c r="D118" s="11" t="s">
        <v>815</v>
      </c>
      <c r="E118" s="11" t="s">
        <v>1369</v>
      </c>
      <c r="F118" s="11" t="s">
        <v>1335</v>
      </c>
      <c r="G118" s="23" t="s">
        <v>168</v>
      </c>
      <c r="H118" s="23" t="s">
        <v>154</v>
      </c>
      <c r="I118" s="24" t="s">
        <v>154</v>
      </c>
      <c r="J118" s="12"/>
      <c r="K118" s="32" t="str">
        <f>"147,5"</f>
        <v>147,5</v>
      </c>
      <c r="L118" s="12" t="str">
        <f>"87,0545"</f>
        <v>87,0545</v>
      </c>
      <c r="M118" s="11"/>
    </row>
    <row r="119" spans="1:13">
      <c r="A119" s="12" t="s">
        <v>124</v>
      </c>
      <c r="B119" s="11" t="s">
        <v>816</v>
      </c>
      <c r="C119" s="11" t="s">
        <v>817</v>
      </c>
      <c r="D119" s="11" t="s">
        <v>818</v>
      </c>
      <c r="E119" s="11" t="s">
        <v>1367</v>
      </c>
      <c r="F119" s="11" t="s">
        <v>1290</v>
      </c>
      <c r="G119" s="24" t="s">
        <v>30</v>
      </c>
      <c r="H119" s="23" t="s">
        <v>21</v>
      </c>
      <c r="I119" s="23" t="s">
        <v>21</v>
      </c>
      <c r="J119" s="12"/>
      <c r="K119" s="32" t="str">
        <f>"185,0"</f>
        <v>185,0</v>
      </c>
      <c r="L119" s="12" t="str">
        <f>"108,9280"</f>
        <v>108,9280</v>
      </c>
      <c r="M119" s="11"/>
    </row>
    <row r="120" spans="1:13">
      <c r="A120" s="12" t="s">
        <v>124</v>
      </c>
      <c r="B120" s="11" t="s">
        <v>819</v>
      </c>
      <c r="C120" s="11" t="s">
        <v>820</v>
      </c>
      <c r="D120" s="11" t="s">
        <v>89</v>
      </c>
      <c r="E120" s="11" t="s">
        <v>1370</v>
      </c>
      <c r="F120" s="11" t="s">
        <v>1265</v>
      </c>
      <c r="G120" s="24" t="s">
        <v>26</v>
      </c>
      <c r="H120" s="24" t="s">
        <v>27</v>
      </c>
      <c r="I120" s="23" t="s">
        <v>382</v>
      </c>
      <c r="J120" s="12"/>
      <c r="K120" s="32" t="str">
        <f>"160,0"</f>
        <v>160,0</v>
      </c>
      <c r="L120" s="12" t="str">
        <f>"95,9812"</f>
        <v>95,9812</v>
      </c>
      <c r="M120" s="11" t="s">
        <v>311</v>
      </c>
    </row>
    <row r="121" spans="1:13">
      <c r="A121" s="14" t="s">
        <v>124</v>
      </c>
      <c r="B121" s="13" t="s">
        <v>821</v>
      </c>
      <c r="C121" s="13" t="s">
        <v>822</v>
      </c>
      <c r="D121" s="13" t="s">
        <v>823</v>
      </c>
      <c r="E121" s="13" t="s">
        <v>1371</v>
      </c>
      <c r="F121" s="13" t="s">
        <v>1336</v>
      </c>
      <c r="G121" s="25" t="s">
        <v>166</v>
      </c>
      <c r="H121" s="25" t="s">
        <v>294</v>
      </c>
      <c r="I121" s="25" t="s">
        <v>57</v>
      </c>
      <c r="J121" s="14"/>
      <c r="K121" s="31" t="str">
        <f>"130,0"</f>
        <v>130,0</v>
      </c>
      <c r="L121" s="14" t="str">
        <f>"112,9783"</f>
        <v>112,9783</v>
      </c>
      <c r="M121" s="13" t="s">
        <v>824</v>
      </c>
    </row>
    <row r="122" spans="1:13">
      <c r="B122" s="5" t="s">
        <v>125</v>
      </c>
    </row>
    <row r="123" spans="1:13" ht="16">
      <c r="A123" s="52" t="s">
        <v>218</v>
      </c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3">
      <c r="A124" s="10" t="s">
        <v>124</v>
      </c>
      <c r="B124" s="9" t="s">
        <v>825</v>
      </c>
      <c r="C124" s="9" t="s">
        <v>826</v>
      </c>
      <c r="D124" s="9" t="s">
        <v>827</v>
      </c>
      <c r="E124" s="9" t="s">
        <v>1367</v>
      </c>
      <c r="F124" s="9" t="s">
        <v>1265</v>
      </c>
      <c r="G124" s="22" t="s">
        <v>15</v>
      </c>
      <c r="H124" s="27" t="s">
        <v>16</v>
      </c>
      <c r="I124" s="22" t="s">
        <v>16</v>
      </c>
      <c r="J124" s="10"/>
      <c r="K124" s="28" t="str">
        <f>"180,0"</f>
        <v>180,0</v>
      </c>
      <c r="L124" s="10" t="str">
        <f>"103,2480"</f>
        <v>103,2480</v>
      </c>
      <c r="M124" s="9"/>
    </row>
    <row r="125" spans="1:13">
      <c r="A125" s="14" t="s">
        <v>124</v>
      </c>
      <c r="B125" s="13" t="s">
        <v>828</v>
      </c>
      <c r="C125" s="13" t="s">
        <v>829</v>
      </c>
      <c r="D125" s="13" t="s">
        <v>830</v>
      </c>
      <c r="E125" s="13" t="s">
        <v>1373</v>
      </c>
      <c r="F125" s="13" t="s">
        <v>185</v>
      </c>
      <c r="G125" s="26" t="s">
        <v>138</v>
      </c>
      <c r="H125" s="25" t="s">
        <v>166</v>
      </c>
      <c r="I125" s="26" t="s">
        <v>132</v>
      </c>
      <c r="J125" s="14"/>
      <c r="K125" s="31" t="str">
        <f>"120,0"</f>
        <v>120,0</v>
      </c>
      <c r="L125" s="14" t="str">
        <f>"90,5669"</f>
        <v>90,5669</v>
      </c>
      <c r="M125" s="13"/>
    </row>
    <row r="126" spans="1:13">
      <c r="B126" s="5" t="s">
        <v>125</v>
      </c>
    </row>
    <row r="127" spans="1:13" ht="16">
      <c r="A127" s="52" t="s">
        <v>224</v>
      </c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3">
      <c r="A128" s="8" t="s">
        <v>124</v>
      </c>
      <c r="B128" s="7" t="s">
        <v>831</v>
      </c>
      <c r="C128" s="7" t="s">
        <v>832</v>
      </c>
      <c r="D128" s="7" t="s">
        <v>833</v>
      </c>
      <c r="E128" s="7" t="s">
        <v>1373</v>
      </c>
      <c r="F128" s="7" t="s">
        <v>1265</v>
      </c>
      <c r="G128" s="20" t="s">
        <v>14</v>
      </c>
      <c r="H128" s="20" t="s">
        <v>15</v>
      </c>
      <c r="I128" s="21" t="s">
        <v>16</v>
      </c>
      <c r="J128" s="8"/>
      <c r="K128" s="29" t="str">
        <f>"175,0"</f>
        <v>175,0</v>
      </c>
      <c r="L128" s="8" t="str">
        <f>"127,8096"</f>
        <v>127,8096</v>
      </c>
      <c r="M128" s="7"/>
    </row>
    <row r="129" spans="2:6">
      <c r="B129" s="5" t="s">
        <v>125</v>
      </c>
    </row>
    <row r="130" spans="2:6">
      <c r="B130" s="5" t="s">
        <v>125</v>
      </c>
    </row>
    <row r="131" spans="2:6">
      <c r="B131" s="5" t="s">
        <v>125</v>
      </c>
    </row>
    <row r="132" spans="2:6" ht="18">
      <c r="B132" s="15" t="s">
        <v>101</v>
      </c>
      <c r="C132" s="15"/>
      <c r="F132" s="3"/>
    </row>
    <row r="133" spans="2:6" ht="16">
      <c r="B133" s="16" t="s">
        <v>102</v>
      </c>
      <c r="C133" s="16"/>
      <c r="F133" s="3"/>
    </row>
    <row r="134" spans="2:6" ht="14">
      <c r="B134" s="17"/>
      <c r="C134" s="18" t="s">
        <v>103</v>
      </c>
      <c r="F134" s="3"/>
    </row>
    <row r="135" spans="2:6" ht="14">
      <c r="B135" s="19" t="s">
        <v>104</v>
      </c>
      <c r="C135" s="19" t="s">
        <v>105</v>
      </c>
      <c r="D135" s="19" t="s">
        <v>1203</v>
      </c>
      <c r="E135" s="19" t="s">
        <v>509</v>
      </c>
      <c r="F135" s="19" t="s">
        <v>108</v>
      </c>
    </row>
    <row r="136" spans="2:6">
      <c r="B136" s="5" t="s">
        <v>641</v>
      </c>
      <c r="C136" s="5" t="s">
        <v>103</v>
      </c>
      <c r="D136" s="6" t="s">
        <v>110</v>
      </c>
      <c r="E136" s="6" t="s">
        <v>19</v>
      </c>
      <c r="F136" s="6" t="s">
        <v>834</v>
      </c>
    </row>
    <row r="137" spans="2:6">
      <c r="B137" s="5" t="s">
        <v>613</v>
      </c>
      <c r="C137" s="5" t="s">
        <v>103</v>
      </c>
      <c r="D137" s="6" t="s">
        <v>480</v>
      </c>
      <c r="E137" s="6" t="s">
        <v>247</v>
      </c>
      <c r="F137" s="6" t="s">
        <v>835</v>
      </c>
    </row>
    <row r="138" spans="2:6">
      <c r="B138" s="5" t="s">
        <v>601</v>
      </c>
      <c r="C138" s="5" t="s">
        <v>103</v>
      </c>
      <c r="D138" s="6" t="s">
        <v>836</v>
      </c>
      <c r="E138" s="6" t="s">
        <v>246</v>
      </c>
      <c r="F138" s="6" t="s">
        <v>837</v>
      </c>
    </row>
    <row r="140" spans="2:6" ht="16">
      <c r="B140" s="16" t="s">
        <v>111</v>
      </c>
      <c r="C140" s="16"/>
    </row>
    <row r="141" spans="2:6" ht="14">
      <c r="B141" s="17"/>
      <c r="C141" s="18" t="s">
        <v>231</v>
      </c>
    </row>
    <row r="142" spans="2:6" ht="14">
      <c r="B142" s="19" t="s">
        <v>104</v>
      </c>
      <c r="C142" s="19" t="s">
        <v>105</v>
      </c>
      <c r="D142" s="19" t="s">
        <v>1203</v>
      </c>
      <c r="E142" s="19" t="s">
        <v>509</v>
      </c>
      <c r="F142" s="19" t="s">
        <v>108</v>
      </c>
    </row>
    <row r="143" spans="2:6">
      <c r="B143" s="5" t="s">
        <v>667</v>
      </c>
      <c r="C143" s="5" t="s">
        <v>232</v>
      </c>
      <c r="D143" s="6" t="s">
        <v>592</v>
      </c>
      <c r="E143" s="6" t="s">
        <v>143</v>
      </c>
      <c r="F143" s="6" t="s">
        <v>838</v>
      </c>
    </row>
    <row r="144" spans="2:6">
      <c r="B144" s="5" t="s">
        <v>678</v>
      </c>
      <c r="C144" s="5" t="s">
        <v>232</v>
      </c>
      <c r="D144" s="6" t="s">
        <v>230</v>
      </c>
      <c r="E144" s="6" t="s">
        <v>137</v>
      </c>
      <c r="F144" s="6" t="s">
        <v>839</v>
      </c>
    </row>
    <row r="145" spans="2:6">
      <c r="B145" s="5" t="s">
        <v>681</v>
      </c>
      <c r="C145" s="5" t="s">
        <v>232</v>
      </c>
      <c r="D145" s="6" t="s">
        <v>230</v>
      </c>
      <c r="E145" s="6" t="s">
        <v>136</v>
      </c>
      <c r="F145" s="6" t="s">
        <v>840</v>
      </c>
    </row>
    <row r="147" spans="2:6" ht="14">
      <c r="B147" s="17"/>
      <c r="C147" s="18" t="s">
        <v>112</v>
      </c>
    </row>
    <row r="148" spans="2:6" ht="14">
      <c r="B148" s="19" t="s">
        <v>104</v>
      </c>
      <c r="C148" s="19" t="s">
        <v>105</v>
      </c>
      <c r="D148" s="19" t="s">
        <v>1203</v>
      </c>
      <c r="E148" s="19" t="s">
        <v>509</v>
      </c>
      <c r="F148" s="19" t="s">
        <v>108</v>
      </c>
    </row>
    <row r="149" spans="2:6">
      <c r="B149" s="5" t="s">
        <v>684</v>
      </c>
      <c r="C149" s="5" t="s">
        <v>112</v>
      </c>
      <c r="D149" s="6" t="s">
        <v>230</v>
      </c>
      <c r="E149" s="6" t="s">
        <v>159</v>
      </c>
      <c r="F149" s="6" t="s">
        <v>841</v>
      </c>
    </row>
    <row r="150" spans="2:6">
      <c r="B150" s="5" t="s">
        <v>687</v>
      </c>
      <c r="C150" s="5" t="s">
        <v>112</v>
      </c>
      <c r="D150" s="6" t="s">
        <v>230</v>
      </c>
      <c r="E150" s="6" t="s">
        <v>57</v>
      </c>
      <c r="F150" s="6" t="s">
        <v>842</v>
      </c>
    </row>
    <row r="151" spans="2:6">
      <c r="B151" s="5" t="s">
        <v>720</v>
      </c>
      <c r="C151" s="5" t="s">
        <v>112</v>
      </c>
      <c r="D151" s="6" t="s">
        <v>110</v>
      </c>
      <c r="E151" s="6" t="s">
        <v>50</v>
      </c>
      <c r="F151" s="6" t="s">
        <v>843</v>
      </c>
    </row>
    <row r="153" spans="2:6" ht="14">
      <c r="B153" s="17"/>
      <c r="C153" s="18" t="s">
        <v>103</v>
      </c>
    </row>
    <row r="154" spans="2:6" ht="14">
      <c r="B154" s="19" t="s">
        <v>104</v>
      </c>
      <c r="C154" s="19" t="s">
        <v>105</v>
      </c>
      <c r="D154" s="19" t="s">
        <v>1203</v>
      </c>
      <c r="E154" s="19" t="s">
        <v>509</v>
      </c>
      <c r="F154" s="19" t="s">
        <v>108</v>
      </c>
    </row>
    <row r="155" spans="2:6">
      <c r="B155" s="5" t="s">
        <v>773</v>
      </c>
      <c r="C155" s="5" t="s">
        <v>103</v>
      </c>
      <c r="D155" s="6" t="s">
        <v>113</v>
      </c>
      <c r="E155" s="6" t="s">
        <v>91</v>
      </c>
      <c r="F155" s="6" t="s">
        <v>844</v>
      </c>
    </row>
    <row r="156" spans="2:6">
      <c r="B156" s="5" t="s">
        <v>778</v>
      </c>
      <c r="C156" s="5" t="s">
        <v>103</v>
      </c>
      <c r="D156" s="6" t="s">
        <v>113</v>
      </c>
      <c r="E156" s="6" t="s">
        <v>91</v>
      </c>
      <c r="F156" s="6" t="s">
        <v>845</v>
      </c>
    </row>
    <row r="157" spans="2:6">
      <c r="B157" s="5" t="s">
        <v>727</v>
      </c>
      <c r="C157" s="5" t="s">
        <v>103</v>
      </c>
      <c r="D157" s="6" t="s">
        <v>110</v>
      </c>
      <c r="E157" s="6" t="s">
        <v>30</v>
      </c>
      <c r="F157" s="6" t="s">
        <v>846</v>
      </c>
    </row>
    <row r="159" spans="2:6" ht="14">
      <c r="B159" s="17"/>
      <c r="C159" s="18" t="s">
        <v>122</v>
      </c>
    </row>
    <row r="160" spans="2:6" ht="14">
      <c r="B160" s="19" t="s">
        <v>104</v>
      </c>
      <c r="C160" s="19" t="s">
        <v>105</v>
      </c>
      <c r="D160" s="19" t="s">
        <v>1203</v>
      </c>
      <c r="E160" s="19" t="s">
        <v>509</v>
      </c>
      <c r="F160" s="19" t="s">
        <v>108</v>
      </c>
    </row>
    <row r="161" spans="2:6">
      <c r="B161" s="5" t="s">
        <v>768</v>
      </c>
      <c r="C161" s="5" t="s">
        <v>123</v>
      </c>
      <c r="D161" s="6" t="s">
        <v>119</v>
      </c>
      <c r="E161" s="6" t="s">
        <v>143</v>
      </c>
      <c r="F161" s="6" t="s">
        <v>847</v>
      </c>
    </row>
    <row r="162" spans="2:6">
      <c r="B162" s="5" t="s">
        <v>831</v>
      </c>
      <c r="C162" s="5" t="s">
        <v>598</v>
      </c>
      <c r="D162" s="6" t="s">
        <v>237</v>
      </c>
      <c r="E162" s="6" t="s">
        <v>15</v>
      </c>
      <c r="F162" s="6" t="s">
        <v>848</v>
      </c>
    </row>
    <row r="163" spans="2:6">
      <c r="B163" s="5" t="s">
        <v>821</v>
      </c>
      <c r="C163" s="5" t="s">
        <v>491</v>
      </c>
      <c r="D163" s="6" t="s">
        <v>114</v>
      </c>
      <c r="E163" s="6" t="s">
        <v>57</v>
      </c>
      <c r="F163" s="6" t="s">
        <v>849</v>
      </c>
    </row>
    <row r="164" spans="2:6">
      <c r="B164" s="5" t="s">
        <v>125</v>
      </c>
    </row>
  </sheetData>
  <mergeCells count="32">
    <mergeCell ref="A123:J123"/>
    <mergeCell ref="A127:J127"/>
    <mergeCell ref="B3:B4"/>
    <mergeCell ref="A55:J55"/>
    <mergeCell ref="A64:J64"/>
    <mergeCell ref="A74:J74"/>
    <mergeCell ref="A89:J89"/>
    <mergeCell ref="A101:J101"/>
    <mergeCell ref="A114:J114"/>
    <mergeCell ref="A35:J35"/>
    <mergeCell ref="A38:J38"/>
    <mergeCell ref="A41:J41"/>
    <mergeCell ref="A44:J44"/>
    <mergeCell ref="A48:J48"/>
    <mergeCell ref="A51:J51"/>
    <mergeCell ref="A9:J9"/>
    <mergeCell ref="A13:J13"/>
    <mergeCell ref="A18:J18"/>
    <mergeCell ref="A24:J24"/>
    <mergeCell ref="A27:J27"/>
    <mergeCell ref="A32:J32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58"/>
  <sheetViews>
    <sheetView topLeftCell="A23" workbookViewId="0">
      <selection activeCell="E42" sqref="E42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0" width="5.5" style="6" customWidth="1"/>
    <col min="11" max="11" width="10.5" style="30" bestFit="1" customWidth="1"/>
    <col min="12" max="12" width="14.33203125" style="6" customWidth="1"/>
    <col min="13" max="13" width="28.6640625" style="5" bestFit="1" customWidth="1"/>
    <col min="14" max="16384" width="9.1640625" style="3"/>
  </cols>
  <sheetData>
    <row r="1" spans="1:13" s="2" customFormat="1" ht="29" customHeight="1">
      <c r="A1" s="41" t="s">
        <v>1245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3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4"/>
      <c r="L4" s="36"/>
      <c r="M4" s="38"/>
    </row>
    <row r="5" spans="1:13" ht="16">
      <c r="A5" s="39" t="s">
        <v>298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522</v>
      </c>
      <c r="C6" s="7" t="s">
        <v>523</v>
      </c>
      <c r="D6" s="7" t="s">
        <v>524</v>
      </c>
      <c r="E6" s="7" t="s">
        <v>1367</v>
      </c>
      <c r="F6" s="7" t="s">
        <v>1307</v>
      </c>
      <c r="G6" s="20" t="s">
        <v>18</v>
      </c>
      <c r="H6" s="20" t="s">
        <v>250</v>
      </c>
      <c r="I6" s="20" t="s">
        <v>170</v>
      </c>
      <c r="J6" s="8"/>
      <c r="K6" s="29" t="str">
        <f>"97,5"</f>
        <v>97,5</v>
      </c>
      <c r="L6" s="8" t="str">
        <f>"111,1598"</f>
        <v>111,1598</v>
      </c>
      <c r="M6" s="7" t="s">
        <v>525</v>
      </c>
    </row>
    <row r="7" spans="1:13">
      <c r="B7" s="5" t="s">
        <v>125</v>
      </c>
    </row>
    <row r="8" spans="1:13" ht="16">
      <c r="A8" s="52" t="s">
        <v>162</v>
      </c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8" t="s">
        <v>124</v>
      </c>
      <c r="B9" s="7" t="s">
        <v>526</v>
      </c>
      <c r="C9" s="7" t="s">
        <v>527</v>
      </c>
      <c r="D9" s="7" t="s">
        <v>528</v>
      </c>
      <c r="E9" s="7" t="s">
        <v>1367</v>
      </c>
      <c r="F9" s="7" t="s">
        <v>1275</v>
      </c>
      <c r="G9" s="20" t="s">
        <v>17</v>
      </c>
      <c r="H9" s="20" t="s">
        <v>18</v>
      </c>
      <c r="I9" s="21" t="s">
        <v>250</v>
      </c>
      <c r="J9" s="8"/>
      <c r="K9" s="29" t="str">
        <f>"85,0"</f>
        <v>85,0</v>
      </c>
      <c r="L9" s="8" t="str">
        <f>"67,1585"</f>
        <v>67,1585</v>
      </c>
      <c r="M9" s="7" t="s">
        <v>1200</v>
      </c>
    </row>
    <row r="10" spans="1:13">
      <c r="B10" s="5" t="s">
        <v>125</v>
      </c>
    </row>
    <row r="11" spans="1:13" ht="16">
      <c r="A11" s="52" t="s">
        <v>22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3">
      <c r="A12" s="8" t="s">
        <v>124</v>
      </c>
      <c r="B12" s="7" t="s">
        <v>529</v>
      </c>
      <c r="C12" s="7" t="s">
        <v>530</v>
      </c>
      <c r="D12" s="7" t="s">
        <v>531</v>
      </c>
      <c r="E12" s="7" t="s">
        <v>1367</v>
      </c>
      <c r="F12" s="7" t="s">
        <v>1337</v>
      </c>
      <c r="G12" s="20" t="s">
        <v>31</v>
      </c>
      <c r="H12" s="20" t="s">
        <v>91</v>
      </c>
      <c r="I12" s="20" t="s">
        <v>73</v>
      </c>
      <c r="J12" s="8"/>
      <c r="K12" s="29" t="str">
        <f>"215,0"</f>
        <v>215,0</v>
      </c>
      <c r="L12" s="8" t="str">
        <f>"147,1245"</f>
        <v>147,1245</v>
      </c>
      <c r="M12" s="7"/>
    </row>
    <row r="13" spans="1:13">
      <c r="B13" s="5" t="s">
        <v>125</v>
      </c>
    </row>
    <row r="14" spans="1:13" ht="16">
      <c r="A14" s="52" t="s">
        <v>32</v>
      </c>
      <c r="B14" s="52"/>
      <c r="C14" s="52"/>
      <c r="D14" s="52"/>
      <c r="E14" s="52"/>
      <c r="F14" s="52"/>
      <c r="G14" s="52"/>
      <c r="H14" s="52"/>
      <c r="I14" s="52"/>
      <c r="J14" s="52"/>
    </row>
    <row r="15" spans="1:13">
      <c r="A15" s="10" t="s">
        <v>124</v>
      </c>
      <c r="B15" s="9" t="s">
        <v>532</v>
      </c>
      <c r="C15" s="9" t="s">
        <v>533</v>
      </c>
      <c r="D15" s="9" t="s">
        <v>534</v>
      </c>
      <c r="E15" s="9" t="s">
        <v>1369</v>
      </c>
      <c r="F15" s="9" t="s">
        <v>1338</v>
      </c>
      <c r="G15" s="27" t="s">
        <v>166</v>
      </c>
      <c r="H15" s="22" t="s">
        <v>166</v>
      </c>
      <c r="I15" s="27" t="s">
        <v>294</v>
      </c>
      <c r="J15" s="10"/>
      <c r="K15" s="28" t="str">
        <f>"120,0"</f>
        <v>120,0</v>
      </c>
      <c r="L15" s="10" t="str">
        <f>"77,2800"</f>
        <v>77,2800</v>
      </c>
      <c r="M15" s="9"/>
    </row>
    <row r="16" spans="1:13">
      <c r="A16" s="12" t="s">
        <v>124</v>
      </c>
      <c r="B16" s="11" t="s">
        <v>535</v>
      </c>
      <c r="C16" s="11" t="s">
        <v>536</v>
      </c>
      <c r="D16" s="11" t="s">
        <v>537</v>
      </c>
      <c r="E16" s="11" t="s">
        <v>1367</v>
      </c>
      <c r="F16" s="11" t="s">
        <v>1339</v>
      </c>
      <c r="G16" s="24" t="s">
        <v>16</v>
      </c>
      <c r="H16" s="24" t="s">
        <v>30</v>
      </c>
      <c r="I16" s="23" t="s">
        <v>538</v>
      </c>
      <c r="J16" s="12"/>
      <c r="K16" s="32" t="str">
        <f>"185,0"</f>
        <v>185,0</v>
      </c>
      <c r="L16" s="12" t="str">
        <f>"122,6180"</f>
        <v>122,6180</v>
      </c>
      <c r="M16" s="11"/>
    </row>
    <row r="17" spans="1:13">
      <c r="A17" s="12" t="s">
        <v>126</v>
      </c>
      <c r="B17" s="11" t="s">
        <v>539</v>
      </c>
      <c r="C17" s="11" t="s">
        <v>540</v>
      </c>
      <c r="D17" s="11" t="s">
        <v>153</v>
      </c>
      <c r="E17" s="11" t="s">
        <v>1367</v>
      </c>
      <c r="F17" s="11" t="s">
        <v>1266</v>
      </c>
      <c r="G17" s="24" t="s">
        <v>15</v>
      </c>
      <c r="H17" s="24" t="s">
        <v>40</v>
      </c>
      <c r="I17" s="23" t="s">
        <v>30</v>
      </c>
      <c r="J17" s="12"/>
      <c r="K17" s="32" t="str">
        <f>"182,5"</f>
        <v>182,5</v>
      </c>
      <c r="L17" s="12" t="str">
        <f>"117,1103"</f>
        <v>117,1103</v>
      </c>
      <c r="M17" s="11" t="s">
        <v>541</v>
      </c>
    </row>
    <row r="18" spans="1:13">
      <c r="A18" s="12" t="s">
        <v>124</v>
      </c>
      <c r="B18" s="11" t="s">
        <v>542</v>
      </c>
      <c r="C18" s="11" t="s">
        <v>543</v>
      </c>
      <c r="D18" s="11" t="s">
        <v>409</v>
      </c>
      <c r="E18" s="11" t="s">
        <v>1370</v>
      </c>
      <c r="F18" s="11" t="s">
        <v>1310</v>
      </c>
      <c r="G18" s="23" t="s">
        <v>58</v>
      </c>
      <c r="H18" s="24" t="s">
        <v>51</v>
      </c>
      <c r="I18" s="24" t="s">
        <v>147</v>
      </c>
      <c r="J18" s="12"/>
      <c r="K18" s="32" t="str">
        <f>"155,0"</f>
        <v>155,0</v>
      </c>
      <c r="L18" s="12" t="str">
        <f>"99,4468"</f>
        <v>99,4468</v>
      </c>
      <c r="M18" s="11"/>
    </row>
    <row r="19" spans="1:13">
      <c r="A19" s="14" t="s">
        <v>124</v>
      </c>
      <c r="B19" s="13" t="s">
        <v>544</v>
      </c>
      <c r="C19" s="13" t="s">
        <v>545</v>
      </c>
      <c r="D19" s="13" t="s">
        <v>546</v>
      </c>
      <c r="E19" s="13" t="s">
        <v>1371</v>
      </c>
      <c r="F19" s="13" t="s">
        <v>547</v>
      </c>
      <c r="G19" s="25" t="s">
        <v>57</v>
      </c>
      <c r="H19" s="25" t="s">
        <v>132</v>
      </c>
      <c r="I19" s="25" t="s">
        <v>58</v>
      </c>
      <c r="J19" s="14"/>
      <c r="K19" s="31" t="str">
        <f>"140,0"</f>
        <v>140,0</v>
      </c>
      <c r="L19" s="14" t="str">
        <f>"127,9744"</f>
        <v>127,9744</v>
      </c>
      <c r="M19" s="13"/>
    </row>
    <row r="20" spans="1:13">
      <c r="B20" s="5" t="s">
        <v>125</v>
      </c>
    </row>
    <row r="21" spans="1:13" ht="16">
      <c r="A21" s="52" t="s">
        <v>60</v>
      </c>
      <c r="B21" s="52"/>
      <c r="C21" s="52"/>
      <c r="D21" s="52"/>
      <c r="E21" s="52"/>
      <c r="F21" s="52"/>
      <c r="G21" s="52"/>
      <c r="H21" s="52"/>
      <c r="I21" s="52"/>
      <c r="J21" s="52"/>
    </row>
    <row r="22" spans="1:13">
      <c r="A22" s="10" t="s">
        <v>124</v>
      </c>
      <c r="B22" s="9" t="s">
        <v>548</v>
      </c>
      <c r="C22" s="9" t="s">
        <v>549</v>
      </c>
      <c r="D22" s="9" t="s">
        <v>550</v>
      </c>
      <c r="E22" s="9" t="s">
        <v>1369</v>
      </c>
      <c r="F22" s="9" t="s">
        <v>1273</v>
      </c>
      <c r="G22" s="22" t="s">
        <v>81</v>
      </c>
      <c r="H22" s="22" t="s">
        <v>14</v>
      </c>
      <c r="I22" s="22" t="s">
        <v>15</v>
      </c>
      <c r="J22" s="10"/>
      <c r="K22" s="28" t="str">
        <f>"175,0"</f>
        <v>175,0</v>
      </c>
      <c r="L22" s="10" t="str">
        <f>"107,5725"</f>
        <v>107,5725</v>
      </c>
      <c r="M22" s="9"/>
    </row>
    <row r="23" spans="1:13">
      <c r="A23" s="12" t="s">
        <v>124</v>
      </c>
      <c r="B23" s="11" t="s">
        <v>551</v>
      </c>
      <c r="C23" s="11" t="s">
        <v>552</v>
      </c>
      <c r="D23" s="11" t="s">
        <v>553</v>
      </c>
      <c r="E23" s="11" t="s">
        <v>1367</v>
      </c>
      <c r="F23" s="11" t="s">
        <v>1265</v>
      </c>
      <c r="G23" s="24" t="s">
        <v>21</v>
      </c>
      <c r="H23" s="24" t="s">
        <v>59</v>
      </c>
      <c r="I23" s="24" t="s">
        <v>73</v>
      </c>
      <c r="J23" s="12"/>
      <c r="K23" s="32" t="str">
        <f>"215,0"</f>
        <v>215,0</v>
      </c>
      <c r="L23" s="12" t="str">
        <f>"132,3325"</f>
        <v>132,3325</v>
      </c>
      <c r="M23" s="11" t="s">
        <v>554</v>
      </c>
    </row>
    <row r="24" spans="1:13">
      <c r="A24" s="14" t="s">
        <v>126</v>
      </c>
      <c r="B24" s="13" t="s">
        <v>555</v>
      </c>
      <c r="C24" s="13" t="s">
        <v>556</v>
      </c>
      <c r="D24" s="13" t="s">
        <v>557</v>
      </c>
      <c r="E24" s="13" t="s">
        <v>1367</v>
      </c>
      <c r="F24" s="13" t="s">
        <v>1340</v>
      </c>
      <c r="G24" s="26" t="s">
        <v>30</v>
      </c>
      <c r="H24" s="25" t="s">
        <v>30</v>
      </c>
      <c r="I24" s="26" t="s">
        <v>21</v>
      </c>
      <c r="J24" s="14"/>
      <c r="K24" s="31" t="str">
        <f>"185,0"</f>
        <v>185,0</v>
      </c>
      <c r="L24" s="14" t="str">
        <f>"113,8120"</f>
        <v>113,8120</v>
      </c>
      <c r="M24" s="13" t="s">
        <v>1230</v>
      </c>
    </row>
    <row r="25" spans="1:13">
      <c r="B25" s="5" t="s">
        <v>125</v>
      </c>
    </row>
    <row r="26" spans="1:13" ht="16">
      <c r="A26" s="52" t="s">
        <v>86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3">
      <c r="A27" s="10" t="s">
        <v>124</v>
      </c>
      <c r="B27" s="9" t="s">
        <v>558</v>
      </c>
      <c r="C27" s="9" t="s">
        <v>559</v>
      </c>
      <c r="D27" s="9" t="s">
        <v>560</v>
      </c>
      <c r="E27" s="9" t="s">
        <v>1367</v>
      </c>
      <c r="F27" s="9" t="s">
        <v>1312</v>
      </c>
      <c r="G27" s="22" t="s">
        <v>16</v>
      </c>
      <c r="H27" s="22" t="s">
        <v>20</v>
      </c>
      <c r="I27" s="22" t="s">
        <v>31</v>
      </c>
      <c r="J27" s="10"/>
      <c r="K27" s="28" t="str">
        <f>"200,0"</f>
        <v>200,0</v>
      </c>
      <c r="L27" s="10" t="str">
        <f>"118,3400"</f>
        <v>118,3400</v>
      </c>
      <c r="M27" s="9"/>
    </row>
    <row r="28" spans="1:13">
      <c r="A28" s="12" t="s">
        <v>128</v>
      </c>
      <c r="B28" s="11" t="s">
        <v>561</v>
      </c>
      <c r="C28" s="11" t="s">
        <v>562</v>
      </c>
      <c r="D28" s="11" t="s">
        <v>97</v>
      </c>
      <c r="E28" s="11" t="s">
        <v>1367</v>
      </c>
      <c r="F28" s="11" t="s">
        <v>1270</v>
      </c>
      <c r="G28" s="23" t="s">
        <v>59</v>
      </c>
      <c r="H28" s="23" t="s">
        <v>59</v>
      </c>
      <c r="I28" s="23" t="s">
        <v>59</v>
      </c>
      <c r="J28" s="12"/>
      <c r="K28" s="32">
        <v>0</v>
      </c>
      <c r="L28" s="12" t="str">
        <f>"0,0000"</f>
        <v>0,0000</v>
      </c>
      <c r="M28" s="11"/>
    </row>
    <row r="29" spans="1:13">
      <c r="A29" s="12" t="s">
        <v>128</v>
      </c>
      <c r="B29" s="11" t="s">
        <v>563</v>
      </c>
      <c r="C29" s="11" t="s">
        <v>564</v>
      </c>
      <c r="D29" s="11" t="s">
        <v>565</v>
      </c>
      <c r="E29" s="11" t="s">
        <v>1367</v>
      </c>
      <c r="F29" s="11" t="s">
        <v>1314</v>
      </c>
      <c r="G29" s="23" t="s">
        <v>21</v>
      </c>
      <c r="H29" s="23" t="s">
        <v>21</v>
      </c>
      <c r="I29" s="23" t="s">
        <v>21</v>
      </c>
      <c r="J29" s="12"/>
      <c r="K29" s="32">
        <v>0</v>
      </c>
      <c r="L29" s="12" t="str">
        <f>"0,0000"</f>
        <v>0,0000</v>
      </c>
      <c r="M29" s="11"/>
    </row>
    <row r="30" spans="1:13">
      <c r="A30" s="12" t="s">
        <v>124</v>
      </c>
      <c r="B30" s="11" t="s">
        <v>566</v>
      </c>
      <c r="C30" s="11" t="s">
        <v>567</v>
      </c>
      <c r="D30" s="11" t="s">
        <v>568</v>
      </c>
      <c r="E30" s="11" t="s">
        <v>1370</v>
      </c>
      <c r="F30" s="11" t="s">
        <v>1265</v>
      </c>
      <c r="G30" s="24" t="s">
        <v>148</v>
      </c>
      <c r="H30" s="24" t="s">
        <v>382</v>
      </c>
      <c r="I30" s="23" t="s">
        <v>14</v>
      </c>
      <c r="J30" s="12"/>
      <c r="K30" s="32" t="str">
        <f>"167,5"</f>
        <v>167,5</v>
      </c>
      <c r="L30" s="12" t="str">
        <f>"108,8997"</f>
        <v>108,8997</v>
      </c>
      <c r="M30" s="11" t="s">
        <v>1231</v>
      </c>
    </row>
    <row r="31" spans="1:13">
      <c r="A31" s="14" t="s">
        <v>124</v>
      </c>
      <c r="B31" s="13" t="s">
        <v>569</v>
      </c>
      <c r="C31" s="13" t="s">
        <v>570</v>
      </c>
      <c r="D31" s="13" t="s">
        <v>571</v>
      </c>
      <c r="E31" s="13" t="s">
        <v>1371</v>
      </c>
      <c r="F31" s="13" t="s">
        <v>1341</v>
      </c>
      <c r="G31" s="26" t="s">
        <v>132</v>
      </c>
      <c r="H31" s="25" t="s">
        <v>133</v>
      </c>
      <c r="I31" s="25" t="s">
        <v>154</v>
      </c>
      <c r="J31" s="26" t="s">
        <v>147</v>
      </c>
      <c r="K31" s="31" t="str">
        <f>"147,5"</f>
        <v>147,5</v>
      </c>
      <c r="L31" s="14" t="str">
        <f>"130,7021"</f>
        <v>130,7021</v>
      </c>
      <c r="M31" s="13" t="s">
        <v>572</v>
      </c>
    </row>
    <row r="32" spans="1:13">
      <c r="B32" s="5" t="s">
        <v>125</v>
      </c>
    </row>
    <row r="33" spans="1:13" ht="16">
      <c r="A33" s="52" t="s">
        <v>218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3">
      <c r="A34" s="10" t="s">
        <v>124</v>
      </c>
      <c r="B34" s="9" t="s">
        <v>573</v>
      </c>
      <c r="C34" s="9" t="s">
        <v>574</v>
      </c>
      <c r="D34" s="9" t="s">
        <v>575</v>
      </c>
      <c r="E34" s="9" t="s">
        <v>1367</v>
      </c>
      <c r="F34" s="9" t="s">
        <v>1342</v>
      </c>
      <c r="G34" s="22" t="s">
        <v>91</v>
      </c>
      <c r="H34" s="22" t="s">
        <v>186</v>
      </c>
      <c r="I34" s="27" t="s">
        <v>74</v>
      </c>
      <c r="J34" s="10"/>
      <c r="K34" s="28" t="str">
        <f>"217,5"</f>
        <v>217,5</v>
      </c>
      <c r="L34" s="10" t="str">
        <f>"124,0620"</f>
        <v>124,0620</v>
      </c>
      <c r="M34" s="9" t="s">
        <v>576</v>
      </c>
    </row>
    <row r="35" spans="1:13">
      <c r="A35" s="12" t="s">
        <v>124</v>
      </c>
      <c r="B35" s="11" t="s">
        <v>577</v>
      </c>
      <c r="C35" s="11" t="s">
        <v>578</v>
      </c>
      <c r="D35" s="11" t="s">
        <v>579</v>
      </c>
      <c r="E35" s="11" t="s">
        <v>1373</v>
      </c>
      <c r="F35" s="11" t="s">
        <v>1265</v>
      </c>
      <c r="G35" s="24" t="s">
        <v>538</v>
      </c>
      <c r="H35" s="24" t="s">
        <v>399</v>
      </c>
      <c r="I35" s="23" t="s">
        <v>21</v>
      </c>
      <c r="J35" s="12"/>
      <c r="K35" s="32" t="str">
        <f>"192,5"</f>
        <v>192,5</v>
      </c>
      <c r="L35" s="12" t="str">
        <f>"132,5057"</f>
        <v>132,5057</v>
      </c>
      <c r="M35" s="11" t="s">
        <v>1232</v>
      </c>
    </row>
    <row r="36" spans="1:13">
      <c r="A36" s="14" t="s">
        <v>124</v>
      </c>
      <c r="B36" s="13" t="s">
        <v>580</v>
      </c>
      <c r="C36" s="13" t="s">
        <v>581</v>
      </c>
      <c r="D36" s="13" t="s">
        <v>582</v>
      </c>
      <c r="E36" s="13" t="s">
        <v>1371</v>
      </c>
      <c r="F36" s="13" t="s">
        <v>1265</v>
      </c>
      <c r="G36" s="26" t="s">
        <v>27</v>
      </c>
      <c r="H36" s="25" t="s">
        <v>27</v>
      </c>
      <c r="I36" s="25" t="s">
        <v>148</v>
      </c>
      <c r="J36" s="14"/>
      <c r="K36" s="31" t="str">
        <f>"165,0"</f>
        <v>165,0</v>
      </c>
      <c r="L36" s="14" t="str">
        <f>"139,3286"</f>
        <v>139,3286</v>
      </c>
      <c r="M36" s="13"/>
    </row>
    <row r="37" spans="1:13">
      <c r="B37" s="5" t="s">
        <v>125</v>
      </c>
    </row>
    <row r="38" spans="1:13" ht="16">
      <c r="A38" s="52" t="s">
        <v>224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3">
      <c r="A39" s="10" t="s">
        <v>124</v>
      </c>
      <c r="B39" s="9" t="s">
        <v>583</v>
      </c>
      <c r="C39" s="9" t="s">
        <v>584</v>
      </c>
      <c r="D39" s="9" t="s">
        <v>585</v>
      </c>
      <c r="E39" s="9" t="s">
        <v>1367</v>
      </c>
      <c r="F39" s="9" t="s">
        <v>1265</v>
      </c>
      <c r="G39" s="22" t="s">
        <v>27</v>
      </c>
      <c r="H39" s="22" t="s">
        <v>15</v>
      </c>
      <c r="I39" s="22" t="s">
        <v>30</v>
      </c>
      <c r="J39" s="10"/>
      <c r="K39" s="28" t="str">
        <f>"185,0"</f>
        <v>185,0</v>
      </c>
      <c r="L39" s="10" t="str">
        <f>"103,4150"</f>
        <v>103,4150</v>
      </c>
      <c r="M39" s="9"/>
    </row>
    <row r="40" spans="1:13">
      <c r="A40" s="12" t="s">
        <v>124</v>
      </c>
      <c r="B40" s="11" t="s">
        <v>586</v>
      </c>
      <c r="C40" s="11" t="s">
        <v>587</v>
      </c>
      <c r="D40" s="11" t="s">
        <v>588</v>
      </c>
      <c r="E40" s="11" t="s">
        <v>1370</v>
      </c>
      <c r="F40" s="11" t="s">
        <v>1343</v>
      </c>
      <c r="G40" s="24" t="s">
        <v>423</v>
      </c>
      <c r="H40" s="24" t="s">
        <v>83</v>
      </c>
      <c r="I40" s="24" t="s">
        <v>357</v>
      </c>
      <c r="J40" s="12"/>
      <c r="K40" s="32" t="str">
        <f>"235,0"</f>
        <v>235,0</v>
      </c>
      <c r="L40" s="12" t="str">
        <f>"133,4153"</f>
        <v>133,4153</v>
      </c>
      <c r="M40" s="11"/>
    </row>
    <row r="41" spans="1:13">
      <c r="A41" s="14" t="s">
        <v>126</v>
      </c>
      <c r="B41" s="13" t="s">
        <v>589</v>
      </c>
      <c r="C41" s="13" t="s">
        <v>590</v>
      </c>
      <c r="D41" s="13" t="s">
        <v>591</v>
      </c>
      <c r="E41" s="13" t="s">
        <v>1370</v>
      </c>
      <c r="F41" s="13" t="s">
        <v>1265</v>
      </c>
      <c r="G41" s="26" t="s">
        <v>26</v>
      </c>
      <c r="H41" s="25" t="s">
        <v>217</v>
      </c>
      <c r="I41" s="25" t="s">
        <v>382</v>
      </c>
      <c r="J41" s="14"/>
      <c r="K41" s="31" t="str">
        <f>"167,5"</f>
        <v>167,5</v>
      </c>
      <c r="L41" s="14" t="str">
        <f>"95,0434"</f>
        <v>95,0434</v>
      </c>
      <c r="M41" s="13"/>
    </row>
    <row r="42" spans="1:13">
      <c r="B42" s="5" t="s">
        <v>125</v>
      </c>
    </row>
    <row r="43" spans="1:13">
      <c r="B43" s="5" t="s">
        <v>125</v>
      </c>
    </row>
    <row r="44" spans="1:13">
      <c r="B44" s="5" t="s">
        <v>125</v>
      </c>
    </row>
    <row r="45" spans="1:13" ht="18">
      <c r="B45" s="15" t="s">
        <v>101</v>
      </c>
      <c r="C45" s="15"/>
      <c r="F45" s="3"/>
    </row>
    <row r="46" spans="1:13" ht="16">
      <c r="B46" s="16" t="s">
        <v>111</v>
      </c>
      <c r="C46" s="16"/>
      <c r="F46" s="3"/>
    </row>
    <row r="47" spans="1:13" ht="14">
      <c r="B47" s="17"/>
      <c r="C47" s="18" t="s">
        <v>103</v>
      </c>
      <c r="F47" s="3"/>
    </row>
    <row r="48" spans="1:13" ht="14">
      <c r="B48" s="19" t="s">
        <v>104</v>
      </c>
      <c r="C48" s="19" t="s">
        <v>105</v>
      </c>
      <c r="D48" s="19" t="s">
        <v>1203</v>
      </c>
      <c r="E48" s="19" t="s">
        <v>509</v>
      </c>
      <c r="F48" s="19" t="s">
        <v>108</v>
      </c>
    </row>
    <row r="49" spans="2:6">
      <c r="B49" s="5" t="s">
        <v>529</v>
      </c>
      <c r="C49" s="5" t="s">
        <v>103</v>
      </c>
      <c r="D49" s="6" t="s">
        <v>110</v>
      </c>
      <c r="E49" s="6" t="s">
        <v>73</v>
      </c>
      <c r="F49" s="6" t="s">
        <v>593</v>
      </c>
    </row>
    <row r="50" spans="2:6">
      <c r="B50" s="5" t="s">
        <v>551</v>
      </c>
      <c r="C50" s="5" t="s">
        <v>103</v>
      </c>
      <c r="D50" s="6" t="s">
        <v>113</v>
      </c>
      <c r="E50" s="6" t="s">
        <v>73</v>
      </c>
      <c r="F50" s="6" t="s">
        <v>594</v>
      </c>
    </row>
    <row r="51" spans="2:6">
      <c r="B51" s="5" t="s">
        <v>573</v>
      </c>
      <c r="C51" s="5" t="s">
        <v>103</v>
      </c>
      <c r="D51" s="6" t="s">
        <v>521</v>
      </c>
      <c r="E51" s="6" t="s">
        <v>186</v>
      </c>
      <c r="F51" s="6" t="s">
        <v>595</v>
      </c>
    </row>
    <row r="53" spans="2:6" ht="14">
      <c r="B53" s="17"/>
      <c r="C53" s="18" t="s">
        <v>122</v>
      </c>
    </row>
    <row r="54" spans="2:6" ht="14">
      <c r="B54" s="19" t="s">
        <v>104</v>
      </c>
      <c r="C54" s="19" t="s">
        <v>105</v>
      </c>
      <c r="D54" s="19" t="s">
        <v>1203</v>
      </c>
      <c r="E54" s="19" t="s">
        <v>509</v>
      </c>
      <c r="F54" s="19" t="s">
        <v>108</v>
      </c>
    </row>
    <row r="55" spans="2:6">
      <c r="B55" s="5" t="s">
        <v>580</v>
      </c>
      <c r="C55" s="5" t="s">
        <v>491</v>
      </c>
      <c r="D55" s="6" t="s">
        <v>521</v>
      </c>
      <c r="E55" s="6" t="s">
        <v>148</v>
      </c>
      <c r="F55" s="6" t="s">
        <v>596</v>
      </c>
    </row>
    <row r="56" spans="2:6">
      <c r="B56" s="5" t="s">
        <v>586</v>
      </c>
      <c r="C56" s="5" t="s">
        <v>161</v>
      </c>
      <c r="D56" s="6" t="s">
        <v>237</v>
      </c>
      <c r="E56" s="6" t="s">
        <v>357</v>
      </c>
      <c r="F56" s="6" t="s">
        <v>597</v>
      </c>
    </row>
    <row r="57" spans="2:6">
      <c r="B57" s="5" t="s">
        <v>577</v>
      </c>
      <c r="C57" s="5" t="s">
        <v>598</v>
      </c>
      <c r="D57" s="6" t="s">
        <v>521</v>
      </c>
      <c r="E57" s="6" t="s">
        <v>399</v>
      </c>
      <c r="F57" s="6" t="s">
        <v>599</v>
      </c>
    </row>
    <row r="58" spans="2:6">
      <c r="F58" s="3"/>
    </row>
  </sheetData>
  <mergeCells count="19">
    <mergeCell ref="A38:J38"/>
    <mergeCell ref="B3:B4"/>
    <mergeCell ref="A8:J8"/>
    <mergeCell ref="A11:J11"/>
    <mergeCell ref="A14:J14"/>
    <mergeCell ref="A21:J21"/>
    <mergeCell ref="A26:J26"/>
    <mergeCell ref="A33:J33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.332031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18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1" t="s">
        <v>1246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1262</v>
      </c>
      <c r="B3" s="53" t="s">
        <v>0</v>
      </c>
      <c r="C3" s="51" t="s">
        <v>1263</v>
      </c>
      <c r="D3" s="51" t="s">
        <v>5</v>
      </c>
      <c r="E3" s="35" t="s">
        <v>1264</v>
      </c>
      <c r="F3" s="35" t="s">
        <v>6</v>
      </c>
      <c r="G3" s="35" t="s">
        <v>8</v>
      </c>
      <c r="H3" s="35"/>
      <c r="I3" s="35"/>
      <c r="J3" s="35"/>
      <c r="K3" s="35" t="s">
        <v>511</v>
      </c>
      <c r="L3" s="35" t="s">
        <v>3</v>
      </c>
      <c r="M3" s="37" t="s">
        <v>2</v>
      </c>
    </row>
    <row r="4" spans="1:13" s="1" customFormat="1" ht="21" customHeight="1" thickBot="1">
      <c r="A4" s="50"/>
      <c r="B4" s="54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86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124</v>
      </c>
      <c r="B6" s="7" t="s">
        <v>871</v>
      </c>
      <c r="C6" s="7" t="s">
        <v>872</v>
      </c>
      <c r="D6" s="7" t="s">
        <v>565</v>
      </c>
      <c r="E6" s="7" t="s">
        <v>1370</v>
      </c>
      <c r="F6" s="7" t="s">
        <v>1265</v>
      </c>
      <c r="G6" s="20" t="s">
        <v>132</v>
      </c>
      <c r="H6" s="20" t="s">
        <v>50</v>
      </c>
      <c r="I6" s="20" t="s">
        <v>147</v>
      </c>
      <c r="J6" s="8"/>
      <c r="K6" s="8" t="str">
        <f>"155,0"</f>
        <v>155,0</v>
      </c>
      <c r="L6" s="8" t="str">
        <f>"95,7813"</f>
        <v>95,7813</v>
      </c>
      <c r="M6" s="7" t="s">
        <v>1215</v>
      </c>
    </row>
    <row r="7" spans="1:13">
      <c r="B7" s="5" t="s">
        <v>125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однослой ДК</vt:lpstr>
      <vt:lpstr>WEPF Жим однослой</vt:lpstr>
      <vt:lpstr>WEPF Жим многослой ДК</vt:lpstr>
      <vt:lpstr>WEPF Жим многослой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Военный жим ДК</vt:lpstr>
      <vt:lpstr>WRPF Военный жим</vt:lpstr>
      <vt:lpstr>WRPF Жим СФО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2022-04-04T14:43:25Z</dcterms:modified>
</cp:coreProperties>
</file>