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Июнь/"/>
    </mc:Choice>
  </mc:AlternateContent>
  <xr:revisionPtr revIDLastSave="0" documentId="13_ncr:1_{3B0A7D51-E941-D349-9EBE-5508424E51EA}" xr6:coauthVersionLast="45" xr6:coauthVersionMax="47" xr10:uidLastSave="{00000000-0000-0000-0000-000000000000}"/>
  <bookViews>
    <workbookView xWindow="0" yWindow="500" windowWidth="28540" windowHeight="15480" tabRatio="773" firstSheet="12" activeTab="17" xr2:uid="{00000000-000D-0000-FFFF-FFFF00000000}"/>
  </bookViews>
  <sheets>
    <sheet name="WRPF ПЛ без экипировки ДК" sheetId="8" r:id="rId1"/>
    <sheet name="WRPF ПЛ без экипировки" sheetId="7" r:id="rId2"/>
    <sheet name="WRPF ПЛ в бинтах ДК" sheetId="6" r:id="rId3"/>
    <sheet name="WRPF ПЛ в бинтах" sheetId="5" r:id="rId4"/>
    <sheet name="WRPF Двоеборье без экип ДК" sheetId="20" r:id="rId5"/>
    <sheet name="WRPF Двоеборье без экип" sheetId="19" r:id="rId6"/>
    <sheet name="WRPF Жим лежа без экип ДК" sheetId="12" r:id="rId7"/>
    <sheet name="WRPF Жим лежа без экип" sheetId="11" r:id="rId8"/>
    <sheet name="WEPF Жим софт однопетельная ДК" sheetId="13" r:id="rId9"/>
    <sheet name="WEPF Жим софт однопетельная" sheetId="9" r:id="rId10"/>
    <sheet name="WEPF Жим софт многопетельнаяДК" sheetId="16" r:id="rId11"/>
    <sheet name="WEPF Жим софт многопетельная" sheetId="15" r:id="rId12"/>
    <sheet name="WRPF Военный жим ДК" sheetId="14" r:id="rId13"/>
    <sheet name="WRPF Военный жим" sheetId="10" r:id="rId14"/>
    <sheet name="WRPF Тяга без экипировки ДК" sheetId="18" r:id="rId15"/>
    <sheet name="WRPF Тяга без экипировки" sheetId="17" r:id="rId16"/>
    <sheet name="WRPF Подъем на бицепс ДК" sheetId="26" r:id="rId17"/>
    <sheet name="WRPF Подъем на бицепс" sheetId="25" r:id="rId18"/>
  </sheets>
  <definedNames>
    <definedName name="_FilterDatabase" localSheetId="3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5" i="26" l="1"/>
  <c r="K25" i="26"/>
  <c r="L22" i="26"/>
  <c r="K22" i="26"/>
  <c r="L19" i="26"/>
  <c r="K19" i="26"/>
  <c r="L16" i="26"/>
  <c r="K16" i="26"/>
  <c r="L15" i="26"/>
  <c r="K15" i="26"/>
  <c r="L14" i="26"/>
  <c r="K14" i="26"/>
  <c r="L13" i="26"/>
  <c r="K13" i="26"/>
  <c r="L12" i="26"/>
  <c r="K12" i="26"/>
  <c r="L9" i="26"/>
  <c r="K9" i="26"/>
  <c r="L6" i="26"/>
  <c r="K6" i="26"/>
  <c r="L21" i="25"/>
  <c r="K21" i="25"/>
  <c r="L18" i="25"/>
  <c r="K18" i="25"/>
  <c r="L15" i="25"/>
  <c r="K15" i="25"/>
  <c r="L12" i="25"/>
  <c r="K12" i="25"/>
  <c r="L9" i="25"/>
  <c r="K9" i="25"/>
  <c r="L6" i="25"/>
  <c r="K6" i="25"/>
  <c r="P31" i="20"/>
  <c r="O31" i="20"/>
  <c r="P28" i="20"/>
  <c r="O28" i="20"/>
  <c r="P25" i="20"/>
  <c r="O25" i="20"/>
  <c r="P22" i="20"/>
  <c r="O22" i="20"/>
  <c r="P21" i="20"/>
  <c r="O21" i="20"/>
  <c r="P18" i="20"/>
  <c r="O18" i="20"/>
  <c r="P17" i="20"/>
  <c r="O17" i="20"/>
  <c r="P14" i="20"/>
  <c r="O14" i="20"/>
  <c r="P11" i="20"/>
  <c r="O11" i="20"/>
  <c r="P10" i="20"/>
  <c r="O10" i="20"/>
  <c r="P7" i="20"/>
  <c r="O7" i="20"/>
  <c r="P6" i="20"/>
  <c r="O6" i="20"/>
  <c r="P12" i="19"/>
  <c r="O12" i="19"/>
  <c r="P9" i="19"/>
  <c r="O9" i="19"/>
  <c r="P6" i="19"/>
  <c r="O6" i="19"/>
  <c r="L40" i="18"/>
  <c r="K40" i="18"/>
  <c r="L37" i="18"/>
  <c r="K37" i="18"/>
  <c r="L34" i="18"/>
  <c r="K34" i="18"/>
  <c r="L33" i="18"/>
  <c r="K33" i="18"/>
  <c r="L32" i="18"/>
  <c r="K32" i="18"/>
  <c r="L31" i="18"/>
  <c r="K31" i="18"/>
  <c r="L28" i="18"/>
  <c r="K28" i="18"/>
  <c r="L27" i="18"/>
  <c r="K27" i="18"/>
  <c r="L26" i="18"/>
  <c r="K26" i="18"/>
  <c r="L23" i="18"/>
  <c r="K23" i="18"/>
  <c r="L22" i="18"/>
  <c r="K22" i="18"/>
  <c r="L19" i="18"/>
  <c r="K19" i="18"/>
  <c r="L16" i="18"/>
  <c r="K16" i="18"/>
  <c r="L13" i="18"/>
  <c r="K13" i="18"/>
  <c r="L10" i="18"/>
  <c r="K10" i="18"/>
  <c r="L7" i="18"/>
  <c r="K7" i="18"/>
  <c r="L6" i="18"/>
  <c r="K6" i="18"/>
  <c r="L28" i="17"/>
  <c r="K28" i="17"/>
  <c r="L25" i="17"/>
  <c r="K25" i="17"/>
  <c r="L22" i="17"/>
  <c r="K22" i="17"/>
  <c r="L21" i="17"/>
  <c r="K21" i="17"/>
  <c r="L18" i="17"/>
  <c r="K18" i="17"/>
  <c r="L17" i="17"/>
  <c r="K17" i="17"/>
  <c r="L14" i="17"/>
  <c r="K14" i="17"/>
  <c r="E14" i="17"/>
  <c r="L13" i="17"/>
  <c r="K13" i="17"/>
  <c r="L10" i="17"/>
  <c r="K10" i="17"/>
  <c r="L9" i="17"/>
  <c r="L6" i="17"/>
  <c r="K6" i="17"/>
  <c r="L10" i="16"/>
  <c r="K10" i="16"/>
  <c r="L9" i="16"/>
  <c r="K9" i="16"/>
  <c r="L6" i="16"/>
  <c r="K6" i="16"/>
  <c r="L10" i="15"/>
  <c r="K10" i="15"/>
  <c r="L7" i="15"/>
  <c r="K7" i="15"/>
  <c r="L6" i="15"/>
  <c r="K6" i="15"/>
  <c r="L10" i="14"/>
  <c r="K10" i="14"/>
  <c r="L7" i="14"/>
  <c r="K7" i="14"/>
  <c r="L6" i="14"/>
  <c r="K6" i="14"/>
  <c r="L10" i="13"/>
  <c r="K10" i="13"/>
  <c r="L9" i="13"/>
  <c r="K9" i="13"/>
  <c r="L6" i="13"/>
  <c r="K6" i="13"/>
  <c r="L42" i="12"/>
  <c r="K42" i="12"/>
  <c r="L39" i="12"/>
  <c r="K39" i="12"/>
  <c r="L38" i="12"/>
  <c r="K38" i="12"/>
  <c r="L37" i="12"/>
  <c r="K37" i="12"/>
  <c r="L34" i="12"/>
  <c r="L33" i="12"/>
  <c r="K33" i="12"/>
  <c r="L32" i="12"/>
  <c r="K32" i="12"/>
  <c r="L31" i="12"/>
  <c r="K31" i="12"/>
  <c r="L30" i="12"/>
  <c r="K30" i="12"/>
  <c r="L27" i="12"/>
  <c r="K27" i="12"/>
  <c r="L26" i="12"/>
  <c r="K26" i="12"/>
  <c r="L25" i="12"/>
  <c r="K25" i="12"/>
  <c r="L22" i="12"/>
  <c r="L21" i="12"/>
  <c r="K21" i="12"/>
  <c r="L20" i="12"/>
  <c r="K20" i="12"/>
  <c r="L17" i="12"/>
  <c r="K17" i="12"/>
  <c r="L16" i="12"/>
  <c r="K16" i="12"/>
  <c r="L13" i="12"/>
  <c r="K13" i="12"/>
  <c r="L10" i="12"/>
  <c r="K10" i="12"/>
  <c r="L7" i="12"/>
  <c r="K7" i="12"/>
  <c r="L6" i="12"/>
  <c r="K6" i="12"/>
  <c r="L32" i="11"/>
  <c r="K32" i="11"/>
  <c r="L31" i="11"/>
  <c r="K31" i="11"/>
  <c r="L28" i="11"/>
  <c r="K28" i="11"/>
  <c r="L27" i="11"/>
  <c r="K27" i="11"/>
  <c r="L24" i="11"/>
  <c r="K24" i="11"/>
  <c r="L23" i="11"/>
  <c r="K23" i="11"/>
  <c r="L20" i="11"/>
  <c r="K20" i="11"/>
  <c r="L19" i="11"/>
  <c r="K19" i="11"/>
  <c r="L18" i="11"/>
  <c r="K18" i="11"/>
  <c r="L15" i="11"/>
  <c r="K15" i="11"/>
  <c r="L12" i="11"/>
  <c r="K12" i="11"/>
  <c r="L9" i="11"/>
  <c r="K9" i="11"/>
  <c r="L6" i="11"/>
  <c r="K6" i="11"/>
  <c r="L6" i="10"/>
  <c r="K6" i="10"/>
  <c r="L9" i="9"/>
  <c r="K9" i="9"/>
  <c r="L8" i="9"/>
  <c r="K8" i="9"/>
  <c r="L7" i="9"/>
  <c r="K7" i="9"/>
  <c r="L6" i="9"/>
  <c r="K6" i="9"/>
  <c r="T51" i="8"/>
  <c r="S51" i="8"/>
  <c r="T48" i="8"/>
  <c r="S48" i="8"/>
  <c r="T47" i="8"/>
  <c r="S47" i="8"/>
  <c r="T44" i="8"/>
  <c r="S44" i="8"/>
  <c r="T43" i="8"/>
  <c r="S43" i="8"/>
  <c r="T40" i="8"/>
  <c r="S40" i="8"/>
  <c r="T39" i="8"/>
  <c r="S39" i="8"/>
  <c r="T38" i="8"/>
  <c r="S38" i="8"/>
  <c r="T37" i="8"/>
  <c r="S37" i="8"/>
  <c r="T36" i="8"/>
  <c r="S36" i="8"/>
  <c r="T33" i="8"/>
  <c r="S33" i="8"/>
  <c r="T32" i="8"/>
  <c r="S32" i="8"/>
  <c r="T31" i="8"/>
  <c r="S31" i="8"/>
  <c r="T28" i="8"/>
  <c r="S28" i="8"/>
  <c r="T25" i="8"/>
  <c r="S25" i="8"/>
  <c r="T22" i="8"/>
  <c r="S22" i="8"/>
  <c r="T19" i="8"/>
  <c r="S19" i="8"/>
  <c r="T16" i="8"/>
  <c r="S16" i="8"/>
  <c r="T15" i="8"/>
  <c r="S15" i="8"/>
  <c r="T14" i="8"/>
  <c r="S14" i="8"/>
  <c r="T11" i="8"/>
  <c r="S11" i="8"/>
  <c r="T8" i="8"/>
  <c r="T7" i="8"/>
  <c r="S7" i="8"/>
  <c r="T6" i="8"/>
  <c r="S6" i="8"/>
  <c r="T24" i="7"/>
  <c r="S24" i="7"/>
  <c r="T21" i="7"/>
  <c r="S21" i="7"/>
  <c r="T18" i="7"/>
  <c r="S18" i="7"/>
  <c r="T15" i="7"/>
  <c r="S15" i="7"/>
  <c r="T12" i="7"/>
  <c r="S12" i="7"/>
  <c r="T9" i="7"/>
  <c r="S9" i="7"/>
  <c r="T6" i="7"/>
  <c r="S6" i="7"/>
  <c r="T6" i="6"/>
  <c r="S6" i="6"/>
  <c r="T7" i="5"/>
  <c r="S7" i="5"/>
  <c r="T6" i="5"/>
  <c r="S6" i="5"/>
</calcChain>
</file>

<file path=xl/sharedStrings.xml><?xml version="1.0" encoding="utf-8"?>
<sst xmlns="http://schemas.openxmlformats.org/spreadsheetml/2006/main" count="1878" uniqueCount="469">
  <si>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</si>
  <si>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</si>
  <si>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</si>
  <si>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</si>
  <si>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</si>
  <si>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</si>
  <si>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</si>
  <si>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</si>
  <si>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</si>
  <si>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</si>
  <si>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90</t>
  </si>
  <si>
    <t>Исаков Тимур</t>
  </si>
  <si>
    <t>Открытая (15.08.1987)/34</t>
  </si>
  <si>
    <t>89,50</t>
  </si>
  <si>
    <t>230,0</t>
  </si>
  <si>
    <t>240,0</t>
  </si>
  <si>
    <t>155,0</t>
  </si>
  <si>
    <t>160,0</t>
  </si>
  <si>
    <t>165,0</t>
  </si>
  <si>
    <t>235,0</t>
  </si>
  <si>
    <t>245,0</t>
  </si>
  <si>
    <t>267,5</t>
  </si>
  <si>
    <t xml:space="preserve">Магомедов А. </t>
  </si>
  <si>
    <t>Магомедов Руслан</t>
  </si>
  <si>
    <t>Мастера 40-49 (20.11.1980)/41</t>
  </si>
  <si>
    <t>90,00</t>
  </si>
  <si>
    <t>250,0</t>
  </si>
  <si>
    <t>265,0</t>
  </si>
  <si>
    <t>275,0</t>
  </si>
  <si>
    <t>162,5</t>
  </si>
  <si>
    <t>170,0</t>
  </si>
  <si>
    <t>255,0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</si>
  <si>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</si>
  <si>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</si>
  <si>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</si>
  <si>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</si>
  <si>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</si>
  <si>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</si>
  <si>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Wilks </t>
  </si>
  <si>
    <t>1</t>
  </si>
  <si>
    <t>ВЕСОВАЯ КАТЕГОРИЯ   56</t>
  </si>
  <si>
    <t>Ибрагимова Эльвира</t>
  </si>
  <si>
    <t>Открытая (02.01.1991)/31</t>
  </si>
  <si>
    <t>56,00</t>
  </si>
  <si>
    <t>95,0</t>
  </si>
  <si>
    <t>105,0</t>
  </si>
  <si>
    <t>112,5</t>
  </si>
  <si>
    <t>40,0</t>
  </si>
  <si>
    <t>45,0</t>
  </si>
  <si>
    <t>50,0</t>
  </si>
  <si>
    <t>115,0</t>
  </si>
  <si>
    <t xml:space="preserve">Магомедов Р. </t>
  </si>
  <si>
    <t xml:space="preserve">Женщины </t>
  </si>
  <si>
    <t>ВЕСОВАЯ КАТЕГОРИЯ   60</t>
  </si>
  <si>
    <t>Топчий Марина</t>
  </si>
  <si>
    <t>Открытая (21.08.1984)/37</t>
  </si>
  <si>
    <t>58,30</t>
  </si>
  <si>
    <t xml:space="preserve">Зеленокумск/Ставропольский край </t>
  </si>
  <si>
    <t>65,0</t>
  </si>
  <si>
    <t>70,0</t>
  </si>
  <si>
    <t>30,0</t>
  </si>
  <si>
    <t>35,0</t>
  </si>
  <si>
    <t>75,0</t>
  </si>
  <si>
    <t>85,0</t>
  </si>
  <si>
    <t>100,0</t>
  </si>
  <si>
    <t>ВЕСОВАЯ КАТЕГОРИЯ   82.5</t>
  </si>
  <si>
    <t>Волкова Жанна</t>
  </si>
  <si>
    <t>Открытая (13.12.1990)/31</t>
  </si>
  <si>
    <t>79,60</t>
  </si>
  <si>
    <t xml:space="preserve">Ставрополь/Ставропольский край </t>
  </si>
  <si>
    <t>90,0</t>
  </si>
  <si>
    <t>62,5</t>
  </si>
  <si>
    <t>67,5</t>
  </si>
  <si>
    <t>110,0</t>
  </si>
  <si>
    <t>117,5</t>
  </si>
  <si>
    <t>122,5</t>
  </si>
  <si>
    <t xml:space="preserve">Егоров А. </t>
  </si>
  <si>
    <t>Муртазалиев Лёма</t>
  </si>
  <si>
    <t>Открытая (28.02.1988)/34</t>
  </si>
  <si>
    <t>60,00</t>
  </si>
  <si>
    <t>130,0</t>
  </si>
  <si>
    <t>135,0</t>
  </si>
  <si>
    <t>140,0</t>
  </si>
  <si>
    <t>142,5</t>
  </si>
  <si>
    <t>175,0</t>
  </si>
  <si>
    <t xml:space="preserve">Ступников Р. </t>
  </si>
  <si>
    <t>ВЕСОВАЯ КАТЕГОРИЯ   67.5</t>
  </si>
  <si>
    <t>Судаков Егор</t>
  </si>
  <si>
    <t>Юноши 14-16 (07.12.2008)/13</t>
  </si>
  <si>
    <t>62,50</t>
  </si>
  <si>
    <t>80,0</t>
  </si>
  <si>
    <t>55,0</t>
  </si>
  <si>
    <t>60,0</t>
  </si>
  <si>
    <t xml:space="preserve">Снегирев В. </t>
  </si>
  <si>
    <t>Тюнин Данил</t>
  </si>
  <si>
    <t>Юниоры (22.06.2001)/20</t>
  </si>
  <si>
    <t>81,20</t>
  </si>
  <si>
    <t>200,0</t>
  </si>
  <si>
    <t>212,5</t>
  </si>
  <si>
    <t>222,5</t>
  </si>
  <si>
    <t>147,5</t>
  </si>
  <si>
    <t>205,0</t>
  </si>
  <si>
    <t>220,0</t>
  </si>
  <si>
    <t xml:space="preserve">Тарасов А. </t>
  </si>
  <si>
    <t>Алиев Мурад</t>
  </si>
  <si>
    <t>Открытая (02.06.1988)/34</t>
  </si>
  <si>
    <t>180,0</t>
  </si>
  <si>
    <t>195,0</t>
  </si>
  <si>
    <t>145,0</t>
  </si>
  <si>
    <t>150,0</t>
  </si>
  <si>
    <t>215,0</t>
  </si>
  <si>
    <t>ВЕСОВАЯ КАТЕГОРИЯ   125</t>
  </si>
  <si>
    <t>Галстян Самвел</t>
  </si>
  <si>
    <t>Открытая (05.12.1987)/34</t>
  </si>
  <si>
    <t>122,10</t>
  </si>
  <si>
    <t xml:space="preserve">Георгиевск/Ставропольский край </t>
  </si>
  <si>
    <t>210,0</t>
  </si>
  <si>
    <t>182,5</t>
  </si>
  <si>
    <t>190,0</t>
  </si>
  <si>
    <t>272,5</t>
  </si>
  <si>
    <t>280,0</t>
  </si>
  <si>
    <t>ВЕСОВАЯ КАТЕГОРИЯ   52</t>
  </si>
  <si>
    <t>Меладзе Екатерина</t>
  </si>
  <si>
    <t>Открытая (24.05.1990)/32</t>
  </si>
  <si>
    <t>51,70</t>
  </si>
  <si>
    <t>Степанкина Марина</t>
  </si>
  <si>
    <t>Открытая (17.12.1998)/23</t>
  </si>
  <si>
    <t>51,00</t>
  </si>
  <si>
    <t xml:space="preserve">Зеленоград/Московская область </t>
  </si>
  <si>
    <t>92,5</t>
  </si>
  <si>
    <t>57,5</t>
  </si>
  <si>
    <t>102,5</t>
  </si>
  <si>
    <t>Балацкая Ольга</t>
  </si>
  <si>
    <t>Открытая (06.03.1988)/34</t>
  </si>
  <si>
    <t>51,60</t>
  </si>
  <si>
    <t>52,5</t>
  </si>
  <si>
    <t xml:space="preserve">Картинин В. </t>
  </si>
  <si>
    <t>Голуб Виктория</t>
  </si>
  <si>
    <t>Открытая (08.02.1997)/25</t>
  </si>
  <si>
    <t>55,50</t>
  </si>
  <si>
    <t xml:space="preserve">Краснодар/Краснодарский край </t>
  </si>
  <si>
    <t>Великохацкая Вилена</t>
  </si>
  <si>
    <t>Девушки 17-19 (30.09.2004)/17</t>
  </si>
  <si>
    <t>66,20</t>
  </si>
  <si>
    <t xml:space="preserve">Волгодонск/Ростовская область </t>
  </si>
  <si>
    <t>97,5</t>
  </si>
  <si>
    <t>Алиферова Анна</t>
  </si>
  <si>
    <t>Открытая (21.06.1987)/34</t>
  </si>
  <si>
    <t>67,00</t>
  </si>
  <si>
    <t>107,5</t>
  </si>
  <si>
    <t>120,0</t>
  </si>
  <si>
    <t>Мещерикова Наталья</t>
  </si>
  <si>
    <t>Открытая (27.09.1986)/35</t>
  </si>
  <si>
    <t>67,50</t>
  </si>
  <si>
    <t xml:space="preserve">Минеральные Воды/Ставропольский край </t>
  </si>
  <si>
    <t>125,0</t>
  </si>
  <si>
    <t>ВЕСОВАЯ КАТЕГОРИЯ   75</t>
  </si>
  <si>
    <t>Крахмалева Наталья</t>
  </si>
  <si>
    <t>Открытая (06.09.1976)/45</t>
  </si>
  <si>
    <t>74,00</t>
  </si>
  <si>
    <t xml:space="preserve">Астрахань/Астраханская область </t>
  </si>
  <si>
    <t>152,5</t>
  </si>
  <si>
    <t>Гейвандов Арсен</t>
  </si>
  <si>
    <t>Юноши 14-16 (30.06.2005)/16</t>
  </si>
  <si>
    <t>55,60</t>
  </si>
  <si>
    <t xml:space="preserve">Будённовск/Ставропольский край </t>
  </si>
  <si>
    <t>82,5</t>
  </si>
  <si>
    <t xml:space="preserve">Бобряшов В. </t>
  </si>
  <si>
    <t>Цоколов Артём</t>
  </si>
  <si>
    <t>Юноши 14-16 (09.10.2007)/14</t>
  </si>
  <si>
    <t>Лягусь Константин</t>
  </si>
  <si>
    <t>Юноши 17-19 (13.06.2002)/19</t>
  </si>
  <si>
    <t>64,80</t>
  </si>
  <si>
    <t>77,5</t>
  </si>
  <si>
    <t>Успанов Байсангур</t>
  </si>
  <si>
    <t>Открытая (20.03.1990)/32</t>
  </si>
  <si>
    <t>82,50</t>
  </si>
  <si>
    <t>185,0</t>
  </si>
  <si>
    <t>260,0</t>
  </si>
  <si>
    <t xml:space="preserve">Гадзоев В. </t>
  </si>
  <si>
    <t>Спирин Илья</t>
  </si>
  <si>
    <t>Открытая (03.09.1988)/33</t>
  </si>
  <si>
    <t>81,00</t>
  </si>
  <si>
    <t xml:space="preserve">Шеин В. А. </t>
  </si>
  <si>
    <t>Бородин Дмитрий</t>
  </si>
  <si>
    <t>Открытая (21.01.1986)/36</t>
  </si>
  <si>
    <t>80,10</t>
  </si>
  <si>
    <t xml:space="preserve">Кисловодск/Ставропольский край </t>
  </si>
  <si>
    <t xml:space="preserve">Аносенко А. </t>
  </si>
  <si>
    <t>Гейвандов Артём</t>
  </si>
  <si>
    <t>Юноши 14-16 (21.09.2009)/12</t>
  </si>
  <si>
    <t>Вытришко Никита</t>
  </si>
  <si>
    <t>Юноши 17-19 (21.09.2004)/17</t>
  </si>
  <si>
    <t>87,40</t>
  </si>
  <si>
    <t>197,5</t>
  </si>
  <si>
    <t>127,5</t>
  </si>
  <si>
    <t>132,5</t>
  </si>
  <si>
    <t>137,5</t>
  </si>
  <si>
    <t>Инжиевский Александр</t>
  </si>
  <si>
    <t>Открытая (04.03.1992)/30</t>
  </si>
  <si>
    <t xml:space="preserve">Солнечнодольск/Ставропольский край </t>
  </si>
  <si>
    <t>Газаев Мухадин</t>
  </si>
  <si>
    <t>Открытая (29.03.1993)/29</t>
  </si>
  <si>
    <t>87,80</t>
  </si>
  <si>
    <t>Кузнецов Владимир</t>
  </si>
  <si>
    <t>Открытая (21.07.1984)/37</t>
  </si>
  <si>
    <t>87,70</t>
  </si>
  <si>
    <t xml:space="preserve">Невинномысск/Ставропольский край </t>
  </si>
  <si>
    <t>172,5</t>
  </si>
  <si>
    <t>225,0</t>
  </si>
  <si>
    <t xml:space="preserve">Кашпаров Д. </t>
  </si>
  <si>
    <t>ВЕСОВАЯ КАТЕГОРИЯ   100</t>
  </si>
  <si>
    <t>Шурдумов Альбек</t>
  </si>
  <si>
    <t>Открытая (17.12.2000)/21</t>
  </si>
  <si>
    <t>97,10</t>
  </si>
  <si>
    <t xml:space="preserve">Хафицев М. </t>
  </si>
  <si>
    <t>Аносенко Алексей</t>
  </si>
  <si>
    <t>Открытая (19.03.1991)/31</t>
  </si>
  <si>
    <t>98,60</t>
  </si>
  <si>
    <t>Сармин Михаил</t>
  </si>
  <si>
    <t>Открытая (04.07.1990)/31</t>
  </si>
  <si>
    <t>122,80</t>
  </si>
  <si>
    <t>242,5</t>
  </si>
  <si>
    <t>257,5</t>
  </si>
  <si>
    <t>Мазанов Тамерлан</t>
  </si>
  <si>
    <t>Открытая (05.10.1984)/37</t>
  </si>
  <si>
    <t>122,30</t>
  </si>
  <si>
    <t>207,5</t>
  </si>
  <si>
    <t xml:space="preserve">Даштиев Р. </t>
  </si>
  <si>
    <t>ВЕСОВАЯ КАТЕГОРИЯ   140+</t>
  </si>
  <si>
    <t>Парахин Денис</t>
  </si>
  <si>
    <t>Юноши 14-16 (02.10.2005)/16</t>
  </si>
  <si>
    <t>141,00</t>
  </si>
  <si>
    <t xml:space="preserve">Армавир/Краснодарский край </t>
  </si>
  <si>
    <t xml:space="preserve">Косенко Е. </t>
  </si>
  <si>
    <t>-</t>
  </si>
  <si>
    <t>ВЕСОВАЯ КАТЕГОРИЯ   110</t>
  </si>
  <si>
    <t>Тарасов Александр</t>
  </si>
  <si>
    <t>Открытая (28.05.1980)/42</t>
  </si>
  <si>
    <t>110,00</t>
  </si>
  <si>
    <t>270,0</t>
  </si>
  <si>
    <t>290,0</t>
  </si>
  <si>
    <t>Исрапилов Магомедамин</t>
  </si>
  <si>
    <t>Открытая (03.05.1975)/47</t>
  </si>
  <si>
    <t>108,00</t>
  </si>
  <si>
    <t>Мастера 40-49 (28.05.1980)/42</t>
  </si>
  <si>
    <t>Мастера 40-49 (03.05.1975)/47</t>
  </si>
  <si>
    <t xml:space="preserve">Результат </t>
  </si>
  <si>
    <t>Результат</t>
  </si>
  <si>
    <t>Бровкина Ашхен</t>
  </si>
  <si>
    <t>Открытая (04.09.1991)/30</t>
  </si>
  <si>
    <t>42,5</t>
  </si>
  <si>
    <t>47,5</t>
  </si>
  <si>
    <t xml:space="preserve">Бровкин Д. </t>
  </si>
  <si>
    <t>Стародубцев Евгений</t>
  </si>
  <si>
    <t>Юноши 14-16 (27.06.2006)/15</t>
  </si>
  <si>
    <t>70,30</t>
  </si>
  <si>
    <t>Плахотин Иван</t>
  </si>
  <si>
    <t>Открытая (01.02.1995)/27</t>
  </si>
  <si>
    <t>79,30</t>
  </si>
  <si>
    <t>Эчкал Александр</t>
  </si>
  <si>
    <t>Юноши 14-16 (15.03.2006)/16</t>
  </si>
  <si>
    <t>Насрулаев Сакрат</t>
  </si>
  <si>
    <t>Открытая (22.06.1989)/32</t>
  </si>
  <si>
    <t>89,30</t>
  </si>
  <si>
    <t>167,5</t>
  </si>
  <si>
    <t>Ханбабаев Далгат</t>
  </si>
  <si>
    <t>Открытая (11.03.1991)/31</t>
  </si>
  <si>
    <t>100,00</t>
  </si>
  <si>
    <t>Сидякин Евгений</t>
  </si>
  <si>
    <t>Мастера 40-49 (28.06.1981)/40</t>
  </si>
  <si>
    <t>157,5</t>
  </si>
  <si>
    <t>Печняков Артем</t>
  </si>
  <si>
    <t>Открытая (16.03.1988)/34</t>
  </si>
  <si>
    <t>114,20</t>
  </si>
  <si>
    <t xml:space="preserve">Красногорск/Московская область </t>
  </si>
  <si>
    <t>Юниорки (17.12.1998)/23</t>
  </si>
  <si>
    <t>Апресян Давид</t>
  </si>
  <si>
    <t>Открытая (26.02.1990)/32</t>
  </si>
  <si>
    <t>59,20</t>
  </si>
  <si>
    <t xml:space="preserve">Галстян С. </t>
  </si>
  <si>
    <t>Михитарьян Григорий</t>
  </si>
  <si>
    <t>Открытая (01.08.1983)/38</t>
  </si>
  <si>
    <t>Чалян Артавазд</t>
  </si>
  <si>
    <t>Юниоры (06.04.2002)/20</t>
  </si>
  <si>
    <t>75,00</t>
  </si>
  <si>
    <t xml:space="preserve">Михайловск/Ставропольский край </t>
  </si>
  <si>
    <t xml:space="preserve">Марков Н. </t>
  </si>
  <si>
    <t>Лигай Дмитрий</t>
  </si>
  <si>
    <t>Открытая (29.11.1996)/25</t>
  </si>
  <si>
    <t>72,60</t>
  </si>
  <si>
    <t>202,5</t>
  </si>
  <si>
    <t>Бурьянов Артем</t>
  </si>
  <si>
    <t>Юниоры (26.05.2002)/20</t>
  </si>
  <si>
    <t>81,10</t>
  </si>
  <si>
    <t xml:space="preserve">Лиховицкий И. </t>
  </si>
  <si>
    <t>Газарян Григорий</t>
  </si>
  <si>
    <t>Открытая (30.05.1986)/36</t>
  </si>
  <si>
    <t>Тимофеев Максим</t>
  </si>
  <si>
    <t>Открытая (18.05.1994)/28</t>
  </si>
  <si>
    <t xml:space="preserve">Ессентуки/Ставропольский край </t>
  </si>
  <si>
    <t>Саркисов Илья</t>
  </si>
  <si>
    <t>Открытая (13.01.1996)/26</t>
  </si>
  <si>
    <t>89,90</t>
  </si>
  <si>
    <t xml:space="preserve">Чернов Д. </t>
  </si>
  <si>
    <t>Магомедов Курбан</t>
  </si>
  <si>
    <t>Открытая (16.05.1984)/38</t>
  </si>
  <si>
    <t>Кумратов Алексей</t>
  </si>
  <si>
    <t>Открытая (21.07.1985)/36</t>
  </si>
  <si>
    <t>96,70</t>
  </si>
  <si>
    <t>Ораков Эльдар</t>
  </si>
  <si>
    <t>Открытая (01.07.1992)/29</t>
  </si>
  <si>
    <t>93,90</t>
  </si>
  <si>
    <t>Привалов Илья</t>
  </si>
  <si>
    <t>Открытая (22.09.1997)/24</t>
  </si>
  <si>
    <t>94,80</t>
  </si>
  <si>
    <t>Мельников Дмитрий</t>
  </si>
  <si>
    <t>Мастера 40-49 (11.12.1975)/46</t>
  </si>
  <si>
    <t>Потапов Владимир</t>
  </si>
  <si>
    <t>Юниоры (25.04.2000)/22</t>
  </si>
  <si>
    <t>108,50</t>
  </si>
  <si>
    <t xml:space="preserve">Даньшин А. </t>
  </si>
  <si>
    <t>Михайленко Сергей</t>
  </si>
  <si>
    <t>Мастера 40-49 (26.02.1982)/40</t>
  </si>
  <si>
    <t>98,30</t>
  </si>
  <si>
    <t>Назаренко Валерий</t>
  </si>
  <si>
    <t>Юниоры (19.08.1999)/22</t>
  </si>
  <si>
    <t>82,30</t>
  </si>
  <si>
    <t xml:space="preserve">Шрамко И. </t>
  </si>
  <si>
    <t>Открытая (19.08.1999)/22</t>
  </si>
  <si>
    <t>Бороздин Андрей</t>
  </si>
  <si>
    <t>Мастера 40-49 (02.06.1979)/43</t>
  </si>
  <si>
    <t>124,70</t>
  </si>
  <si>
    <t>227,5</t>
  </si>
  <si>
    <t>Макиева Диана</t>
  </si>
  <si>
    <t>Юниорки (04.01.2001)/21</t>
  </si>
  <si>
    <t>58,60</t>
  </si>
  <si>
    <t>Москвицов Данил</t>
  </si>
  <si>
    <t>Юноши 14-16 (14.01.2007)/15</t>
  </si>
  <si>
    <t>82,10</t>
  </si>
  <si>
    <t>Суроми Александр</t>
  </si>
  <si>
    <t>Открытая (02.01.1988)/34</t>
  </si>
  <si>
    <t>78,00</t>
  </si>
  <si>
    <t xml:space="preserve">Сальск/Ростовская область </t>
  </si>
  <si>
    <t>Ступников Роман</t>
  </si>
  <si>
    <t>Открытая (21.01.1988)/34</t>
  </si>
  <si>
    <t>86,90</t>
  </si>
  <si>
    <t>350,0</t>
  </si>
  <si>
    <t>362,5</t>
  </si>
  <si>
    <t>375,5</t>
  </si>
  <si>
    <t>Жохов Сергей</t>
  </si>
  <si>
    <t>Открытая (04.03.1987)/35</t>
  </si>
  <si>
    <t>340,0</t>
  </si>
  <si>
    <t>Шрамко Игорь</t>
  </si>
  <si>
    <t>Открытая (07.10.1986)/35</t>
  </si>
  <si>
    <t>104,00</t>
  </si>
  <si>
    <t xml:space="preserve">Смирнов Д. </t>
  </si>
  <si>
    <t>ВЕСОВАЯ КАТЕГОРИЯ   140</t>
  </si>
  <si>
    <t>Симонов Павел</t>
  </si>
  <si>
    <t>Открытая (20.07.1989)/32</t>
  </si>
  <si>
    <t>136,40</t>
  </si>
  <si>
    <t xml:space="preserve">Буденновск/Ставоопольский край </t>
  </si>
  <si>
    <t>297,5</t>
  </si>
  <si>
    <t>305,0</t>
  </si>
  <si>
    <t>Мусаева Патимат</t>
  </si>
  <si>
    <t>Открытая (22.02.1986)/36</t>
  </si>
  <si>
    <t>51,90</t>
  </si>
  <si>
    <t>Шевченко Владимир</t>
  </si>
  <si>
    <t>Юниоры (29.06.1998)/23</t>
  </si>
  <si>
    <t>66,90</t>
  </si>
  <si>
    <t xml:space="preserve">Горобцов Л. </t>
  </si>
  <si>
    <t>Костромин Павел</t>
  </si>
  <si>
    <t>Открытая (28.04.1994)/28</t>
  </si>
  <si>
    <t>72,30</t>
  </si>
  <si>
    <t>Подкопаев Игорь</t>
  </si>
  <si>
    <t>Открытая (20.07.1997)/24</t>
  </si>
  <si>
    <t>89,00</t>
  </si>
  <si>
    <t xml:space="preserve">Дивное/Ставропольский край </t>
  </si>
  <si>
    <t>192,5</t>
  </si>
  <si>
    <t>Новиков Николай</t>
  </si>
  <si>
    <t>Мастера 70-79 (21.05.1947)/75</t>
  </si>
  <si>
    <t>88,00</t>
  </si>
  <si>
    <t>Першина Мария</t>
  </si>
  <si>
    <t>Открытая (06.10.1991)/30</t>
  </si>
  <si>
    <t>58,80</t>
  </si>
  <si>
    <t xml:space="preserve">Обрывко В. </t>
  </si>
  <si>
    <t>Бобырев Даниил</t>
  </si>
  <si>
    <t>49,90</t>
  </si>
  <si>
    <t xml:space="preserve">Зимовники/Ростовская область </t>
  </si>
  <si>
    <t>22,5</t>
  </si>
  <si>
    <t>37,5</t>
  </si>
  <si>
    <t>27,5</t>
  </si>
  <si>
    <t>Петросян Вилен</t>
  </si>
  <si>
    <t>Открытая (17.04.1989)/33</t>
  </si>
  <si>
    <t>72,5</t>
  </si>
  <si>
    <t>124,80</t>
  </si>
  <si>
    <t>32,5</t>
  </si>
  <si>
    <t>Дзиваев Сармат</t>
  </si>
  <si>
    <t>72,00</t>
  </si>
  <si>
    <t>Снадный Михаил</t>
  </si>
  <si>
    <t>74,70</t>
  </si>
  <si>
    <t xml:space="preserve">Ипатово/Ставропольский край </t>
  </si>
  <si>
    <t>Журавлев Илья</t>
  </si>
  <si>
    <t>74,90</t>
  </si>
  <si>
    <t>Гайфутдинов Алексей</t>
  </si>
  <si>
    <t>Открытая (24.08.1984)/37</t>
  </si>
  <si>
    <t xml:space="preserve">Москва </t>
  </si>
  <si>
    <t>Стрыгин Антон</t>
  </si>
  <si>
    <t>Открытая (05.01.1997)/25</t>
  </si>
  <si>
    <t>70,50</t>
  </si>
  <si>
    <t xml:space="preserve">Ростов-на-Дону/Ростовская область </t>
  </si>
  <si>
    <t>Однораленко Илья</t>
  </si>
  <si>
    <t>Открытая (16.01.1993)/29</t>
  </si>
  <si>
    <t xml:space="preserve">Новоалександровск/Ставропольский край </t>
  </si>
  <si>
    <t>Малеев Артем</t>
  </si>
  <si>
    <t>92,40</t>
  </si>
  <si>
    <t xml:space="preserve">Красько А. </t>
  </si>
  <si>
    <t>Бобырев В.</t>
  </si>
  <si>
    <t>Бекузаров Р.</t>
  </si>
  <si>
    <t>Аносенко А.</t>
  </si>
  <si>
    <t>Магомедов М.</t>
  </si>
  <si>
    <t>Горобцов Л.</t>
  </si>
  <si>
    <t>Смирнов Д.</t>
  </si>
  <si>
    <t>Всероссийский мастерский турнир «Кубок Солнца»
WRPF Строгий подъем штанги на бицепс ДК
Ставрополь/Ставропольский край, 04-05 июня 2022 года</t>
  </si>
  <si>
    <t>Всероссийский мастерский турнир «Кубок Солнца»
WRPF Строгий подъем штанги на бицепс
Ставрополь/Ставропольский край, 04-05 июня 2022 года</t>
  </si>
  <si>
    <t>Всероссийский мастерский турнир «Кубок Солнца»
WRPF Силовое двоеборье без экипировки ДК
Ставрополь/Ставропольский край, 04-05 июня 2022 года</t>
  </si>
  <si>
    <t>Всероссийский мастерский турнир «Кубок Солнца»
WRPF Силовое двоеборье без экипировки
Ставрополь/Ставропольский край, 04-05 июня 2022 года</t>
  </si>
  <si>
    <t>Всероссийский мастерский турнир «Кубок Солнца»
WRPF Становая тяга без экипировки ДК
Ставрополь/Ставропольский край, 04-05 июня 2022 года</t>
  </si>
  <si>
    <t>Всероссийский мастерский турнир «Кубок Солнца»
WRPF Становая тяга без экипировки
Ставрополь/Ставропольский край, 04-05 июня 2022 года</t>
  </si>
  <si>
    <t>Всероссийский мастерский турнир «Кубок Солнца»
WEPF Жим лежа в многопетельной софт экипировке ДК
Ставрополь/Ставропольский край, 04-05 июня 2022 года</t>
  </si>
  <si>
    <t>Всероссийский мастерский турнир «Кубок Солнца»
WEPF Жим лежа в многопетельной софт экипировке
Ставрополь/Ставропольский край, 04-05 июня 2022 года</t>
  </si>
  <si>
    <t>Всероссийский мастерский турнир «Кубок Солнца»
WRPF Военный жим лежа с ДК
Ставрополь/Ставропольский край, 04-05 июня 2022 года</t>
  </si>
  <si>
    <t>Всероссийский мастерский турнир «Кубок Солнца»
WEPF Жим лежа в однопетельной софт экипировке ДК
Ставрополь/Ставропольский край, 04-05 июня 2022 года</t>
  </si>
  <si>
    <t>Всероссийский мастерский турнир «Кубок Солнца»
WRPF Жим лежа без экипировки ДК
Ставрополь/Ставропольский край, 04-05 июня 2022 года</t>
  </si>
  <si>
    <t>Всероссийский мастерский турнир «Кубок Солнца»
WRPF Жим лежа без экипировки
Ставрополь/Ставропольский край, 04-05 июня 2022 года</t>
  </si>
  <si>
    <t>Всероссийский мастерский турнир «Кубок Солнца»
WRPF Военный жим лежа
Ставрополь/Ставропольский край, 04-05 июня 2022 года</t>
  </si>
  <si>
    <t>Всероссийский мастерский турнир «Кубок Солнца»
WEPF Жим лежа в однопетельной софт экипировке
Ставрополь/Ставропольский край, 04-05 июня 2022 года</t>
  </si>
  <si>
    <t>Всероссийский мастерский турнир «Кубок Солнца»
WRPF Пауэрлифтинг без экипировки ДК
Ставрополь/Ставропольский край, 04-05 июня 2022 года</t>
  </si>
  <si>
    <t>Всероссийский мастерский турнир «Кубок Солнца»
WRPF Пауэрлифтинг без экипировки
Ставрополь/Ставропольский край, 04-05 июня 2022 года</t>
  </si>
  <si>
    <t>Всероссийский мастерский турнир «Кубок Солнца»
WRPF Пауэрлифтинг классический в бинтах ДК
Ставрополь/Ставропольский край, 04-05 июня 2022 года</t>
  </si>
  <si>
    <t>Всероссийский мастерский турнир «Кубок Солнца»
WRPF Пауэрлифтинг классический в бинтах
Ставрополь/Ставропольский край, 04-05 июня 2022 года</t>
  </si>
  <si>
    <t>Юноши 13-19 (18.11.2004)/17</t>
  </si>
  <si>
    <t>Юноши 13-19 (15.05.2003)/19</t>
  </si>
  <si>
    <t>Юноши 13-19 (03.08.2005)/16</t>
  </si>
  <si>
    <t>Юниоры 20-23 (30.06.2000)/21</t>
  </si>
  <si>
    <t>Юноши 13-19 (03.04.2004)/18</t>
  </si>
  <si>
    <t xml:space="preserve">Грозный/Чеченская Республика </t>
  </si>
  <si>
    <t xml:space="preserve">Каспийск/Республика Дагестан </t>
  </si>
  <si>
    <t xml:space="preserve">Избербаш/Республика Дагестан </t>
  </si>
  <si>
    <t xml:space="preserve">Махачкала/Республика Дагестан </t>
  </si>
  <si>
    <t xml:space="preserve">Владикавказ/Республика Северная Осетия-Алания </t>
  </si>
  <si>
    <t xml:space="preserve">Шеин В. </t>
  </si>
  <si>
    <t>Весовая категория</t>
  </si>
  <si>
    <t xml:space="preserve">Заюково/Кабардино-Балкарская Республика </t>
  </si>
  <si>
    <t>Терекли-Мехтеб/Республика Дагестан</t>
  </si>
  <si>
    <t>Мужчины</t>
  </si>
  <si>
    <t xml:space="preserve">Абдуллин М. </t>
  </si>
  <si>
    <t xml:space="preserve">Черкесск/Карачаево-Черкесская Республика </t>
  </si>
  <si>
    <t>№</t>
  </si>
  <si>
    <t>Жим</t>
  </si>
  <si>
    <t xml:space="preserve">
Дата рождения/Возраст</t>
  </si>
  <si>
    <t>Возрастная группа</t>
  </si>
  <si>
    <t>O</t>
  </si>
  <si>
    <t>T2</t>
  </si>
  <si>
    <t>T1</t>
  </si>
  <si>
    <t>J</t>
  </si>
  <si>
    <t>M1</t>
  </si>
  <si>
    <t>M4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</si>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</sst>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26DB5-7A4F-43CE-9A7E-87C571105998}">
  <dimension ref="A1:U68"/>
  <sheetViews>
    <sheetView topLeftCell="A25" workbookViewId="0">
      <selection activeCell="E52" sqref="E52"/>
    </sheetView>
  </sheetViews>
  <sheetFormatPr baseColWidth="10" defaultColWidth="8.83203125" defaultRowHeight="13"/>
  <cols>
    <col min="1" max="1" width="7.1640625" style="22" bestFit="1" customWidth="1"/>
    <col min="2" max="2" width="21.1640625" style="22" bestFit="1" customWidth="1"/>
    <col min="3" max="3" width="27.1640625" style="22" bestFit="1" customWidth="1"/>
    <col min="4" max="4" width="21.5" style="22" bestFit="1" customWidth="1"/>
    <col min="5" max="5" width="10.33203125" style="22" bestFit="1" customWidth="1"/>
    <col min="6" max="6" width="38.1640625" style="22" bestFit="1" customWidth="1"/>
    <col min="7" max="7" width="5.5" style="29" customWidth="1"/>
    <col min="8" max="9" width="5.33203125" style="29" customWidth="1"/>
    <col min="10" max="10" width="4.6640625" style="29" customWidth="1"/>
    <col min="11" max="13" width="5.33203125" style="29" customWidth="1"/>
    <col min="14" max="14" width="4.6640625" style="29" customWidth="1"/>
    <col min="15" max="17" width="5.33203125" style="29" customWidth="1"/>
    <col min="18" max="18" width="4.6640625" style="29" customWidth="1"/>
    <col min="19" max="19" width="10" style="30" customWidth="1"/>
    <col min="20" max="20" width="10" style="29" customWidth="1"/>
    <col min="21" max="21" width="26.33203125" style="22" customWidth="1"/>
  </cols>
  <sheetData>
    <row r="1" spans="1:21" s="2" customFormat="1" ht="29" customHeight="1">
      <c r="A1" s="51" t="s">
        <v>437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</row>
    <row r="2" spans="1:21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8"/>
    </row>
    <row r="3" spans="1:21" s="1" customFormat="1" ht="12.75" customHeight="1">
      <c r="A3" s="59" t="s">
        <v>458</v>
      </c>
      <c r="B3" s="73" t="s">
        <v>0</v>
      </c>
      <c r="C3" s="61" t="s">
        <v>460</v>
      </c>
      <c r="D3" s="61" t="s">
        <v>6</v>
      </c>
      <c r="E3" s="63" t="s">
        <v>461</v>
      </c>
      <c r="F3" s="65" t="s">
        <v>5</v>
      </c>
      <c r="G3" s="65" t="s">
        <v>7</v>
      </c>
      <c r="H3" s="65"/>
      <c r="I3" s="65"/>
      <c r="J3" s="65"/>
      <c r="K3" s="65" t="s">
        <v>8</v>
      </c>
      <c r="L3" s="65"/>
      <c r="M3" s="65"/>
      <c r="N3" s="65"/>
      <c r="O3" s="65" t="s">
        <v>9</v>
      </c>
      <c r="P3" s="65"/>
      <c r="Q3" s="65"/>
      <c r="R3" s="65"/>
      <c r="S3" s="67" t="s">
        <v>1</v>
      </c>
      <c r="T3" s="63" t="s">
        <v>3</v>
      </c>
      <c r="U3" s="69" t="s">
        <v>2</v>
      </c>
    </row>
    <row r="4" spans="1:21" s="1" customFormat="1" ht="21" customHeight="1" thickBot="1">
      <c r="A4" s="60"/>
      <c r="B4" s="74"/>
      <c r="C4" s="62"/>
      <c r="D4" s="62"/>
      <c r="E4" s="64"/>
      <c r="F4" s="6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8"/>
      <c r="T4" s="64"/>
      <c r="U4" s="70"/>
    </row>
    <row r="5" spans="1:21" s="3" customFormat="1" ht="16">
      <c r="A5" s="71" t="s">
        <v>121</v>
      </c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47"/>
      <c r="T5" s="6"/>
      <c r="U5" s="5"/>
    </row>
    <row r="6" spans="1:21">
      <c r="A6" s="39">
        <v>1</v>
      </c>
      <c r="B6" s="34" t="s">
        <v>122</v>
      </c>
      <c r="C6" s="34" t="s">
        <v>123</v>
      </c>
      <c r="D6" s="34" t="s">
        <v>124</v>
      </c>
      <c r="E6" s="34" t="s">
        <v>462</v>
      </c>
      <c r="F6" s="34" t="s">
        <v>69</v>
      </c>
      <c r="G6" s="37" t="s">
        <v>64</v>
      </c>
      <c r="H6" s="38" t="s">
        <v>45</v>
      </c>
      <c r="I6" s="38" t="s">
        <v>45</v>
      </c>
      <c r="J6" s="39"/>
      <c r="K6" s="37" t="s">
        <v>91</v>
      </c>
      <c r="L6" s="37" t="s">
        <v>92</v>
      </c>
      <c r="M6" s="37" t="s">
        <v>71</v>
      </c>
      <c r="N6" s="39"/>
      <c r="O6" s="37" t="s">
        <v>80</v>
      </c>
      <c r="P6" s="37" t="s">
        <v>82</v>
      </c>
      <c r="Q6" s="37" t="s">
        <v>100</v>
      </c>
      <c r="R6" s="39"/>
      <c r="S6" s="48" t="str">
        <f>"310,0"</f>
        <v>310,0</v>
      </c>
      <c r="T6" s="39" t="str">
        <f>"388,1820"</f>
        <v>388,1820</v>
      </c>
      <c r="U6" s="34" t="s">
        <v>85</v>
      </c>
    </row>
    <row r="7" spans="1:21">
      <c r="A7" s="41">
        <v>2</v>
      </c>
      <c r="B7" s="35" t="s">
        <v>125</v>
      </c>
      <c r="C7" s="35" t="s">
        <v>126</v>
      </c>
      <c r="D7" s="35" t="s">
        <v>127</v>
      </c>
      <c r="E7" s="35" t="s">
        <v>462</v>
      </c>
      <c r="F7" s="35" t="s">
        <v>128</v>
      </c>
      <c r="G7" s="40" t="s">
        <v>63</v>
      </c>
      <c r="H7" s="40" t="s">
        <v>70</v>
      </c>
      <c r="I7" s="40" t="s">
        <v>129</v>
      </c>
      <c r="J7" s="41"/>
      <c r="K7" s="40" t="s">
        <v>49</v>
      </c>
      <c r="L7" s="40" t="s">
        <v>91</v>
      </c>
      <c r="M7" s="40" t="s">
        <v>130</v>
      </c>
      <c r="N7" s="41"/>
      <c r="O7" s="40" t="s">
        <v>44</v>
      </c>
      <c r="P7" s="40" t="s">
        <v>64</v>
      </c>
      <c r="Q7" s="42" t="s">
        <v>131</v>
      </c>
      <c r="R7" s="41"/>
      <c r="S7" s="50" t="str">
        <f>"250,0"</f>
        <v>250,0</v>
      </c>
      <c r="T7" s="41" t="str">
        <f>"316,3500"</f>
        <v>316,3500</v>
      </c>
      <c r="U7" s="35" t="s">
        <v>85</v>
      </c>
    </row>
    <row r="8" spans="1:21">
      <c r="A8" s="44" t="s">
        <v>235</v>
      </c>
      <c r="B8" s="36" t="s">
        <v>132</v>
      </c>
      <c r="C8" s="36" t="s">
        <v>133</v>
      </c>
      <c r="D8" s="36" t="s">
        <v>134</v>
      </c>
      <c r="E8" s="36" t="s">
        <v>462</v>
      </c>
      <c r="F8" s="36" t="s">
        <v>69</v>
      </c>
      <c r="G8" s="43" t="s">
        <v>63</v>
      </c>
      <c r="H8" s="43" t="s">
        <v>63</v>
      </c>
      <c r="I8" s="43" t="s">
        <v>63</v>
      </c>
      <c r="J8" s="44"/>
      <c r="K8" s="43"/>
      <c r="L8" s="44"/>
      <c r="M8" s="44"/>
      <c r="N8" s="44"/>
      <c r="O8" s="43"/>
      <c r="P8" s="44"/>
      <c r="Q8" s="44"/>
      <c r="R8" s="44"/>
      <c r="S8" s="49">
        <v>0</v>
      </c>
      <c r="T8" s="44" t="str">
        <f>"0,0000"</f>
        <v>0,0000</v>
      </c>
      <c r="U8" s="36" t="s">
        <v>136</v>
      </c>
    </row>
    <row r="10" spans="1:21" ht="16">
      <c r="A10" s="66" t="s">
        <v>40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</row>
    <row r="11" spans="1:21">
      <c r="A11" s="33">
        <v>1</v>
      </c>
      <c r="B11" s="21" t="s">
        <v>137</v>
      </c>
      <c r="C11" s="21" t="s">
        <v>138</v>
      </c>
      <c r="D11" s="21" t="s">
        <v>139</v>
      </c>
      <c r="E11" s="21" t="s">
        <v>462</v>
      </c>
      <c r="F11" s="21" t="s">
        <v>140</v>
      </c>
      <c r="G11" s="31" t="s">
        <v>45</v>
      </c>
      <c r="H11" s="31" t="s">
        <v>73</v>
      </c>
      <c r="I11" s="31" t="s">
        <v>50</v>
      </c>
      <c r="J11" s="33"/>
      <c r="K11" s="31" t="s">
        <v>91</v>
      </c>
      <c r="L11" s="32" t="s">
        <v>92</v>
      </c>
      <c r="M11" s="31" t="s">
        <v>92</v>
      </c>
      <c r="N11" s="33"/>
      <c r="O11" s="31" t="s">
        <v>81</v>
      </c>
      <c r="P11" s="32" t="s">
        <v>108</v>
      </c>
      <c r="Q11" s="32" t="s">
        <v>108</v>
      </c>
      <c r="R11" s="33"/>
      <c r="S11" s="46" t="str">
        <f>"310,0"</f>
        <v>310,0</v>
      </c>
      <c r="T11" s="33" t="str">
        <f>"367,3190"</f>
        <v>367,3190</v>
      </c>
      <c r="U11" s="21"/>
    </row>
    <row r="13" spans="1:21" ht="16">
      <c r="A13" s="66" t="s">
        <v>86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</row>
    <row r="14" spans="1:21">
      <c r="A14" s="39">
        <v>1</v>
      </c>
      <c r="B14" s="34" t="s">
        <v>141</v>
      </c>
      <c r="C14" s="34" t="s">
        <v>142</v>
      </c>
      <c r="D14" s="34" t="s">
        <v>143</v>
      </c>
      <c r="E14" s="34" t="s">
        <v>463</v>
      </c>
      <c r="F14" s="34" t="s">
        <v>144</v>
      </c>
      <c r="G14" s="37" t="s">
        <v>70</v>
      </c>
      <c r="H14" s="38" t="s">
        <v>145</v>
      </c>
      <c r="I14" s="38" t="s">
        <v>145</v>
      </c>
      <c r="J14" s="39"/>
      <c r="K14" s="37" t="s">
        <v>47</v>
      </c>
      <c r="L14" s="38" t="s">
        <v>48</v>
      </c>
      <c r="M14" s="38" t="s">
        <v>48</v>
      </c>
      <c r="N14" s="39"/>
      <c r="O14" s="37" t="s">
        <v>70</v>
      </c>
      <c r="P14" s="37" t="s">
        <v>44</v>
      </c>
      <c r="Q14" s="38" t="s">
        <v>45</v>
      </c>
      <c r="R14" s="39"/>
      <c r="S14" s="48" t="str">
        <f>"225,0"</f>
        <v>225,0</v>
      </c>
      <c r="T14" s="39" t="str">
        <f>"232,8975"</f>
        <v>232,8975</v>
      </c>
      <c r="U14" s="34" t="s">
        <v>421</v>
      </c>
    </row>
    <row r="15" spans="1:21">
      <c r="A15" s="41">
        <v>1</v>
      </c>
      <c r="B15" s="35" t="s">
        <v>146</v>
      </c>
      <c r="C15" s="35" t="s">
        <v>147</v>
      </c>
      <c r="D15" s="35" t="s">
        <v>148</v>
      </c>
      <c r="E15" s="35" t="s">
        <v>462</v>
      </c>
      <c r="F15" s="35" t="s">
        <v>457</v>
      </c>
      <c r="G15" s="40" t="s">
        <v>44</v>
      </c>
      <c r="H15" s="40" t="s">
        <v>131</v>
      </c>
      <c r="I15" s="40" t="s">
        <v>149</v>
      </c>
      <c r="J15" s="41"/>
      <c r="K15" s="40" t="s">
        <v>130</v>
      </c>
      <c r="L15" s="40" t="s">
        <v>71</v>
      </c>
      <c r="M15" s="42" t="s">
        <v>58</v>
      </c>
      <c r="N15" s="41"/>
      <c r="O15" s="40" t="s">
        <v>50</v>
      </c>
      <c r="P15" s="40" t="s">
        <v>150</v>
      </c>
      <c r="Q15" s="40" t="s">
        <v>80</v>
      </c>
      <c r="R15" s="41"/>
      <c r="S15" s="50" t="str">
        <f>"300,0"</f>
        <v>300,0</v>
      </c>
      <c r="T15" s="41" t="str">
        <f>"307,8300"</f>
        <v>307,8300</v>
      </c>
      <c r="U15" s="35"/>
    </row>
    <row r="16" spans="1:21">
      <c r="A16" s="44">
        <v>2</v>
      </c>
      <c r="B16" s="36" t="s">
        <v>151</v>
      </c>
      <c r="C16" s="36" t="s">
        <v>152</v>
      </c>
      <c r="D16" s="36" t="s">
        <v>153</v>
      </c>
      <c r="E16" s="36" t="s">
        <v>462</v>
      </c>
      <c r="F16" s="36" t="s">
        <v>154</v>
      </c>
      <c r="G16" s="43" t="s">
        <v>63</v>
      </c>
      <c r="H16" s="45" t="s">
        <v>70</v>
      </c>
      <c r="I16" s="45" t="s">
        <v>44</v>
      </c>
      <c r="J16" s="44"/>
      <c r="K16" s="45" t="s">
        <v>58</v>
      </c>
      <c r="L16" s="43" t="s">
        <v>72</v>
      </c>
      <c r="M16" s="43" t="s">
        <v>72</v>
      </c>
      <c r="N16" s="44"/>
      <c r="O16" s="45" t="s">
        <v>155</v>
      </c>
      <c r="P16" s="45" t="s">
        <v>82</v>
      </c>
      <c r="Q16" s="43" t="s">
        <v>108</v>
      </c>
      <c r="R16" s="44"/>
      <c r="S16" s="49" t="str">
        <f>"300,0"</f>
        <v>300,0</v>
      </c>
      <c r="T16" s="44" t="str">
        <f>"306,1800"</f>
        <v>306,1800</v>
      </c>
      <c r="U16" s="36"/>
    </row>
    <row r="18" spans="1:21" ht="16">
      <c r="A18" s="66" t="s">
        <v>156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</row>
    <row r="19" spans="1:21">
      <c r="A19" s="33">
        <v>1</v>
      </c>
      <c r="B19" s="21" t="s">
        <v>157</v>
      </c>
      <c r="C19" s="21" t="s">
        <v>158</v>
      </c>
      <c r="D19" s="21" t="s">
        <v>159</v>
      </c>
      <c r="E19" s="21" t="s">
        <v>462</v>
      </c>
      <c r="F19" s="21" t="s">
        <v>160</v>
      </c>
      <c r="G19" s="31" t="s">
        <v>73</v>
      </c>
      <c r="H19" s="31" t="s">
        <v>150</v>
      </c>
      <c r="I19" s="31" t="s">
        <v>75</v>
      </c>
      <c r="J19" s="33"/>
      <c r="K19" s="31" t="s">
        <v>71</v>
      </c>
      <c r="L19" s="31" t="s">
        <v>72</v>
      </c>
      <c r="M19" s="32" t="s">
        <v>59</v>
      </c>
      <c r="N19" s="33"/>
      <c r="O19" s="31" t="s">
        <v>81</v>
      </c>
      <c r="P19" s="31" t="s">
        <v>108</v>
      </c>
      <c r="Q19" s="32" t="s">
        <v>161</v>
      </c>
      <c r="R19" s="33"/>
      <c r="S19" s="46" t="str">
        <f>"335,0"</f>
        <v>335,0</v>
      </c>
      <c r="T19" s="33" t="str">
        <f>"321,1645"</f>
        <v>321,1645</v>
      </c>
      <c r="U19" s="21" t="s">
        <v>422</v>
      </c>
    </row>
    <row r="21" spans="1:21" ht="16">
      <c r="A21" s="66" t="s">
        <v>40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</row>
    <row r="22" spans="1:21">
      <c r="A22" s="33">
        <v>1</v>
      </c>
      <c r="B22" s="21" t="s">
        <v>162</v>
      </c>
      <c r="C22" s="21" t="s">
        <v>163</v>
      </c>
      <c r="D22" s="21" t="s">
        <v>164</v>
      </c>
      <c r="E22" s="21" t="s">
        <v>464</v>
      </c>
      <c r="F22" s="21" t="s">
        <v>165</v>
      </c>
      <c r="G22" s="31" t="s">
        <v>64</v>
      </c>
      <c r="H22" s="31" t="s">
        <v>45</v>
      </c>
      <c r="I22" s="32" t="s">
        <v>149</v>
      </c>
      <c r="J22" s="33"/>
      <c r="K22" s="31" t="s">
        <v>90</v>
      </c>
      <c r="L22" s="31" t="s">
        <v>166</v>
      </c>
      <c r="M22" s="32" t="s">
        <v>63</v>
      </c>
      <c r="N22" s="33"/>
      <c r="O22" s="31" t="s">
        <v>81</v>
      </c>
      <c r="P22" s="32" t="s">
        <v>108</v>
      </c>
      <c r="Q22" s="31" t="s">
        <v>108</v>
      </c>
      <c r="R22" s="33"/>
      <c r="S22" s="46" t="str">
        <f>"332,5"</f>
        <v>332,5</v>
      </c>
      <c r="T22" s="33" t="str">
        <f>"304,8360"</f>
        <v>304,8360</v>
      </c>
      <c r="U22" s="21" t="s">
        <v>167</v>
      </c>
    </row>
    <row r="24" spans="1:21" ht="16">
      <c r="A24" s="66" t="s">
        <v>53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</row>
    <row r="25" spans="1:21">
      <c r="A25" s="33">
        <v>1</v>
      </c>
      <c r="B25" s="21" t="s">
        <v>168</v>
      </c>
      <c r="C25" s="21" t="s">
        <v>169</v>
      </c>
      <c r="D25" s="21" t="s">
        <v>79</v>
      </c>
      <c r="E25" s="21" t="s">
        <v>464</v>
      </c>
      <c r="F25" s="21" t="s">
        <v>69</v>
      </c>
      <c r="G25" s="31" t="s">
        <v>63</v>
      </c>
      <c r="H25" s="31" t="s">
        <v>70</v>
      </c>
      <c r="I25" s="31" t="s">
        <v>44</v>
      </c>
      <c r="J25" s="33"/>
      <c r="K25" s="32" t="s">
        <v>90</v>
      </c>
      <c r="L25" s="31" t="s">
        <v>90</v>
      </c>
      <c r="M25" s="31" t="s">
        <v>166</v>
      </c>
      <c r="N25" s="33"/>
      <c r="O25" s="31" t="s">
        <v>82</v>
      </c>
      <c r="P25" s="31" t="s">
        <v>109</v>
      </c>
      <c r="Q25" s="31" t="s">
        <v>16</v>
      </c>
      <c r="R25" s="33"/>
      <c r="S25" s="46" t="str">
        <f>"332,5"</f>
        <v>332,5</v>
      </c>
      <c r="T25" s="33" t="str">
        <f>"283,5893"</f>
        <v>283,5893</v>
      </c>
      <c r="U25" s="21" t="s">
        <v>85</v>
      </c>
    </row>
    <row r="27" spans="1:21" ht="16">
      <c r="A27" s="66" t="s">
        <v>86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</row>
    <row r="28" spans="1:21">
      <c r="A28" s="33">
        <v>1</v>
      </c>
      <c r="B28" s="21" t="s">
        <v>170</v>
      </c>
      <c r="C28" s="21" t="s">
        <v>171</v>
      </c>
      <c r="D28" s="21" t="s">
        <v>172</v>
      </c>
      <c r="E28" s="21" t="s">
        <v>463</v>
      </c>
      <c r="F28" s="21" t="s">
        <v>165</v>
      </c>
      <c r="G28" s="31" t="s">
        <v>64</v>
      </c>
      <c r="H28" s="32" t="s">
        <v>73</v>
      </c>
      <c r="I28" s="32" t="s">
        <v>73</v>
      </c>
      <c r="J28" s="33"/>
      <c r="K28" s="32" t="s">
        <v>62</v>
      </c>
      <c r="L28" s="31" t="s">
        <v>62</v>
      </c>
      <c r="M28" s="32" t="s">
        <v>173</v>
      </c>
      <c r="N28" s="33"/>
      <c r="O28" s="31" t="s">
        <v>80</v>
      </c>
      <c r="P28" s="31" t="s">
        <v>82</v>
      </c>
      <c r="Q28" s="31" t="s">
        <v>109</v>
      </c>
      <c r="R28" s="33"/>
      <c r="S28" s="46" t="str">
        <f>"325,0"</f>
        <v>325,0</v>
      </c>
      <c r="T28" s="33" t="str">
        <f>"259,1225"</f>
        <v>259,1225</v>
      </c>
      <c r="U28" s="21" t="s">
        <v>167</v>
      </c>
    </row>
    <row r="30" spans="1:21" ht="16">
      <c r="A30" s="66" t="s">
        <v>65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</row>
    <row r="31" spans="1:21">
      <c r="A31" s="39">
        <v>1</v>
      </c>
      <c r="B31" s="34" t="s">
        <v>174</v>
      </c>
      <c r="C31" s="34" t="s">
        <v>175</v>
      </c>
      <c r="D31" s="34" t="s">
        <v>176</v>
      </c>
      <c r="E31" s="34" t="s">
        <v>462</v>
      </c>
      <c r="F31" s="34" t="s">
        <v>69</v>
      </c>
      <c r="G31" s="37" t="s">
        <v>177</v>
      </c>
      <c r="H31" s="37" t="s">
        <v>107</v>
      </c>
      <c r="I31" s="37" t="s">
        <v>101</v>
      </c>
      <c r="J31" s="39"/>
      <c r="K31" s="37" t="s">
        <v>82</v>
      </c>
      <c r="L31" s="37" t="s">
        <v>109</v>
      </c>
      <c r="M31" s="38" t="s">
        <v>16</v>
      </c>
      <c r="N31" s="39"/>
      <c r="O31" s="37" t="s">
        <v>15</v>
      </c>
      <c r="P31" s="37" t="s">
        <v>31</v>
      </c>
      <c r="Q31" s="37" t="s">
        <v>178</v>
      </c>
      <c r="R31" s="39"/>
      <c r="S31" s="48" t="str">
        <f>"615,0"</f>
        <v>615,0</v>
      </c>
      <c r="T31" s="39" t="str">
        <f>"411,9885"</f>
        <v>411,9885</v>
      </c>
      <c r="U31" s="34" t="s">
        <v>179</v>
      </c>
    </row>
    <row r="32" spans="1:21">
      <c r="A32" s="41">
        <v>2</v>
      </c>
      <c r="B32" s="35" t="s">
        <v>180</v>
      </c>
      <c r="C32" s="35" t="s">
        <v>181</v>
      </c>
      <c r="D32" s="35" t="s">
        <v>182</v>
      </c>
      <c r="E32" s="35" t="s">
        <v>462</v>
      </c>
      <c r="F32" s="35" t="s">
        <v>69</v>
      </c>
      <c r="G32" s="40" t="s">
        <v>109</v>
      </c>
      <c r="H32" s="40" t="s">
        <v>16</v>
      </c>
      <c r="I32" s="40" t="s">
        <v>17</v>
      </c>
      <c r="J32" s="41"/>
      <c r="K32" s="40" t="s">
        <v>45</v>
      </c>
      <c r="L32" s="42" t="s">
        <v>73</v>
      </c>
      <c r="M32" s="40" t="s">
        <v>73</v>
      </c>
      <c r="N32" s="41"/>
      <c r="O32" s="40" t="s">
        <v>84</v>
      </c>
      <c r="P32" s="42" t="s">
        <v>118</v>
      </c>
      <c r="Q32" s="42" t="s">
        <v>118</v>
      </c>
      <c r="R32" s="41"/>
      <c r="S32" s="50" t="str">
        <f>"445,0"</f>
        <v>445,0</v>
      </c>
      <c r="T32" s="41" t="str">
        <f>"301,4430"</f>
        <v>301,4430</v>
      </c>
      <c r="U32" s="35" t="s">
        <v>451</v>
      </c>
    </row>
    <row r="33" spans="1:21">
      <c r="A33" s="44">
        <v>3</v>
      </c>
      <c r="B33" s="36" t="s">
        <v>184</v>
      </c>
      <c r="C33" s="36" t="s">
        <v>185</v>
      </c>
      <c r="D33" s="36" t="s">
        <v>186</v>
      </c>
      <c r="E33" s="36" t="s">
        <v>462</v>
      </c>
      <c r="F33" s="36" t="s">
        <v>187</v>
      </c>
      <c r="G33" s="45" t="s">
        <v>18</v>
      </c>
      <c r="H33" s="45" t="s">
        <v>30</v>
      </c>
      <c r="I33" s="43" t="s">
        <v>84</v>
      </c>
      <c r="J33" s="44"/>
      <c r="K33" s="45" t="s">
        <v>90</v>
      </c>
      <c r="L33" s="43" t="s">
        <v>70</v>
      </c>
      <c r="M33" s="45" t="s">
        <v>70</v>
      </c>
      <c r="N33" s="44"/>
      <c r="O33" s="45" t="s">
        <v>30</v>
      </c>
      <c r="P33" s="45" t="s">
        <v>106</v>
      </c>
      <c r="Q33" s="43" t="s">
        <v>118</v>
      </c>
      <c r="R33" s="44"/>
      <c r="S33" s="49" t="str">
        <f>"440,0"</f>
        <v>440,0</v>
      </c>
      <c r="T33" s="44" t="str">
        <f>"300,1680"</f>
        <v>300,1680</v>
      </c>
      <c r="U33" s="36" t="s">
        <v>188</v>
      </c>
    </row>
    <row r="35" spans="1:21" ht="16">
      <c r="A35" s="66" t="s">
        <v>10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</row>
    <row r="36" spans="1:21">
      <c r="A36" s="39">
        <v>1</v>
      </c>
      <c r="B36" s="34" t="s">
        <v>189</v>
      </c>
      <c r="C36" s="34" t="s">
        <v>190</v>
      </c>
      <c r="D36" s="34" t="s">
        <v>25</v>
      </c>
      <c r="E36" s="34" t="s">
        <v>464</v>
      </c>
      <c r="F36" s="34" t="s">
        <v>165</v>
      </c>
      <c r="G36" s="37" t="s">
        <v>70</v>
      </c>
      <c r="H36" s="37" t="s">
        <v>44</v>
      </c>
      <c r="I36" s="37" t="s">
        <v>64</v>
      </c>
      <c r="J36" s="39"/>
      <c r="K36" s="37" t="s">
        <v>92</v>
      </c>
      <c r="L36" s="38" t="s">
        <v>58</v>
      </c>
      <c r="M36" s="38" t="s">
        <v>58</v>
      </c>
      <c r="N36" s="39"/>
      <c r="O36" s="37" t="s">
        <v>150</v>
      </c>
      <c r="P36" s="37" t="s">
        <v>155</v>
      </c>
      <c r="Q36" s="37" t="s">
        <v>80</v>
      </c>
      <c r="R36" s="39"/>
      <c r="S36" s="48" t="str">
        <f>"290,0"</f>
        <v>290,0</v>
      </c>
      <c r="T36" s="39" t="str">
        <f>"185,1360"</f>
        <v>185,1360</v>
      </c>
      <c r="U36" s="34" t="s">
        <v>167</v>
      </c>
    </row>
    <row r="37" spans="1:21">
      <c r="A37" s="41">
        <v>1</v>
      </c>
      <c r="B37" s="35" t="s">
        <v>191</v>
      </c>
      <c r="C37" s="35" t="s">
        <v>192</v>
      </c>
      <c r="D37" s="35" t="s">
        <v>193</v>
      </c>
      <c r="E37" s="35" t="s">
        <v>463</v>
      </c>
      <c r="F37" s="35" t="s">
        <v>69</v>
      </c>
      <c r="G37" s="40" t="s">
        <v>118</v>
      </c>
      <c r="H37" s="40" t="s">
        <v>194</v>
      </c>
      <c r="I37" s="40" t="s">
        <v>101</v>
      </c>
      <c r="J37" s="41"/>
      <c r="K37" s="40" t="s">
        <v>195</v>
      </c>
      <c r="L37" s="40" t="s">
        <v>196</v>
      </c>
      <c r="M37" s="40" t="s">
        <v>197</v>
      </c>
      <c r="N37" s="41"/>
      <c r="O37" s="42" t="s">
        <v>31</v>
      </c>
      <c r="P37" s="40" t="s">
        <v>31</v>
      </c>
      <c r="Q37" s="42" t="s">
        <v>21</v>
      </c>
      <c r="R37" s="41"/>
      <c r="S37" s="50" t="str">
        <f>"597,5"</f>
        <v>597,5</v>
      </c>
      <c r="T37" s="41" t="str">
        <f>"387,3592"</f>
        <v>387,3592</v>
      </c>
      <c r="U37" s="35"/>
    </row>
    <row r="38" spans="1:21">
      <c r="A38" s="41">
        <v>1</v>
      </c>
      <c r="B38" s="35" t="s">
        <v>198</v>
      </c>
      <c r="C38" s="35" t="s">
        <v>199</v>
      </c>
      <c r="D38" s="35" t="s">
        <v>25</v>
      </c>
      <c r="E38" s="35" t="s">
        <v>462</v>
      </c>
      <c r="F38" s="35" t="s">
        <v>200</v>
      </c>
      <c r="G38" s="40" t="s">
        <v>102</v>
      </c>
      <c r="H38" s="40" t="s">
        <v>14</v>
      </c>
      <c r="I38" s="40" t="s">
        <v>15</v>
      </c>
      <c r="J38" s="41"/>
      <c r="K38" s="40" t="s">
        <v>109</v>
      </c>
      <c r="L38" s="40" t="s">
        <v>16</v>
      </c>
      <c r="M38" s="42" t="s">
        <v>17</v>
      </c>
      <c r="N38" s="41"/>
      <c r="O38" s="40" t="s">
        <v>27</v>
      </c>
      <c r="P38" s="40" t="s">
        <v>28</v>
      </c>
      <c r="Q38" s="42" t="s">
        <v>120</v>
      </c>
      <c r="R38" s="41"/>
      <c r="S38" s="50" t="str">
        <f>"670,0"</f>
        <v>670,0</v>
      </c>
      <c r="T38" s="41" t="str">
        <f>"427,7280"</f>
        <v>427,7280</v>
      </c>
      <c r="U38" s="35"/>
    </row>
    <row r="39" spans="1:21">
      <c r="A39" s="41">
        <v>2</v>
      </c>
      <c r="B39" s="35" t="s">
        <v>201</v>
      </c>
      <c r="C39" s="35" t="s">
        <v>202</v>
      </c>
      <c r="D39" s="35" t="s">
        <v>203</v>
      </c>
      <c r="E39" s="35" t="s">
        <v>462</v>
      </c>
      <c r="F39" s="35" t="s">
        <v>187</v>
      </c>
      <c r="G39" s="40" t="s">
        <v>30</v>
      </c>
      <c r="H39" s="40" t="s">
        <v>106</v>
      </c>
      <c r="I39" s="42" t="s">
        <v>107</v>
      </c>
      <c r="J39" s="41"/>
      <c r="K39" s="40" t="s">
        <v>82</v>
      </c>
      <c r="L39" s="42" t="s">
        <v>161</v>
      </c>
      <c r="M39" s="42" t="s">
        <v>161</v>
      </c>
      <c r="N39" s="41"/>
      <c r="O39" s="40" t="s">
        <v>118</v>
      </c>
      <c r="P39" s="40" t="s">
        <v>101</v>
      </c>
      <c r="Q39" s="40" t="s">
        <v>116</v>
      </c>
      <c r="R39" s="41"/>
      <c r="S39" s="50" t="str">
        <f>"530,0"</f>
        <v>530,0</v>
      </c>
      <c r="T39" s="41" t="str">
        <f>"342,7510"</f>
        <v>342,7510</v>
      </c>
      <c r="U39" s="35"/>
    </row>
    <row r="40" spans="1:21">
      <c r="A40" s="44">
        <v>3</v>
      </c>
      <c r="B40" s="36" t="s">
        <v>204</v>
      </c>
      <c r="C40" s="36" t="s">
        <v>205</v>
      </c>
      <c r="D40" s="36" t="s">
        <v>206</v>
      </c>
      <c r="E40" s="36" t="s">
        <v>462</v>
      </c>
      <c r="F40" s="36" t="s">
        <v>207</v>
      </c>
      <c r="G40" s="45" t="s">
        <v>17</v>
      </c>
      <c r="H40" s="43" t="s">
        <v>208</v>
      </c>
      <c r="I40" s="45" t="s">
        <v>208</v>
      </c>
      <c r="J40" s="44"/>
      <c r="K40" s="45" t="s">
        <v>155</v>
      </c>
      <c r="L40" s="45" t="s">
        <v>81</v>
      </c>
      <c r="M40" s="43" t="s">
        <v>82</v>
      </c>
      <c r="N40" s="44"/>
      <c r="O40" s="45" t="s">
        <v>116</v>
      </c>
      <c r="P40" s="45" t="s">
        <v>102</v>
      </c>
      <c r="Q40" s="43" t="s">
        <v>209</v>
      </c>
      <c r="R40" s="44"/>
      <c r="S40" s="49" t="str">
        <f>"527,5"</f>
        <v>527,5</v>
      </c>
      <c r="T40" s="44" t="str">
        <f>"341,3452"</f>
        <v>341,3452</v>
      </c>
      <c r="U40" s="36" t="s">
        <v>210</v>
      </c>
    </row>
    <row r="42" spans="1:21" ht="16">
      <c r="A42" s="66" t="s">
        <v>211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1:21">
      <c r="A43" s="39">
        <v>1</v>
      </c>
      <c r="B43" s="34" t="s">
        <v>212</v>
      </c>
      <c r="C43" s="34" t="s">
        <v>213</v>
      </c>
      <c r="D43" s="34" t="s">
        <v>214</v>
      </c>
      <c r="E43" s="34" t="s">
        <v>462</v>
      </c>
      <c r="F43" s="34" t="s">
        <v>453</v>
      </c>
      <c r="G43" s="37" t="s">
        <v>20</v>
      </c>
      <c r="H43" s="38" t="s">
        <v>31</v>
      </c>
      <c r="I43" s="37" t="s">
        <v>31</v>
      </c>
      <c r="J43" s="39"/>
      <c r="K43" s="37" t="s">
        <v>109</v>
      </c>
      <c r="L43" s="37" t="s">
        <v>17</v>
      </c>
      <c r="M43" s="38" t="s">
        <v>29</v>
      </c>
      <c r="N43" s="39"/>
      <c r="O43" s="37" t="s">
        <v>31</v>
      </c>
      <c r="P43" s="38" t="s">
        <v>27</v>
      </c>
      <c r="Q43" s="37" t="s">
        <v>27</v>
      </c>
      <c r="R43" s="39"/>
      <c r="S43" s="48" t="str">
        <f>"680,0"</f>
        <v>680,0</v>
      </c>
      <c r="T43" s="39" t="str">
        <f>"418,9480"</f>
        <v>418,9480</v>
      </c>
      <c r="U43" s="34" t="s">
        <v>215</v>
      </c>
    </row>
    <row r="44" spans="1:21">
      <c r="A44" s="44">
        <v>2</v>
      </c>
      <c r="B44" s="36" t="s">
        <v>216</v>
      </c>
      <c r="C44" s="36" t="s">
        <v>217</v>
      </c>
      <c r="D44" s="36" t="s">
        <v>218</v>
      </c>
      <c r="E44" s="36" t="s">
        <v>462</v>
      </c>
      <c r="F44" s="36" t="s">
        <v>187</v>
      </c>
      <c r="G44" s="45" t="s">
        <v>106</v>
      </c>
      <c r="H44" s="45" t="s">
        <v>118</v>
      </c>
      <c r="I44" s="43" t="s">
        <v>97</v>
      </c>
      <c r="J44" s="44"/>
      <c r="K44" s="45" t="s">
        <v>80</v>
      </c>
      <c r="L44" s="45" t="s">
        <v>82</v>
      </c>
      <c r="M44" s="43" t="s">
        <v>109</v>
      </c>
      <c r="N44" s="44"/>
      <c r="O44" s="45" t="s">
        <v>102</v>
      </c>
      <c r="P44" s="45" t="s">
        <v>19</v>
      </c>
      <c r="Q44" s="45" t="s">
        <v>20</v>
      </c>
      <c r="R44" s="44"/>
      <c r="S44" s="49" t="str">
        <f>"575,0"</f>
        <v>575,0</v>
      </c>
      <c r="T44" s="44" t="str">
        <f>"351,9575"</f>
        <v>351,9575</v>
      </c>
      <c r="U44" s="36"/>
    </row>
    <row r="46" spans="1:21" ht="16">
      <c r="A46" s="66" t="s">
        <v>111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</row>
    <row r="47" spans="1:21">
      <c r="A47" s="39">
        <v>1</v>
      </c>
      <c r="B47" s="34" t="s">
        <v>219</v>
      </c>
      <c r="C47" s="34" t="s">
        <v>220</v>
      </c>
      <c r="D47" s="34" t="s">
        <v>221</v>
      </c>
      <c r="E47" s="34" t="s">
        <v>462</v>
      </c>
      <c r="F47" s="34" t="s">
        <v>115</v>
      </c>
      <c r="G47" s="37" t="s">
        <v>106</v>
      </c>
      <c r="H47" s="37" t="s">
        <v>97</v>
      </c>
      <c r="I47" s="39"/>
      <c r="J47" s="39"/>
      <c r="K47" s="37" t="s">
        <v>29</v>
      </c>
      <c r="L47" s="38" t="s">
        <v>30</v>
      </c>
      <c r="M47" s="39"/>
      <c r="N47" s="39"/>
      <c r="O47" s="37" t="s">
        <v>222</v>
      </c>
      <c r="P47" s="37" t="s">
        <v>223</v>
      </c>
      <c r="Q47" s="37" t="s">
        <v>27</v>
      </c>
      <c r="R47" s="39"/>
      <c r="S47" s="48" t="str">
        <f>"627,5"</f>
        <v>627,5</v>
      </c>
      <c r="T47" s="39" t="str">
        <f>"358,9300"</f>
        <v>358,9300</v>
      </c>
      <c r="U47" s="34" t="s">
        <v>85</v>
      </c>
    </row>
    <row r="48" spans="1:21">
      <c r="A48" s="44">
        <v>2</v>
      </c>
      <c r="B48" s="36" t="s">
        <v>224</v>
      </c>
      <c r="C48" s="36" t="s">
        <v>225</v>
      </c>
      <c r="D48" s="36" t="s">
        <v>226</v>
      </c>
      <c r="E48" s="36" t="s">
        <v>462</v>
      </c>
      <c r="F48" s="36" t="s">
        <v>447</v>
      </c>
      <c r="G48" s="45" t="s">
        <v>16</v>
      </c>
      <c r="H48" s="45" t="s">
        <v>29</v>
      </c>
      <c r="I48" s="43" t="s">
        <v>30</v>
      </c>
      <c r="J48" s="44"/>
      <c r="K48" s="45" t="s">
        <v>50</v>
      </c>
      <c r="L48" s="45" t="s">
        <v>150</v>
      </c>
      <c r="M48" s="45" t="s">
        <v>155</v>
      </c>
      <c r="N48" s="44"/>
      <c r="O48" s="45" t="s">
        <v>177</v>
      </c>
      <c r="P48" s="45" t="s">
        <v>97</v>
      </c>
      <c r="Q48" s="45" t="s">
        <v>227</v>
      </c>
      <c r="R48" s="44"/>
      <c r="S48" s="49" t="str">
        <f>"495,0"</f>
        <v>495,0</v>
      </c>
      <c r="T48" s="44" t="str">
        <f>"283,3875"</f>
        <v>283,3875</v>
      </c>
      <c r="U48" s="36" t="s">
        <v>228</v>
      </c>
    </row>
    <row r="50" spans="1:21" ht="16">
      <c r="A50" s="66" t="s">
        <v>229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</row>
    <row r="51" spans="1:21">
      <c r="A51" s="33">
        <v>1</v>
      </c>
      <c r="B51" s="21" t="s">
        <v>230</v>
      </c>
      <c r="C51" s="21" t="s">
        <v>231</v>
      </c>
      <c r="D51" s="21" t="s">
        <v>232</v>
      </c>
      <c r="E51" s="21" t="s">
        <v>464</v>
      </c>
      <c r="F51" s="21" t="s">
        <v>233</v>
      </c>
      <c r="G51" s="31" t="s">
        <v>80</v>
      </c>
      <c r="H51" s="31" t="s">
        <v>109</v>
      </c>
      <c r="I51" s="31" t="s">
        <v>17</v>
      </c>
      <c r="J51" s="33"/>
      <c r="K51" s="32" t="s">
        <v>90</v>
      </c>
      <c r="L51" s="31" t="s">
        <v>63</v>
      </c>
      <c r="M51" s="32" t="s">
        <v>70</v>
      </c>
      <c r="N51" s="33"/>
      <c r="O51" s="31" t="s">
        <v>109</v>
      </c>
      <c r="P51" s="31" t="s">
        <v>18</v>
      </c>
      <c r="Q51" s="31" t="s">
        <v>106</v>
      </c>
      <c r="R51" s="33"/>
      <c r="S51" s="46" t="str">
        <f>"425,0"</f>
        <v>425,0</v>
      </c>
      <c r="T51" s="33" t="str">
        <f>"237,2350"</f>
        <v>237,2350</v>
      </c>
      <c r="U51" s="21" t="s">
        <v>234</v>
      </c>
    </row>
    <row r="55" spans="1:21" ht="18">
      <c r="B55" s="23" t="s">
        <v>32</v>
      </c>
      <c r="C55" s="23"/>
    </row>
    <row r="56" spans="1:21" ht="16">
      <c r="B56" s="24" t="s">
        <v>52</v>
      </c>
      <c r="C56" s="24"/>
    </row>
    <row r="57" spans="1:21" ht="14">
      <c r="B57" s="25"/>
      <c r="C57" s="26" t="s">
        <v>34</v>
      </c>
    </row>
    <row r="58" spans="1:21" ht="14">
      <c r="B58" s="27" t="s">
        <v>35</v>
      </c>
      <c r="C58" s="27" t="s">
        <v>36</v>
      </c>
      <c r="D58" s="27" t="s">
        <v>452</v>
      </c>
      <c r="E58" s="27" t="s">
        <v>37</v>
      </c>
      <c r="F58" s="27" t="s">
        <v>38</v>
      </c>
    </row>
    <row r="59" spans="1:21">
      <c r="B59" s="22" t="s">
        <v>122</v>
      </c>
      <c r="C59" s="22" t="s">
        <v>34</v>
      </c>
      <c r="D59" s="30">
        <v>52</v>
      </c>
      <c r="E59" s="30">
        <v>310</v>
      </c>
      <c r="F59" s="28">
        <v>388.18200230598399</v>
      </c>
    </row>
    <row r="60" spans="1:21">
      <c r="B60" s="22" t="s">
        <v>137</v>
      </c>
      <c r="C60" s="22" t="s">
        <v>34</v>
      </c>
      <c r="D60" s="30">
        <v>56</v>
      </c>
      <c r="E60" s="30">
        <v>310</v>
      </c>
      <c r="F60" s="28">
        <v>367.31901407241799</v>
      </c>
    </row>
    <row r="61" spans="1:21">
      <c r="B61" s="22" t="s">
        <v>157</v>
      </c>
      <c r="C61" s="22" t="s">
        <v>34</v>
      </c>
      <c r="D61" s="30">
        <v>75</v>
      </c>
      <c r="E61" s="30">
        <v>335</v>
      </c>
      <c r="F61" s="28">
        <v>321.16450041532499</v>
      </c>
    </row>
    <row r="63" spans="1:21" ht="16">
      <c r="B63" s="24" t="s">
        <v>33</v>
      </c>
      <c r="C63" s="24"/>
    </row>
    <row r="64" spans="1:21" ht="14">
      <c r="B64" s="25"/>
      <c r="C64" s="26" t="s">
        <v>34</v>
      </c>
    </row>
    <row r="65" spans="2:7" ht="14">
      <c r="B65" s="27" t="s">
        <v>35</v>
      </c>
      <c r="C65" s="27" t="s">
        <v>36</v>
      </c>
      <c r="D65" s="27" t="s">
        <v>452</v>
      </c>
      <c r="E65" s="27" t="s">
        <v>37</v>
      </c>
      <c r="F65" s="27" t="s">
        <v>38</v>
      </c>
    </row>
    <row r="66" spans="2:7">
      <c r="B66" s="22" t="s">
        <v>198</v>
      </c>
      <c r="C66" s="22" t="s">
        <v>34</v>
      </c>
      <c r="D66" s="30">
        <v>90</v>
      </c>
      <c r="E66" s="30">
        <v>670</v>
      </c>
      <c r="F66" s="28">
        <v>427.72801220417</v>
      </c>
    </row>
    <row r="67" spans="2:7">
      <c r="B67" s="22" t="s">
        <v>212</v>
      </c>
      <c r="C67" s="22" t="s">
        <v>34</v>
      </c>
      <c r="D67" s="30">
        <v>100</v>
      </c>
      <c r="E67" s="30">
        <v>680</v>
      </c>
      <c r="F67" s="28">
        <v>418.94800901412998</v>
      </c>
      <c r="G67" s="22"/>
    </row>
    <row r="68" spans="2:7">
      <c r="B68" s="22" t="s">
        <v>174</v>
      </c>
      <c r="C68" s="22" t="s">
        <v>34</v>
      </c>
      <c r="D68" s="30">
        <v>82.5</v>
      </c>
      <c r="E68" s="30">
        <v>615</v>
      </c>
      <c r="F68" s="28">
        <v>411.98850005865103</v>
      </c>
    </row>
  </sheetData>
  <mergeCells count="25">
    <mergeCell ref="A30:R30"/>
    <mergeCell ref="A35:R35"/>
    <mergeCell ref="A42:R42"/>
    <mergeCell ref="A46:R46"/>
    <mergeCell ref="A50:R50"/>
    <mergeCell ref="A24:R24"/>
    <mergeCell ref="A27:R27"/>
    <mergeCell ref="S3:S4"/>
    <mergeCell ref="T3:T4"/>
    <mergeCell ref="U3:U4"/>
    <mergeCell ref="A5:R5"/>
    <mergeCell ref="B3:B4"/>
    <mergeCell ref="A10:R10"/>
    <mergeCell ref="A13:R13"/>
    <mergeCell ref="A18:R18"/>
    <mergeCell ref="A21:R21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AF5E8-F529-4BD4-925E-81BDC88328E9}">
  <dimension ref="A1:M9"/>
  <sheetViews>
    <sheetView workbookViewId="0">
      <selection activeCell="E10" sqref="E10"/>
    </sheetView>
  </sheetViews>
  <sheetFormatPr baseColWidth="10" defaultColWidth="8.83203125" defaultRowHeight="13"/>
  <cols>
    <col min="1" max="1" width="7.1640625" style="22" bestFit="1" customWidth="1"/>
    <col min="2" max="2" width="22.6640625" style="22" bestFit="1" customWidth="1"/>
    <col min="3" max="3" width="27" style="22" bestFit="1" customWidth="1"/>
    <col min="4" max="4" width="21.5" style="22" bestFit="1" customWidth="1"/>
    <col min="5" max="5" width="10.33203125" style="22" bestFit="1" customWidth="1"/>
    <col min="6" max="6" width="31.1640625" style="22" bestFit="1" customWidth="1"/>
    <col min="7" max="9" width="5.33203125" style="29" customWidth="1"/>
    <col min="10" max="10" width="4.6640625" style="29" customWidth="1"/>
    <col min="11" max="11" width="11.5" style="29" bestFit="1" customWidth="1"/>
    <col min="12" max="12" width="10.33203125" style="29" customWidth="1"/>
    <col min="13" max="13" width="19.5" style="22" customWidth="1"/>
  </cols>
  <sheetData>
    <row r="1" spans="1:13" s="2" customFormat="1" ht="29" customHeight="1">
      <c r="A1" s="51" t="s">
        <v>436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458</v>
      </c>
      <c r="B3" s="73" t="s">
        <v>0</v>
      </c>
      <c r="C3" s="61" t="s">
        <v>460</v>
      </c>
      <c r="D3" s="61" t="s">
        <v>6</v>
      </c>
      <c r="E3" s="63" t="s">
        <v>461</v>
      </c>
      <c r="F3" s="65" t="s">
        <v>5</v>
      </c>
      <c r="G3" s="65" t="s">
        <v>8</v>
      </c>
      <c r="H3" s="65"/>
      <c r="I3" s="65"/>
      <c r="J3" s="65"/>
      <c r="K3" s="63" t="s">
        <v>248</v>
      </c>
      <c r="L3" s="63" t="s">
        <v>3</v>
      </c>
      <c r="M3" s="69" t="s">
        <v>2</v>
      </c>
    </row>
    <row r="4" spans="1:13" s="1" customFormat="1" ht="21" customHeight="1" thickBot="1">
      <c r="A4" s="60"/>
      <c r="B4" s="74"/>
      <c r="C4" s="62"/>
      <c r="D4" s="62"/>
      <c r="E4" s="64"/>
      <c r="F4" s="62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70"/>
    </row>
    <row r="5" spans="1:13" s="3" customFormat="1" ht="16">
      <c r="A5" s="71" t="s">
        <v>236</v>
      </c>
      <c r="B5" s="71"/>
      <c r="C5" s="72"/>
      <c r="D5" s="72"/>
      <c r="E5" s="72"/>
      <c r="F5" s="72"/>
      <c r="G5" s="72"/>
      <c r="H5" s="72"/>
      <c r="I5" s="72"/>
      <c r="J5" s="72"/>
      <c r="K5" s="6"/>
      <c r="L5" s="6"/>
      <c r="M5" s="5"/>
    </row>
    <row r="6" spans="1:13">
      <c r="A6" s="39">
        <v>1</v>
      </c>
      <c r="B6" s="34" t="s">
        <v>237</v>
      </c>
      <c r="C6" s="34" t="s">
        <v>238</v>
      </c>
      <c r="D6" s="34" t="s">
        <v>239</v>
      </c>
      <c r="E6" s="34" t="s">
        <v>462</v>
      </c>
      <c r="F6" s="34" t="s">
        <v>69</v>
      </c>
      <c r="G6" s="37" t="s">
        <v>240</v>
      </c>
      <c r="H6" s="37" t="s">
        <v>120</v>
      </c>
      <c r="I6" s="38" t="s">
        <v>241</v>
      </c>
      <c r="J6" s="39"/>
      <c r="K6" s="39" t="str">
        <f>"280,0"</f>
        <v>280,0</v>
      </c>
      <c r="L6" s="39" t="str">
        <f>"157,5000"</f>
        <v>157,5000</v>
      </c>
      <c r="M6" s="34"/>
    </row>
    <row r="7" spans="1:13">
      <c r="A7" s="41">
        <v>2</v>
      </c>
      <c r="B7" s="35" t="s">
        <v>242</v>
      </c>
      <c r="C7" s="35" t="s">
        <v>243</v>
      </c>
      <c r="D7" s="35" t="s">
        <v>244</v>
      </c>
      <c r="E7" s="35" t="s">
        <v>462</v>
      </c>
      <c r="F7" s="35" t="s">
        <v>449</v>
      </c>
      <c r="G7" s="40" t="s">
        <v>97</v>
      </c>
      <c r="H7" s="41"/>
      <c r="I7" s="41"/>
      <c r="J7" s="41"/>
      <c r="K7" s="41" t="str">
        <f>"200,0"</f>
        <v>200,0</v>
      </c>
      <c r="L7" s="41" t="str">
        <f>"113,1000"</f>
        <v>113,1000</v>
      </c>
      <c r="M7" s="35"/>
    </row>
    <row r="8" spans="1:13">
      <c r="A8" s="41">
        <v>1</v>
      </c>
      <c r="B8" s="35" t="s">
        <v>237</v>
      </c>
      <c r="C8" s="35" t="s">
        <v>245</v>
      </c>
      <c r="D8" s="35" t="s">
        <v>239</v>
      </c>
      <c r="E8" s="35" t="s">
        <v>466</v>
      </c>
      <c r="F8" s="35" t="s">
        <v>69</v>
      </c>
      <c r="G8" s="40" t="s">
        <v>240</v>
      </c>
      <c r="H8" s="40" t="s">
        <v>120</v>
      </c>
      <c r="I8" s="42" t="s">
        <v>241</v>
      </c>
      <c r="J8" s="41"/>
      <c r="K8" s="41" t="str">
        <f>"280,0"</f>
        <v>280,0</v>
      </c>
      <c r="L8" s="41" t="str">
        <f>"160,6500"</f>
        <v>160,6500</v>
      </c>
      <c r="M8" s="35"/>
    </row>
    <row r="9" spans="1:13">
      <c r="A9" s="44">
        <v>2</v>
      </c>
      <c r="B9" s="36" t="s">
        <v>242</v>
      </c>
      <c r="C9" s="36" t="s">
        <v>246</v>
      </c>
      <c r="D9" s="36" t="s">
        <v>244</v>
      </c>
      <c r="E9" s="36" t="s">
        <v>466</v>
      </c>
      <c r="F9" s="36" t="s">
        <v>449</v>
      </c>
      <c r="G9" s="45" t="s">
        <v>97</v>
      </c>
      <c r="H9" s="44"/>
      <c r="I9" s="44"/>
      <c r="J9" s="44"/>
      <c r="K9" s="44" t="str">
        <f>"200,0"</f>
        <v>200,0</v>
      </c>
      <c r="L9" s="44" t="str">
        <f>"122,3742"</f>
        <v>122,3742</v>
      </c>
      <c r="M9" s="36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83A20-BDE9-479C-AAB5-951BD101E721}">
  <dimension ref="A1:M10"/>
  <sheetViews>
    <sheetView workbookViewId="0">
      <selection activeCell="E11" sqref="E11"/>
    </sheetView>
  </sheetViews>
  <sheetFormatPr baseColWidth="10" defaultColWidth="8.83203125" defaultRowHeight="13"/>
  <cols>
    <col min="1" max="1" width="7.1640625" style="22" bestFit="1" customWidth="1"/>
    <col min="2" max="2" width="22.6640625" style="22" bestFit="1" customWidth="1"/>
    <col min="3" max="3" width="27" style="22" bestFit="1" customWidth="1"/>
    <col min="4" max="4" width="21.5" style="22" bestFit="1" customWidth="1"/>
    <col min="5" max="5" width="10.33203125" style="22" bestFit="1" customWidth="1"/>
    <col min="6" max="6" width="30.6640625" style="22" customWidth="1"/>
    <col min="7" max="8" width="5.33203125" style="29" customWidth="1"/>
    <col min="9" max="9" width="5.5" style="29" customWidth="1"/>
    <col min="10" max="10" width="4.6640625" style="29" customWidth="1"/>
    <col min="11" max="11" width="11.5" style="29" bestFit="1" customWidth="1"/>
    <col min="12" max="12" width="11" style="29" customWidth="1"/>
    <col min="13" max="13" width="17.6640625" style="22" customWidth="1"/>
  </cols>
  <sheetData>
    <row r="1" spans="1:13" s="2" customFormat="1" ht="29" customHeight="1">
      <c r="A1" s="51" t="s">
        <v>429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458</v>
      </c>
      <c r="B3" s="73" t="s">
        <v>0</v>
      </c>
      <c r="C3" s="61" t="s">
        <v>460</v>
      </c>
      <c r="D3" s="61" t="s">
        <v>6</v>
      </c>
      <c r="E3" s="63" t="s">
        <v>461</v>
      </c>
      <c r="F3" s="65" t="s">
        <v>5</v>
      </c>
      <c r="G3" s="65" t="s">
        <v>8</v>
      </c>
      <c r="H3" s="65"/>
      <c r="I3" s="65"/>
      <c r="J3" s="65"/>
      <c r="K3" s="63" t="s">
        <v>248</v>
      </c>
      <c r="L3" s="63" t="s">
        <v>3</v>
      </c>
      <c r="M3" s="69" t="s">
        <v>2</v>
      </c>
    </row>
    <row r="4" spans="1:13" s="1" customFormat="1" ht="21" customHeight="1" thickBot="1">
      <c r="A4" s="60"/>
      <c r="B4" s="74"/>
      <c r="C4" s="62"/>
      <c r="D4" s="62"/>
      <c r="E4" s="64"/>
      <c r="F4" s="62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70"/>
    </row>
    <row r="5" spans="1:13" s="3" customFormat="1" ht="16">
      <c r="A5" s="71" t="s">
        <v>10</v>
      </c>
      <c r="B5" s="71"/>
      <c r="C5" s="72"/>
      <c r="D5" s="72"/>
      <c r="E5" s="72"/>
      <c r="F5" s="72"/>
      <c r="G5" s="72"/>
      <c r="H5" s="72"/>
      <c r="I5" s="72"/>
      <c r="J5" s="72"/>
      <c r="K5" s="6"/>
      <c r="L5" s="6"/>
      <c r="M5" s="5"/>
    </row>
    <row r="6" spans="1:13">
      <c r="A6" s="33">
        <v>1</v>
      </c>
      <c r="B6" s="21" t="s">
        <v>305</v>
      </c>
      <c r="C6" s="21" t="s">
        <v>306</v>
      </c>
      <c r="D6" s="21" t="s">
        <v>25</v>
      </c>
      <c r="E6" s="21" t="s">
        <v>462</v>
      </c>
      <c r="F6" s="21" t="s">
        <v>447</v>
      </c>
      <c r="G6" s="32" t="s">
        <v>209</v>
      </c>
      <c r="H6" s="31" t="s">
        <v>333</v>
      </c>
      <c r="I6" s="33"/>
      <c r="J6" s="33"/>
      <c r="K6" s="33" t="str">
        <f>"227,5"</f>
        <v>227,5</v>
      </c>
      <c r="L6" s="33" t="str">
        <f>"139,1959"</f>
        <v>139,1959</v>
      </c>
      <c r="M6" s="21" t="s">
        <v>228</v>
      </c>
    </row>
    <row r="8" spans="1:13" ht="16">
      <c r="A8" s="66" t="s">
        <v>236</v>
      </c>
      <c r="B8" s="66"/>
      <c r="C8" s="66"/>
      <c r="D8" s="66"/>
      <c r="E8" s="66"/>
      <c r="F8" s="66"/>
      <c r="G8" s="66"/>
      <c r="H8" s="66"/>
      <c r="I8" s="66"/>
      <c r="J8" s="66"/>
    </row>
    <row r="9" spans="1:13">
      <c r="A9" s="39">
        <v>1</v>
      </c>
      <c r="B9" s="34" t="s">
        <v>242</v>
      </c>
      <c r="C9" s="34" t="s">
        <v>243</v>
      </c>
      <c r="D9" s="34" t="s">
        <v>244</v>
      </c>
      <c r="E9" s="34" t="s">
        <v>462</v>
      </c>
      <c r="F9" s="34" t="s">
        <v>449</v>
      </c>
      <c r="G9" s="37" t="s">
        <v>97</v>
      </c>
      <c r="H9" s="39"/>
      <c r="I9" s="39"/>
      <c r="J9" s="39"/>
      <c r="K9" s="39" t="str">
        <f>"200,0"</f>
        <v>200,0</v>
      </c>
      <c r="L9" s="39" t="str">
        <f>"113,1000"</f>
        <v>113,1000</v>
      </c>
      <c r="M9" s="34"/>
    </row>
    <row r="10" spans="1:13">
      <c r="A10" s="44">
        <v>1</v>
      </c>
      <c r="B10" s="36" t="s">
        <v>242</v>
      </c>
      <c r="C10" s="36" t="s">
        <v>246</v>
      </c>
      <c r="D10" s="36" t="s">
        <v>244</v>
      </c>
      <c r="E10" s="36" t="s">
        <v>466</v>
      </c>
      <c r="F10" s="36" t="s">
        <v>449</v>
      </c>
      <c r="G10" s="45" t="s">
        <v>97</v>
      </c>
      <c r="H10" s="44"/>
      <c r="I10" s="44"/>
      <c r="J10" s="44"/>
      <c r="K10" s="44" t="str">
        <f>"200,0"</f>
        <v>200,0</v>
      </c>
      <c r="L10" s="44" t="str">
        <f>"122,3742"</f>
        <v>122,3742</v>
      </c>
      <c r="M10" s="36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4B8D0-6190-42F0-9965-7937009CCC4A}">
  <dimension ref="A1:M10"/>
  <sheetViews>
    <sheetView workbookViewId="0">
      <selection activeCell="E11" sqref="E11"/>
    </sheetView>
  </sheetViews>
  <sheetFormatPr baseColWidth="10" defaultColWidth="8.83203125" defaultRowHeight="13"/>
  <cols>
    <col min="1" max="1" width="7.1640625" style="22" bestFit="1" customWidth="1"/>
    <col min="2" max="2" width="22.6640625" style="22" bestFit="1" customWidth="1"/>
    <col min="3" max="3" width="27" style="22" bestFit="1" customWidth="1"/>
    <col min="4" max="4" width="21.5" style="22" bestFit="1" customWidth="1"/>
    <col min="5" max="5" width="10.33203125" style="22" bestFit="1" customWidth="1"/>
    <col min="6" max="6" width="31.1640625" style="22" bestFit="1" customWidth="1"/>
    <col min="7" max="9" width="5.33203125" style="29" customWidth="1"/>
    <col min="10" max="10" width="4.6640625" style="29" customWidth="1"/>
    <col min="11" max="11" width="11.5" style="29" bestFit="1" customWidth="1"/>
    <col min="12" max="12" width="11" style="29" customWidth="1"/>
    <col min="13" max="13" width="18.5" style="22" customWidth="1"/>
  </cols>
  <sheetData>
    <row r="1" spans="1:13" s="2" customFormat="1" ht="29" customHeight="1">
      <c r="A1" s="51" t="s">
        <v>430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458</v>
      </c>
      <c r="B3" s="73" t="s">
        <v>0</v>
      </c>
      <c r="C3" s="61" t="s">
        <v>460</v>
      </c>
      <c r="D3" s="61" t="s">
        <v>6</v>
      </c>
      <c r="E3" s="63" t="s">
        <v>461</v>
      </c>
      <c r="F3" s="65" t="s">
        <v>5</v>
      </c>
      <c r="G3" s="65" t="s">
        <v>8</v>
      </c>
      <c r="H3" s="65"/>
      <c r="I3" s="65"/>
      <c r="J3" s="65"/>
      <c r="K3" s="63" t="s">
        <v>248</v>
      </c>
      <c r="L3" s="63" t="s">
        <v>3</v>
      </c>
      <c r="M3" s="69" t="s">
        <v>2</v>
      </c>
    </row>
    <row r="4" spans="1:13" s="1" customFormat="1" ht="21" customHeight="1" thickBot="1">
      <c r="A4" s="60"/>
      <c r="B4" s="74"/>
      <c r="C4" s="62"/>
      <c r="D4" s="62"/>
      <c r="E4" s="64"/>
      <c r="F4" s="62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70"/>
    </row>
    <row r="5" spans="1:13" s="3" customFormat="1" ht="16">
      <c r="A5" s="71" t="s">
        <v>236</v>
      </c>
      <c r="B5" s="71"/>
      <c r="C5" s="72"/>
      <c r="D5" s="72"/>
      <c r="E5" s="72"/>
      <c r="F5" s="72"/>
      <c r="G5" s="72"/>
      <c r="H5" s="72"/>
      <c r="I5" s="72"/>
      <c r="J5" s="72"/>
      <c r="K5" s="6"/>
      <c r="L5" s="6"/>
      <c r="M5" s="5"/>
    </row>
    <row r="6" spans="1:13">
      <c r="A6" s="39">
        <v>1</v>
      </c>
      <c r="B6" s="34" t="s">
        <v>242</v>
      </c>
      <c r="C6" s="34" t="s">
        <v>243</v>
      </c>
      <c r="D6" s="34" t="s">
        <v>244</v>
      </c>
      <c r="E6" s="34" t="s">
        <v>462</v>
      </c>
      <c r="F6" s="34" t="s">
        <v>449</v>
      </c>
      <c r="G6" s="37" t="s">
        <v>97</v>
      </c>
      <c r="H6" s="39"/>
      <c r="I6" s="39"/>
      <c r="J6" s="39"/>
      <c r="K6" s="39" t="str">
        <f>"200,0"</f>
        <v>200,0</v>
      </c>
      <c r="L6" s="39" t="str">
        <f>"113,1000"</f>
        <v>113,1000</v>
      </c>
      <c r="M6" s="34"/>
    </row>
    <row r="7" spans="1:13">
      <c r="A7" s="44">
        <v>1</v>
      </c>
      <c r="B7" s="36" t="s">
        <v>242</v>
      </c>
      <c r="C7" s="36" t="s">
        <v>246</v>
      </c>
      <c r="D7" s="36" t="s">
        <v>244</v>
      </c>
      <c r="E7" s="36" t="s">
        <v>466</v>
      </c>
      <c r="F7" s="36" t="s">
        <v>449</v>
      </c>
      <c r="G7" s="45" t="s">
        <v>97</v>
      </c>
      <c r="H7" s="44"/>
      <c r="I7" s="44"/>
      <c r="J7" s="44"/>
      <c r="K7" s="44" t="str">
        <f>"200,0"</f>
        <v>200,0</v>
      </c>
      <c r="L7" s="44" t="str">
        <f>"122,3742"</f>
        <v>122,3742</v>
      </c>
      <c r="M7" s="36"/>
    </row>
    <row r="9" spans="1:13" ht="16">
      <c r="A9" s="66" t="s">
        <v>111</v>
      </c>
      <c r="B9" s="66"/>
      <c r="C9" s="66"/>
      <c r="D9" s="66"/>
      <c r="E9" s="66"/>
      <c r="F9" s="66"/>
      <c r="G9" s="66"/>
      <c r="H9" s="66"/>
      <c r="I9" s="66"/>
      <c r="J9" s="66"/>
    </row>
    <row r="10" spans="1:13">
      <c r="A10" s="33">
        <v>1</v>
      </c>
      <c r="B10" s="21" t="s">
        <v>330</v>
      </c>
      <c r="C10" s="21" t="s">
        <v>331</v>
      </c>
      <c r="D10" s="21" t="s">
        <v>332</v>
      </c>
      <c r="E10" s="21" t="s">
        <v>466</v>
      </c>
      <c r="F10" s="21" t="s">
        <v>69</v>
      </c>
      <c r="G10" s="32" t="s">
        <v>178</v>
      </c>
      <c r="H10" s="31" t="s">
        <v>178</v>
      </c>
      <c r="I10" s="31" t="s">
        <v>120</v>
      </c>
      <c r="J10" s="33"/>
      <c r="K10" s="33" t="str">
        <f>"280,0"</f>
        <v>280,0</v>
      </c>
      <c r="L10" s="33" t="str">
        <f>"157,5471"</f>
        <v>157,5471</v>
      </c>
      <c r="M10" s="21"/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CAB80-78E5-4F4A-ABC0-91E91AE861AD}">
  <dimension ref="A1:M12"/>
  <sheetViews>
    <sheetView workbookViewId="0">
      <selection activeCell="E11" sqref="E11"/>
    </sheetView>
  </sheetViews>
  <sheetFormatPr baseColWidth="10" defaultColWidth="8.83203125" defaultRowHeight="13"/>
  <cols>
    <col min="1" max="1" width="7.1640625" style="22" bestFit="1" customWidth="1"/>
    <col min="2" max="2" width="20" style="22" customWidth="1"/>
    <col min="3" max="3" width="25.1640625" style="22" bestFit="1" customWidth="1"/>
    <col min="4" max="4" width="21.5" style="22" bestFit="1" customWidth="1"/>
    <col min="5" max="5" width="10.33203125" style="22" bestFit="1" customWidth="1"/>
    <col min="6" max="6" width="31.1640625" style="22" bestFit="1" customWidth="1"/>
    <col min="7" max="9" width="5.33203125" style="29" customWidth="1"/>
    <col min="10" max="10" width="4.6640625" style="29" customWidth="1"/>
    <col min="11" max="11" width="11.5" style="29" bestFit="1" customWidth="1"/>
    <col min="12" max="12" width="10.83203125" style="29" customWidth="1"/>
    <col min="13" max="13" width="19.1640625" style="22" customWidth="1"/>
  </cols>
  <sheetData>
    <row r="1" spans="1:13" s="2" customFormat="1" ht="29" customHeight="1">
      <c r="A1" s="51" t="s">
        <v>431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458</v>
      </c>
      <c r="B3" s="73" t="s">
        <v>0</v>
      </c>
      <c r="C3" s="61" t="s">
        <v>460</v>
      </c>
      <c r="D3" s="61" t="s">
        <v>6</v>
      </c>
      <c r="E3" s="63" t="s">
        <v>461</v>
      </c>
      <c r="F3" s="65" t="s">
        <v>5</v>
      </c>
      <c r="G3" s="65" t="s">
        <v>8</v>
      </c>
      <c r="H3" s="65"/>
      <c r="I3" s="65"/>
      <c r="J3" s="65"/>
      <c r="K3" s="63" t="s">
        <v>248</v>
      </c>
      <c r="L3" s="63" t="s">
        <v>3</v>
      </c>
      <c r="M3" s="69" t="s">
        <v>2</v>
      </c>
    </row>
    <row r="4" spans="1:13" s="1" customFormat="1" ht="21" customHeight="1" thickBot="1">
      <c r="A4" s="60"/>
      <c r="B4" s="74"/>
      <c r="C4" s="62"/>
      <c r="D4" s="62"/>
      <c r="E4" s="64"/>
      <c r="F4" s="62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70"/>
    </row>
    <row r="5" spans="1:13" s="3" customFormat="1" ht="16">
      <c r="A5" s="71" t="s">
        <v>65</v>
      </c>
      <c r="B5" s="71"/>
      <c r="C5" s="72"/>
      <c r="D5" s="72"/>
      <c r="E5" s="72"/>
      <c r="F5" s="72"/>
      <c r="G5" s="72"/>
      <c r="H5" s="72"/>
      <c r="I5" s="72"/>
      <c r="J5" s="72"/>
      <c r="K5" s="6"/>
      <c r="L5" s="6"/>
      <c r="M5" s="5"/>
    </row>
    <row r="6" spans="1:13">
      <c r="A6" s="39">
        <v>1</v>
      </c>
      <c r="B6" s="34" t="s">
        <v>325</v>
      </c>
      <c r="C6" s="34" t="s">
        <v>326</v>
      </c>
      <c r="D6" s="34" t="s">
        <v>327</v>
      </c>
      <c r="E6" s="34" t="s">
        <v>465</v>
      </c>
      <c r="F6" s="34" t="s">
        <v>165</v>
      </c>
      <c r="G6" s="37" t="s">
        <v>155</v>
      </c>
      <c r="H6" s="37" t="s">
        <v>80</v>
      </c>
      <c r="I6" s="37" t="s">
        <v>81</v>
      </c>
      <c r="J6" s="39"/>
      <c r="K6" s="39" t="str">
        <f>"135,0"</f>
        <v>135,0</v>
      </c>
      <c r="L6" s="39" t="str">
        <f>"90,5715"</f>
        <v>90,5715</v>
      </c>
      <c r="M6" s="34" t="s">
        <v>328</v>
      </c>
    </row>
    <row r="7" spans="1:13">
      <c r="A7" s="44">
        <v>1</v>
      </c>
      <c r="B7" s="36" t="s">
        <v>325</v>
      </c>
      <c r="C7" s="36" t="s">
        <v>329</v>
      </c>
      <c r="D7" s="36" t="s">
        <v>327</v>
      </c>
      <c r="E7" s="36" t="s">
        <v>462</v>
      </c>
      <c r="F7" s="36" t="s">
        <v>165</v>
      </c>
      <c r="G7" s="45" t="s">
        <v>155</v>
      </c>
      <c r="H7" s="45" t="s">
        <v>80</v>
      </c>
      <c r="I7" s="45" t="s">
        <v>81</v>
      </c>
      <c r="J7" s="44"/>
      <c r="K7" s="44" t="str">
        <f>"135,0"</f>
        <v>135,0</v>
      </c>
      <c r="L7" s="44" t="str">
        <f>"90,5715"</f>
        <v>90,5715</v>
      </c>
      <c r="M7" s="36" t="s">
        <v>328</v>
      </c>
    </row>
    <row r="9" spans="1:13" ht="16">
      <c r="A9" s="66" t="s">
        <v>10</v>
      </c>
      <c r="B9" s="66"/>
      <c r="C9" s="66"/>
      <c r="D9" s="66"/>
      <c r="E9" s="66"/>
      <c r="F9" s="66"/>
      <c r="G9" s="66"/>
      <c r="H9" s="66"/>
      <c r="I9" s="66"/>
      <c r="J9" s="66"/>
    </row>
    <row r="10" spans="1:13">
      <c r="A10" s="33">
        <v>1</v>
      </c>
      <c r="B10" s="21" t="s">
        <v>301</v>
      </c>
      <c r="C10" s="21" t="s">
        <v>302</v>
      </c>
      <c r="D10" s="21" t="s">
        <v>303</v>
      </c>
      <c r="E10" s="21" t="s">
        <v>462</v>
      </c>
      <c r="F10" s="21" t="s">
        <v>69</v>
      </c>
      <c r="G10" s="31" t="s">
        <v>161</v>
      </c>
      <c r="H10" s="31" t="s">
        <v>17</v>
      </c>
      <c r="I10" s="32" t="s">
        <v>18</v>
      </c>
      <c r="J10" s="33"/>
      <c r="K10" s="33" t="str">
        <f>"160,0"</f>
        <v>160,0</v>
      </c>
      <c r="L10" s="33" t="str">
        <f>"102,2080"</f>
        <v>102,2080</v>
      </c>
      <c r="M10" s="21" t="s">
        <v>304</v>
      </c>
    </row>
    <row r="12" spans="1:13">
      <c r="G12" s="22"/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01560-88A2-44D1-A1B7-56A8D7F604FB}">
  <dimension ref="A1:M6"/>
  <sheetViews>
    <sheetView workbookViewId="0">
      <selection activeCell="E7" sqref="E7"/>
    </sheetView>
  </sheetViews>
  <sheetFormatPr baseColWidth="10" defaultColWidth="8.83203125" defaultRowHeight="13"/>
  <cols>
    <col min="1" max="1" width="7.1640625" style="22" bestFit="1" customWidth="1"/>
    <col min="2" max="2" width="17.83203125" style="22" customWidth="1"/>
    <col min="3" max="3" width="25.1640625" style="22" bestFit="1" customWidth="1"/>
    <col min="4" max="4" width="21.5" style="22" bestFit="1" customWidth="1"/>
    <col min="5" max="5" width="10.33203125" style="22" bestFit="1" customWidth="1"/>
    <col min="6" max="6" width="27" style="22" customWidth="1"/>
    <col min="7" max="9" width="5.33203125" style="29" customWidth="1"/>
    <col min="10" max="10" width="4.6640625" style="29" customWidth="1"/>
    <col min="11" max="11" width="11.5" style="22" bestFit="1" customWidth="1"/>
    <col min="12" max="12" width="10" style="22" customWidth="1"/>
    <col min="13" max="13" width="18.6640625" style="22" customWidth="1"/>
  </cols>
  <sheetData>
    <row r="1" spans="1:13" s="2" customFormat="1" ht="29" customHeight="1">
      <c r="A1" s="51" t="s">
        <v>435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458</v>
      </c>
      <c r="B3" s="73" t="s">
        <v>0</v>
      </c>
      <c r="C3" s="61" t="s">
        <v>460</v>
      </c>
      <c r="D3" s="61" t="s">
        <v>6</v>
      </c>
      <c r="E3" s="63" t="s">
        <v>461</v>
      </c>
      <c r="F3" s="65" t="s">
        <v>5</v>
      </c>
      <c r="G3" s="65" t="s">
        <v>8</v>
      </c>
      <c r="H3" s="65"/>
      <c r="I3" s="65"/>
      <c r="J3" s="65"/>
      <c r="K3" s="63" t="s">
        <v>248</v>
      </c>
      <c r="L3" s="63" t="s">
        <v>3</v>
      </c>
      <c r="M3" s="69" t="s">
        <v>2</v>
      </c>
    </row>
    <row r="4" spans="1:13" s="1" customFormat="1" ht="21" customHeight="1" thickBot="1">
      <c r="A4" s="60"/>
      <c r="B4" s="74"/>
      <c r="C4" s="62"/>
      <c r="D4" s="62"/>
      <c r="E4" s="64"/>
      <c r="F4" s="62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70"/>
    </row>
    <row r="5" spans="1:13" s="3" customFormat="1" ht="16">
      <c r="A5" s="71" t="s">
        <v>10</v>
      </c>
      <c r="B5" s="71"/>
      <c r="C5" s="72"/>
      <c r="D5" s="72"/>
      <c r="E5" s="72"/>
      <c r="F5" s="72"/>
      <c r="G5" s="72"/>
      <c r="H5" s="72"/>
      <c r="I5" s="72"/>
      <c r="J5" s="72"/>
      <c r="K5" s="6"/>
      <c r="L5" s="6"/>
      <c r="M5" s="5"/>
    </row>
    <row r="6" spans="1:13">
      <c r="A6" s="33">
        <v>1</v>
      </c>
      <c r="B6" s="21" t="s">
        <v>104</v>
      </c>
      <c r="C6" s="21" t="s">
        <v>105</v>
      </c>
      <c r="D6" s="21" t="s">
        <v>25</v>
      </c>
      <c r="E6" s="21" t="s">
        <v>462</v>
      </c>
      <c r="F6" s="21" t="s">
        <v>447</v>
      </c>
      <c r="G6" s="31" t="s">
        <v>80</v>
      </c>
      <c r="H6" s="31" t="s">
        <v>82</v>
      </c>
      <c r="I6" s="31" t="s">
        <v>108</v>
      </c>
      <c r="J6" s="33"/>
      <c r="K6" s="33" t="str">
        <f>"145,0"</f>
        <v>145,0</v>
      </c>
      <c r="L6" s="33" t="str">
        <f>"92,5680"</f>
        <v>92,5680</v>
      </c>
      <c r="M6" s="21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09B3C-36AC-4FF9-85A0-B4687A37E562}">
  <dimension ref="A1:M50"/>
  <sheetViews>
    <sheetView topLeftCell="A21" workbookViewId="0">
      <selection activeCell="E41" sqref="E41"/>
    </sheetView>
  </sheetViews>
  <sheetFormatPr baseColWidth="10" defaultColWidth="8.83203125" defaultRowHeight="13"/>
  <cols>
    <col min="1" max="1" width="7.1640625" style="22" bestFit="1" customWidth="1"/>
    <col min="2" max="2" width="21.1640625" style="22" bestFit="1" customWidth="1"/>
    <col min="3" max="3" width="27" style="22" bestFit="1" customWidth="1"/>
    <col min="4" max="4" width="21.5" style="22" bestFit="1" customWidth="1"/>
    <col min="5" max="5" width="10.33203125" style="22" bestFit="1" customWidth="1"/>
    <col min="6" max="6" width="38.1640625" style="22" bestFit="1" customWidth="1"/>
    <col min="7" max="7" width="5.5" style="29" customWidth="1"/>
    <col min="8" max="9" width="5.33203125" style="29" customWidth="1"/>
    <col min="10" max="10" width="4.6640625" style="29" customWidth="1"/>
    <col min="11" max="11" width="11.5" style="29" bestFit="1" customWidth="1"/>
    <col min="12" max="12" width="11.33203125" style="29" customWidth="1"/>
    <col min="13" max="13" width="19.6640625" style="22" customWidth="1"/>
  </cols>
  <sheetData>
    <row r="1" spans="1:13" s="2" customFormat="1" ht="29" customHeight="1">
      <c r="A1" s="51" t="s">
        <v>427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458</v>
      </c>
      <c r="B3" s="73" t="s">
        <v>0</v>
      </c>
      <c r="C3" s="61" t="s">
        <v>460</v>
      </c>
      <c r="D3" s="61" t="s">
        <v>6</v>
      </c>
      <c r="E3" s="63" t="s">
        <v>461</v>
      </c>
      <c r="F3" s="65" t="s">
        <v>5</v>
      </c>
      <c r="G3" s="65" t="s">
        <v>9</v>
      </c>
      <c r="H3" s="65"/>
      <c r="I3" s="65"/>
      <c r="J3" s="65"/>
      <c r="K3" s="63" t="s">
        <v>248</v>
      </c>
      <c r="L3" s="63" t="s">
        <v>3</v>
      </c>
      <c r="M3" s="69" t="s">
        <v>2</v>
      </c>
    </row>
    <row r="4" spans="1:13" s="1" customFormat="1" ht="21" customHeight="1" thickBot="1">
      <c r="A4" s="60"/>
      <c r="B4" s="74"/>
      <c r="C4" s="62"/>
      <c r="D4" s="62"/>
      <c r="E4" s="64"/>
      <c r="F4" s="62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70"/>
    </row>
    <row r="5" spans="1:13" s="3" customFormat="1" ht="16">
      <c r="A5" s="71" t="s">
        <v>121</v>
      </c>
      <c r="B5" s="71"/>
      <c r="C5" s="72"/>
      <c r="D5" s="72"/>
      <c r="E5" s="72"/>
      <c r="F5" s="72"/>
      <c r="G5" s="72"/>
      <c r="H5" s="72"/>
      <c r="I5" s="72"/>
      <c r="J5" s="72"/>
      <c r="K5" s="6"/>
      <c r="L5" s="6"/>
      <c r="M5" s="5"/>
    </row>
    <row r="6" spans="1:13">
      <c r="A6" s="39">
        <v>1</v>
      </c>
      <c r="B6" s="34" t="s">
        <v>122</v>
      </c>
      <c r="C6" s="34" t="s">
        <v>123</v>
      </c>
      <c r="D6" s="34" t="s">
        <v>124</v>
      </c>
      <c r="E6" s="34" t="s">
        <v>462</v>
      </c>
      <c r="F6" s="34" t="s">
        <v>69</v>
      </c>
      <c r="G6" s="37" t="s">
        <v>80</v>
      </c>
      <c r="H6" s="37" t="s">
        <v>82</v>
      </c>
      <c r="I6" s="37" t="s">
        <v>100</v>
      </c>
      <c r="J6" s="39"/>
      <c r="K6" s="39" t="str">
        <f>"147,5"</f>
        <v>147,5</v>
      </c>
      <c r="L6" s="39" t="str">
        <f>"184,6995"</f>
        <v>184,6995</v>
      </c>
      <c r="M6" s="34" t="s">
        <v>85</v>
      </c>
    </row>
    <row r="7" spans="1:13">
      <c r="A7" s="44">
        <v>2</v>
      </c>
      <c r="B7" s="36" t="s">
        <v>364</v>
      </c>
      <c r="C7" s="36" t="s">
        <v>365</v>
      </c>
      <c r="D7" s="36" t="s">
        <v>366</v>
      </c>
      <c r="E7" s="36" t="s">
        <v>462</v>
      </c>
      <c r="F7" s="36" t="s">
        <v>448</v>
      </c>
      <c r="G7" s="45" t="s">
        <v>73</v>
      </c>
      <c r="H7" s="45" t="s">
        <v>74</v>
      </c>
      <c r="I7" s="45" t="s">
        <v>150</v>
      </c>
      <c r="J7" s="44"/>
      <c r="K7" s="44" t="str">
        <f>"120,0"</f>
        <v>120,0</v>
      </c>
      <c r="L7" s="44" t="str">
        <f>"149,8200"</f>
        <v>149,8200</v>
      </c>
      <c r="M7" s="36" t="s">
        <v>85</v>
      </c>
    </row>
    <row r="9" spans="1:13" ht="16">
      <c r="A9" s="66" t="s">
        <v>40</v>
      </c>
      <c r="B9" s="66"/>
      <c r="C9" s="66"/>
      <c r="D9" s="66"/>
      <c r="E9" s="66"/>
      <c r="F9" s="66"/>
      <c r="G9" s="66"/>
      <c r="H9" s="66"/>
      <c r="I9" s="66"/>
      <c r="J9" s="66"/>
    </row>
    <row r="10" spans="1:13">
      <c r="A10" s="33">
        <v>1</v>
      </c>
      <c r="B10" s="21" t="s">
        <v>137</v>
      </c>
      <c r="C10" s="21" t="s">
        <v>138</v>
      </c>
      <c r="D10" s="21" t="s">
        <v>139</v>
      </c>
      <c r="E10" s="21" t="s">
        <v>462</v>
      </c>
      <c r="F10" s="21" t="s">
        <v>140</v>
      </c>
      <c r="G10" s="31" t="s">
        <v>81</v>
      </c>
      <c r="H10" s="32" t="s">
        <v>108</v>
      </c>
      <c r="I10" s="32" t="s">
        <v>108</v>
      </c>
      <c r="J10" s="33"/>
      <c r="K10" s="33" t="str">
        <f>"135,0"</f>
        <v>135,0</v>
      </c>
      <c r="L10" s="33" t="str">
        <f>"159,9615"</f>
        <v>159,9615</v>
      </c>
      <c r="M10" s="21"/>
    </row>
    <row r="12" spans="1:13" ht="16">
      <c r="A12" s="66" t="s">
        <v>86</v>
      </c>
      <c r="B12" s="66"/>
      <c r="C12" s="66"/>
      <c r="D12" s="66"/>
      <c r="E12" s="66"/>
      <c r="F12" s="66"/>
      <c r="G12" s="66"/>
      <c r="H12" s="66"/>
      <c r="I12" s="66"/>
      <c r="J12" s="66"/>
    </row>
    <row r="13" spans="1:13">
      <c r="A13" s="33">
        <v>1</v>
      </c>
      <c r="B13" s="21" t="s">
        <v>151</v>
      </c>
      <c r="C13" s="21" t="s">
        <v>152</v>
      </c>
      <c r="D13" s="21" t="s">
        <v>153</v>
      </c>
      <c r="E13" s="21" t="s">
        <v>462</v>
      </c>
      <c r="F13" s="21" t="s">
        <v>154</v>
      </c>
      <c r="G13" s="31" t="s">
        <v>155</v>
      </c>
      <c r="H13" s="31" t="s">
        <v>82</v>
      </c>
      <c r="I13" s="32" t="s">
        <v>108</v>
      </c>
      <c r="J13" s="33"/>
      <c r="K13" s="33" t="str">
        <f>"140,0"</f>
        <v>140,0</v>
      </c>
      <c r="L13" s="33" t="str">
        <f>"142,8840"</f>
        <v>142,8840</v>
      </c>
      <c r="M13" s="21"/>
    </row>
    <row r="15" spans="1:13" ht="16">
      <c r="A15" s="66" t="s">
        <v>53</v>
      </c>
      <c r="B15" s="66"/>
      <c r="C15" s="66"/>
      <c r="D15" s="66"/>
      <c r="E15" s="66"/>
      <c r="F15" s="66"/>
      <c r="G15" s="66"/>
      <c r="H15" s="66"/>
      <c r="I15" s="66"/>
      <c r="J15" s="66"/>
    </row>
    <row r="16" spans="1:13">
      <c r="A16" s="33">
        <v>1</v>
      </c>
      <c r="B16" s="21" t="s">
        <v>277</v>
      </c>
      <c r="C16" s="21" t="s">
        <v>278</v>
      </c>
      <c r="D16" s="21" t="s">
        <v>279</v>
      </c>
      <c r="E16" s="21" t="s">
        <v>462</v>
      </c>
      <c r="F16" s="21" t="s">
        <v>115</v>
      </c>
      <c r="G16" s="31" t="s">
        <v>80</v>
      </c>
      <c r="H16" s="31" t="s">
        <v>109</v>
      </c>
      <c r="I16" s="31" t="s">
        <v>161</v>
      </c>
      <c r="J16" s="33"/>
      <c r="K16" s="33" t="str">
        <f>"152,5"</f>
        <v>152,5</v>
      </c>
      <c r="L16" s="33" t="str">
        <f>"131,6837"</f>
        <v>131,6837</v>
      </c>
      <c r="M16" s="21" t="s">
        <v>280</v>
      </c>
    </row>
    <row r="18" spans="1:13" ht="16">
      <c r="A18" s="66" t="s">
        <v>86</v>
      </c>
      <c r="B18" s="66"/>
      <c r="C18" s="66"/>
      <c r="D18" s="66"/>
      <c r="E18" s="66"/>
      <c r="F18" s="66"/>
      <c r="G18" s="66"/>
      <c r="H18" s="66"/>
      <c r="I18" s="66"/>
      <c r="J18" s="66"/>
    </row>
    <row r="19" spans="1:13">
      <c r="A19" s="33">
        <v>1</v>
      </c>
      <c r="B19" s="21" t="s">
        <v>367</v>
      </c>
      <c r="C19" s="21" t="s">
        <v>368</v>
      </c>
      <c r="D19" s="21" t="s">
        <v>369</v>
      </c>
      <c r="E19" s="21" t="s">
        <v>465</v>
      </c>
      <c r="F19" s="21" t="s">
        <v>144</v>
      </c>
      <c r="G19" s="31" t="s">
        <v>101</v>
      </c>
      <c r="H19" s="31" t="s">
        <v>110</v>
      </c>
      <c r="I19" s="32" t="s">
        <v>99</v>
      </c>
      <c r="J19" s="33"/>
      <c r="K19" s="33" t="str">
        <f>"215,0"</f>
        <v>215,0</v>
      </c>
      <c r="L19" s="33" t="str">
        <f>"166,9690"</f>
        <v>166,9690</v>
      </c>
      <c r="M19" s="21" t="s">
        <v>370</v>
      </c>
    </row>
    <row r="21" spans="1:13" ht="16">
      <c r="A21" s="66" t="s">
        <v>156</v>
      </c>
      <c r="B21" s="66"/>
      <c r="C21" s="66"/>
      <c r="D21" s="66"/>
      <c r="E21" s="66"/>
      <c r="F21" s="66"/>
      <c r="G21" s="66"/>
      <c r="H21" s="66"/>
      <c r="I21" s="66"/>
      <c r="J21" s="66"/>
    </row>
    <row r="22" spans="1:13">
      <c r="A22" s="39">
        <v>1</v>
      </c>
      <c r="B22" s="34" t="s">
        <v>371</v>
      </c>
      <c r="C22" s="34" t="s">
        <v>372</v>
      </c>
      <c r="D22" s="34" t="s">
        <v>373</v>
      </c>
      <c r="E22" s="34" t="s">
        <v>462</v>
      </c>
      <c r="F22" s="34" t="s">
        <v>69</v>
      </c>
      <c r="G22" s="37" t="s">
        <v>84</v>
      </c>
      <c r="H22" s="37" t="s">
        <v>177</v>
      </c>
      <c r="I22" s="37" t="s">
        <v>107</v>
      </c>
      <c r="J22" s="39"/>
      <c r="K22" s="39" t="str">
        <f>"195,0"</f>
        <v>195,0</v>
      </c>
      <c r="L22" s="39" t="str">
        <f>"142,6425"</f>
        <v>142,6425</v>
      </c>
      <c r="M22" s="34" t="s">
        <v>210</v>
      </c>
    </row>
    <row r="23" spans="1:13">
      <c r="A23" s="44">
        <v>2</v>
      </c>
      <c r="B23" s="36" t="s">
        <v>288</v>
      </c>
      <c r="C23" s="36" t="s">
        <v>289</v>
      </c>
      <c r="D23" s="36" t="s">
        <v>290</v>
      </c>
      <c r="E23" s="36" t="s">
        <v>462</v>
      </c>
      <c r="F23" s="36" t="s">
        <v>115</v>
      </c>
      <c r="G23" s="45" t="s">
        <v>177</v>
      </c>
      <c r="H23" s="45" t="s">
        <v>107</v>
      </c>
      <c r="I23" s="43" t="s">
        <v>291</v>
      </c>
      <c r="J23" s="44"/>
      <c r="K23" s="44" t="str">
        <f>"195,0"</f>
        <v>195,0</v>
      </c>
      <c r="L23" s="44" t="str">
        <f>"142,2135"</f>
        <v>142,2135</v>
      </c>
      <c r="M23" s="36" t="s">
        <v>280</v>
      </c>
    </row>
    <row r="25" spans="1:13" ht="16">
      <c r="A25" s="66" t="s">
        <v>65</v>
      </c>
      <c r="B25" s="66"/>
      <c r="C25" s="66"/>
      <c r="D25" s="66"/>
      <c r="E25" s="66"/>
      <c r="F25" s="66"/>
      <c r="G25" s="66"/>
      <c r="H25" s="66"/>
      <c r="I25" s="66"/>
      <c r="J25" s="66"/>
    </row>
    <row r="26" spans="1:13">
      <c r="A26" s="39">
        <v>1</v>
      </c>
      <c r="B26" s="34" t="s">
        <v>174</v>
      </c>
      <c r="C26" s="34" t="s">
        <v>175</v>
      </c>
      <c r="D26" s="34" t="s">
        <v>176</v>
      </c>
      <c r="E26" s="34" t="s">
        <v>462</v>
      </c>
      <c r="F26" s="34" t="s">
        <v>69</v>
      </c>
      <c r="G26" s="37" t="s">
        <v>15</v>
      </c>
      <c r="H26" s="37" t="s">
        <v>31</v>
      </c>
      <c r="I26" s="37" t="s">
        <v>178</v>
      </c>
      <c r="J26" s="39"/>
      <c r="K26" s="39" t="str">
        <f>"260,0"</f>
        <v>260,0</v>
      </c>
      <c r="L26" s="39" t="str">
        <f>"174,1740"</f>
        <v>174,1740</v>
      </c>
      <c r="M26" s="34" t="s">
        <v>179</v>
      </c>
    </row>
    <row r="27" spans="1:13">
      <c r="A27" s="41">
        <v>2</v>
      </c>
      <c r="B27" s="35" t="s">
        <v>184</v>
      </c>
      <c r="C27" s="35" t="s">
        <v>185</v>
      </c>
      <c r="D27" s="35" t="s">
        <v>186</v>
      </c>
      <c r="E27" s="35" t="s">
        <v>462</v>
      </c>
      <c r="F27" s="35" t="s">
        <v>187</v>
      </c>
      <c r="G27" s="40" t="s">
        <v>30</v>
      </c>
      <c r="H27" s="40" t="s">
        <v>106</v>
      </c>
      <c r="I27" s="42" t="s">
        <v>118</v>
      </c>
      <c r="J27" s="41"/>
      <c r="K27" s="41" t="str">
        <f>"180,0"</f>
        <v>180,0</v>
      </c>
      <c r="L27" s="41" t="str">
        <f>"122,7960"</f>
        <v>122,7960</v>
      </c>
      <c r="M27" s="35" t="s">
        <v>188</v>
      </c>
    </row>
    <row r="28" spans="1:13">
      <c r="A28" s="44">
        <v>3</v>
      </c>
      <c r="B28" s="36" t="s">
        <v>180</v>
      </c>
      <c r="C28" s="36" t="s">
        <v>181</v>
      </c>
      <c r="D28" s="36" t="s">
        <v>182</v>
      </c>
      <c r="E28" s="36" t="s">
        <v>462</v>
      </c>
      <c r="F28" s="36" t="s">
        <v>69</v>
      </c>
      <c r="G28" s="45" t="s">
        <v>84</v>
      </c>
      <c r="H28" s="43" t="s">
        <v>118</v>
      </c>
      <c r="I28" s="43" t="s">
        <v>118</v>
      </c>
      <c r="J28" s="44"/>
      <c r="K28" s="44" t="str">
        <f>"175,0"</f>
        <v>175,0</v>
      </c>
      <c r="L28" s="44" t="str">
        <f>"118,5450"</f>
        <v>118,5450</v>
      </c>
      <c r="M28" s="36" t="s">
        <v>183</v>
      </c>
    </row>
    <row r="30" spans="1:13" ht="16">
      <c r="A30" s="66" t="s">
        <v>10</v>
      </c>
      <c r="B30" s="66"/>
      <c r="C30" s="66"/>
      <c r="D30" s="66"/>
      <c r="E30" s="66"/>
      <c r="F30" s="66"/>
      <c r="G30" s="66"/>
      <c r="H30" s="66"/>
      <c r="I30" s="66"/>
      <c r="J30" s="66"/>
    </row>
    <row r="31" spans="1:13">
      <c r="A31" s="39">
        <v>1</v>
      </c>
      <c r="B31" s="34" t="s">
        <v>191</v>
      </c>
      <c r="C31" s="34" t="s">
        <v>192</v>
      </c>
      <c r="D31" s="34" t="s">
        <v>193</v>
      </c>
      <c r="E31" s="34" t="s">
        <v>463</v>
      </c>
      <c r="F31" s="34" t="s">
        <v>69</v>
      </c>
      <c r="G31" s="38" t="s">
        <v>31</v>
      </c>
      <c r="H31" s="37" t="s">
        <v>31</v>
      </c>
      <c r="I31" s="38" t="s">
        <v>21</v>
      </c>
      <c r="J31" s="39"/>
      <c r="K31" s="39" t="str">
        <f>"255,0"</f>
        <v>255,0</v>
      </c>
      <c r="L31" s="39" t="str">
        <f>"165,3165"</f>
        <v>165,3165</v>
      </c>
      <c r="M31" s="34"/>
    </row>
    <row r="32" spans="1:13">
      <c r="A32" s="41">
        <v>1</v>
      </c>
      <c r="B32" s="35" t="s">
        <v>198</v>
      </c>
      <c r="C32" s="35" t="s">
        <v>199</v>
      </c>
      <c r="D32" s="35" t="s">
        <v>25</v>
      </c>
      <c r="E32" s="35" t="s">
        <v>462</v>
      </c>
      <c r="F32" s="35" t="s">
        <v>200</v>
      </c>
      <c r="G32" s="40" t="s">
        <v>27</v>
      </c>
      <c r="H32" s="40" t="s">
        <v>28</v>
      </c>
      <c r="I32" s="42" t="s">
        <v>120</v>
      </c>
      <c r="J32" s="41"/>
      <c r="K32" s="41" t="str">
        <f>"275,0"</f>
        <v>275,0</v>
      </c>
      <c r="L32" s="41" t="str">
        <f>"175,5600"</f>
        <v>175,5600</v>
      </c>
      <c r="M32" s="35"/>
    </row>
    <row r="33" spans="1:13">
      <c r="A33" s="41">
        <v>2</v>
      </c>
      <c r="B33" s="35" t="s">
        <v>374</v>
      </c>
      <c r="C33" s="35" t="s">
        <v>375</v>
      </c>
      <c r="D33" s="35" t="s">
        <v>376</v>
      </c>
      <c r="E33" s="35" t="s">
        <v>462</v>
      </c>
      <c r="F33" s="35" t="s">
        <v>377</v>
      </c>
      <c r="G33" s="40" t="s">
        <v>378</v>
      </c>
      <c r="H33" s="40" t="s">
        <v>291</v>
      </c>
      <c r="I33" s="40" t="s">
        <v>116</v>
      </c>
      <c r="J33" s="41"/>
      <c r="K33" s="41" t="str">
        <f>"210,0"</f>
        <v>210,0</v>
      </c>
      <c r="L33" s="41" t="str">
        <f>"134,8410"</f>
        <v>134,8410</v>
      </c>
      <c r="M33" s="35"/>
    </row>
    <row r="34" spans="1:13">
      <c r="A34" s="44">
        <v>1</v>
      </c>
      <c r="B34" s="36" t="s">
        <v>379</v>
      </c>
      <c r="C34" s="36" t="s">
        <v>380</v>
      </c>
      <c r="D34" s="36" t="s">
        <v>381</v>
      </c>
      <c r="E34" s="36" t="s">
        <v>467</v>
      </c>
      <c r="F34" s="36" t="s">
        <v>69</v>
      </c>
      <c r="G34" s="45" t="s">
        <v>30</v>
      </c>
      <c r="H34" s="45" t="s">
        <v>106</v>
      </c>
      <c r="I34" s="44"/>
      <c r="J34" s="44"/>
      <c r="K34" s="44" t="str">
        <f>"180,0"</f>
        <v>180,0</v>
      </c>
      <c r="L34" s="44" t="str">
        <f>"220,8978"</f>
        <v>220,8978</v>
      </c>
      <c r="M34" s="36"/>
    </row>
    <row r="36" spans="1:13" ht="16">
      <c r="A36" s="66" t="s">
        <v>211</v>
      </c>
      <c r="B36" s="66"/>
      <c r="C36" s="66"/>
      <c r="D36" s="66"/>
      <c r="E36" s="66"/>
      <c r="F36" s="66"/>
      <c r="G36" s="66"/>
      <c r="H36" s="66"/>
      <c r="I36" s="66"/>
      <c r="J36" s="66"/>
    </row>
    <row r="37" spans="1:13">
      <c r="A37" s="33">
        <v>1</v>
      </c>
      <c r="B37" s="21" t="s">
        <v>212</v>
      </c>
      <c r="C37" s="21" t="s">
        <v>213</v>
      </c>
      <c r="D37" s="21" t="s">
        <v>214</v>
      </c>
      <c r="E37" s="21" t="s">
        <v>462</v>
      </c>
      <c r="F37" s="21" t="s">
        <v>453</v>
      </c>
      <c r="G37" s="31" t="s">
        <v>31</v>
      </c>
      <c r="H37" s="32" t="s">
        <v>27</v>
      </c>
      <c r="I37" s="31" t="s">
        <v>27</v>
      </c>
      <c r="J37" s="33"/>
      <c r="K37" s="33" t="str">
        <f>"265,0"</f>
        <v>265,0</v>
      </c>
      <c r="L37" s="33" t="str">
        <f>"163,2665"</f>
        <v>163,2665</v>
      </c>
      <c r="M37" s="21" t="s">
        <v>215</v>
      </c>
    </row>
    <row r="39" spans="1:13" ht="16">
      <c r="A39" s="66" t="s">
        <v>111</v>
      </c>
      <c r="B39" s="66"/>
      <c r="C39" s="66"/>
      <c r="D39" s="66"/>
      <c r="E39" s="66"/>
      <c r="F39" s="66"/>
      <c r="G39" s="66"/>
      <c r="H39" s="66"/>
      <c r="I39" s="66"/>
      <c r="J39" s="66"/>
    </row>
    <row r="40" spans="1:13">
      <c r="A40" s="33">
        <v>1</v>
      </c>
      <c r="B40" s="21" t="s">
        <v>219</v>
      </c>
      <c r="C40" s="21" t="s">
        <v>220</v>
      </c>
      <c r="D40" s="21" t="s">
        <v>221</v>
      </c>
      <c r="E40" s="21" t="s">
        <v>462</v>
      </c>
      <c r="F40" s="21" t="s">
        <v>115</v>
      </c>
      <c r="G40" s="31" t="s">
        <v>222</v>
      </c>
      <c r="H40" s="31" t="s">
        <v>223</v>
      </c>
      <c r="I40" s="31" t="s">
        <v>27</v>
      </c>
      <c r="J40" s="33"/>
      <c r="K40" s="33" t="str">
        <f>"265,0"</f>
        <v>265,0</v>
      </c>
      <c r="L40" s="33" t="str">
        <f>"151,5800"</f>
        <v>151,5800</v>
      </c>
      <c r="M40" s="21" t="s">
        <v>85</v>
      </c>
    </row>
    <row r="42" spans="1:13">
      <c r="G42" s="22"/>
    </row>
    <row r="44" spans="1:13" ht="18">
      <c r="B44" s="23" t="s">
        <v>32</v>
      </c>
      <c r="C44" s="23"/>
    </row>
    <row r="45" spans="1:13" ht="16">
      <c r="B45" s="24" t="s">
        <v>33</v>
      </c>
      <c r="C45" s="24"/>
    </row>
    <row r="46" spans="1:13" ht="14">
      <c r="B46" s="25"/>
      <c r="C46" s="26" t="s">
        <v>34</v>
      </c>
    </row>
    <row r="47" spans="1:13" ht="14">
      <c r="B47" s="27" t="s">
        <v>35</v>
      </c>
      <c r="C47" s="27" t="s">
        <v>36</v>
      </c>
      <c r="D47" s="27" t="s">
        <v>452</v>
      </c>
      <c r="E47" s="27" t="s">
        <v>247</v>
      </c>
      <c r="F47" s="27" t="s">
        <v>38</v>
      </c>
    </row>
    <row r="48" spans="1:13">
      <c r="B48" s="22" t="s">
        <v>198</v>
      </c>
      <c r="C48" s="22" t="s">
        <v>34</v>
      </c>
      <c r="D48" s="30">
        <v>90</v>
      </c>
      <c r="E48" s="30">
        <v>275</v>
      </c>
      <c r="F48" s="28">
        <v>175.56000500917401</v>
      </c>
    </row>
    <row r="49" spans="2:7">
      <c r="B49" s="22" t="s">
        <v>174</v>
      </c>
      <c r="C49" s="22" t="s">
        <v>34</v>
      </c>
      <c r="D49" s="30">
        <v>82.5</v>
      </c>
      <c r="E49" s="30">
        <v>260</v>
      </c>
      <c r="F49" s="28">
        <v>174.17400002479599</v>
      </c>
    </row>
    <row r="50" spans="2:7">
      <c r="B50" s="22" t="s">
        <v>212</v>
      </c>
      <c r="C50" s="22" t="s">
        <v>34</v>
      </c>
      <c r="D50" s="30">
        <v>100</v>
      </c>
      <c r="E50" s="30">
        <v>265</v>
      </c>
      <c r="F50" s="28">
        <v>163.266503512859</v>
      </c>
      <c r="G50" s="22"/>
    </row>
  </sheetData>
  <mergeCells count="21">
    <mergeCell ref="A30:J30"/>
    <mergeCell ref="A36:J36"/>
    <mergeCell ref="A39:J39"/>
    <mergeCell ref="B3:B4"/>
    <mergeCell ref="A9:J9"/>
    <mergeCell ref="A12:J12"/>
    <mergeCell ref="A15:J15"/>
    <mergeCell ref="A18:J18"/>
    <mergeCell ref="A21:J21"/>
    <mergeCell ref="A25:J25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11C0E-EE67-4010-BE50-5FAACD70F2C2}">
  <dimension ref="A1:M38"/>
  <sheetViews>
    <sheetView workbookViewId="0">
      <selection activeCell="E29" sqref="E29"/>
    </sheetView>
  </sheetViews>
  <sheetFormatPr baseColWidth="10" defaultColWidth="8.83203125" defaultRowHeight="13"/>
  <cols>
    <col min="1" max="1" width="7.1640625" style="22" bestFit="1" customWidth="1"/>
    <col min="2" max="2" width="17.1640625" style="22" bestFit="1" customWidth="1"/>
    <col min="3" max="3" width="26" style="22" bestFit="1" customWidth="1"/>
    <col min="4" max="4" width="21.5" style="22" bestFit="1" customWidth="1"/>
    <col min="5" max="5" width="10.33203125" style="22" bestFit="1" customWidth="1"/>
    <col min="6" max="6" width="42.6640625" style="22" bestFit="1" customWidth="1"/>
    <col min="7" max="7" width="5.5" style="29" customWidth="1"/>
    <col min="8" max="9" width="5.33203125" style="29" customWidth="1"/>
    <col min="10" max="10" width="4.6640625" style="29" customWidth="1"/>
    <col min="11" max="11" width="11.5" style="30" bestFit="1" customWidth="1"/>
    <col min="12" max="12" width="8.33203125" style="29" bestFit="1" customWidth="1"/>
    <col min="13" max="13" width="19.33203125" style="22" customWidth="1"/>
  </cols>
  <sheetData>
    <row r="1" spans="1:13" s="2" customFormat="1" ht="29" customHeight="1">
      <c r="A1" s="51" t="s">
        <v>428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458</v>
      </c>
      <c r="B3" s="73" t="s">
        <v>0</v>
      </c>
      <c r="C3" s="61" t="s">
        <v>460</v>
      </c>
      <c r="D3" s="61" t="s">
        <v>6</v>
      </c>
      <c r="E3" s="63" t="s">
        <v>461</v>
      </c>
      <c r="F3" s="65" t="s">
        <v>5</v>
      </c>
      <c r="G3" s="65" t="s">
        <v>9</v>
      </c>
      <c r="H3" s="65"/>
      <c r="I3" s="65"/>
      <c r="J3" s="65"/>
      <c r="K3" s="67" t="s">
        <v>248</v>
      </c>
      <c r="L3" s="63" t="s">
        <v>3</v>
      </c>
      <c r="M3" s="69" t="s">
        <v>2</v>
      </c>
    </row>
    <row r="4" spans="1:13" s="1" customFormat="1" ht="21" customHeight="1" thickBot="1">
      <c r="A4" s="60"/>
      <c r="B4" s="74"/>
      <c r="C4" s="62"/>
      <c r="D4" s="62"/>
      <c r="E4" s="64"/>
      <c r="F4" s="62"/>
      <c r="G4" s="4">
        <v>1</v>
      </c>
      <c r="H4" s="4">
        <v>2</v>
      </c>
      <c r="I4" s="4">
        <v>3</v>
      </c>
      <c r="J4" s="4" t="s">
        <v>4</v>
      </c>
      <c r="K4" s="68"/>
      <c r="L4" s="64"/>
      <c r="M4" s="70"/>
    </row>
    <row r="5" spans="1:13" s="3" customFormat="1" ht="16">
      <c r="A5" s="71" t="s">
        <v>40</v>
      </c>
      <c r="B5" s="71"/>
      <c r="C5" s="72"/>
      <c r="D5" s="72"/>
      <c r="E5" s="72"/>
      <c r="F5" s="72"/>
      <c r="G5" s="72"/>
      <c r="H5" s="72"/>
      <c r="I5" s="72"/>
      <c r="J5" s="72"/>
      <c r="K5" s="47"/>
      <c r="L5" s="6"/>
      <c r="M5" s="5"/>
    </row>
    <row r="6" spans="1:13">
      <c r="A6" s="33">
        <v>1</v>
      </c>
      <c r="B6" s="21" t="s">
        <v>249</v>
      </c>
      <c r="C6" s="21" t="s">
        <v>250</v>
      </c>
      <c r="D6" s="21" t="s">
        <v>43</v>
      </c>
      <c r="E6" s="21" t="s">
        <v>462</v>
      </c>
      <c r="F6" s="21" t="s">
        <v>57</v>
      </c>
      <c r="G6" s="31" t="s">
        <v>90</v>
      </c>
      <c r="H6" s="31" t="s">
        <v>70</v>
      </c>
      <c r="I6" s="31" t="s">
        <v>64</v>
      </c>
      <c r="J6" s="33"/>
      <c r="K6" s="46" t="str">
        <f>"100,0"</f>
        <v>100,0</v>
      </c>
      <c r="L6" s="33" t="str">
        <f>"117,6600"</f>
        <v>117,6600</v>
      </c>
      <c r="M6" s="21" t="s">
        <v>253</v>
      </c>
    </row>
    <row r="8" spans="1:13" ht="16">
      <c r="A8" s="66" t="s">
        <v>53</v>
      </c>
      <c r="B8" s="66"/>
      <c r="C8" s="66"/>
      <c r="D8" s="66"/>
      <c r="E8" s="66"/>
      <c r="F8" s="66"/>
      <c r="G8" s="66"/>
      <c r="H8" s="66"/>
      <c r="I8" s="66"/>
      <c r="J8" s="66"/>
    </row>
    <row r="9" spans="1:13">
      <c r="A9" s="39" t="s">
        <v>235</v>
      </c>
      <c r="B9" s="34" t="s">
        <v>334</v>
      </c>
      <c r="C9" s="34" t="s">
        <v>335</v>
      </c>
      <c r="D9" s="34" t="s">
        <v>336</v>
      </c>
      <c r="E9" s="34" t="s">
        <v>465</v>
      </c>
      <c r="F9" s="34" t="s">
        <v>450</v>
      </c>
      <c r="G9" s="38" t="s">
        <v>82</v>
      </c>
      <c r="H9" s="38" t="s">
        <v>82</v>
      </c>
      <c r="I9" s="38" t="s">
        <v>82</v>
      </c>
      <c r="J9" s="39"/>
      <c r="K9" s="48">
        <v>0</v>
      </c>
      <c r="L9" s="39" t="str">
        <f>"0,0000"</f>
        <v>0,0000</v>
      </c>
      <c r="M9" s="34" t="s">
        <v>418</v>
      </c>
    </row>
    <row r="10" spans="1:13">
      <c r="A10" s="44">
        <v>1</v>
      </c>
      <c r="B10" s="36" t="s">
        <v>54</v>
      </c>
      <c r="C10" s="36" t="s">
        <v>55</v>
      </c>
      <c r="D10" s="36" t="s">
        <v>56</v>
      </c>
      <c r="E10" s="36" t="s">
        <v>462</v>
      </c>
      <c r="F10" s="36" t="s">
        <v>57</v>
      </c>
      <c r="G10" s="45" t="s">
        <v>62</v>
      </c>
      <c r="H10" s="45" t="s">
        <v>63</v>
      </c>
      <c r="I10" s="45" t="s">
        <v>64</v>
      </c>
      <c r="J10" s="44"/>
      <c r="K10" s="49" t="str">
        <f>"100,0"</f>
        <v>100,0</v>
      </c>
      <c r="L10" s="44" t="str">
        <f>"114,0100"</f>
        <v>114,0100</v>
      </c>
      <c r="M10" s="36"/>
    </row>
    <row r="12" spans="1:13" ht="16">
      <c r="A12" s="66" t="s">
        <v>65</v>
      </c>
      <c r="B12" s="66"/>
      <c r="C12" s="66"/>
      <c r="D12" s="66"/>
      <c r="E12" s="66"/>
      <c r="F12" s="66"/>
      <c r="G12" s="66"/>
      <c r="H12" s="66"/>
      <c r="I12" s="66"/>
      <c r="J12" s="66"/>
    </row>
    <row r="13" spans="1:13">
      <c r="A13" s="39">
        <v>1</v>
      </c>
      <c r="B13" s="34" t="s">
        <v>337</v>
      </c>
      <c r="C13" s="34" t="s">
        <v>338</v>
      </c>
      <c r="D13" s="34" t="s">
        <v>339</v>
      </c>
      <c r="E13" s="34" t="s">
        <v>464</v>
      </c>
      <c r="F13" s="34" t="s">
        <v>57</v>
      </c>
      <c r="G13" s="37" t="s">
        <v>106</v>
      </c>
      <c r="H13" s="37" t="s">
        <v>97</v>
      </c>
      <c r="I13" s="38" t="s">
        <v>102</v>
      </c>
      <c r="J13" s="39"/>
      <c r="K13" s="48" t="str">
        <f>"200,0"</f>
        <v>200,0</v>
      </c>
      <c r="L13" s="39" t="str">
        <f>"134,3800"</f>
        <v>134,3800</v>
      </c>
      <c r="M13" s="34"/>
    </row>
    <row r="14" spans="1:13">
      <c r="A14" s="44">
        <v>1</v>
      </c>
      <c r="B14" s="36" t="s">
        <v>340</v>
      </c>
      <c r="C14" s="36" t="s">
        <v>341</v>
      </c>
      <c r="D14" s="36" t="s">
        <v>342</v>
      </c>
      <c r="E14" s="36" t="str">
        <f>"0,6939"</f>
        <v>0,6939</v>
      </c>
      <c r="F14" s="36" t="s">
        <v>343</v>
      </c>
      <c r="G14" s="45" t="s">
        <v>14</v>
      </c>
      <c r="H14" s="45" t="s">
        <v>15</v>
      </c>
      <c r="I14" s="43" t="s">
        <v>26</v>
      </c>
      <c r="J14" s="44"/>
      <c r="K14" s="49" t="str">
        <f>"240,0"</f>
        <v>240,0</v>
      </c>
      <c r="L14" s="44" t="str">
        <f>"166,5360"</f>
        <v>166,5360</v>
      </c>
      <c r="M14" s="36"/>
    </row>
    <row r="16" spans="1:13" ht="16">
      <c r="A16" s="66" t="s">
        <v>10</v>
      </c>
      <c r="B16" s="66"/>
      <c r="C16" s="66"/>
      <c r="D16" s="66"/>
      <c r="E16" s="66"/>
      <c r="F16" s="66"/>
      <c r="G16" s="66"/>
      <c r="H16" s="66"/>
      <c r="I16" s="66"/>
      <c r="J16" s="66"/>
    </row>
    <row r="17" spans="1:13">
      <c r="A17" s="39">
        <v>1</v>
      </c>
      <c r="B17" s="34" t="s">
        <v>344</v>
      </c>
      <c r="C17" s="34" t="s">
        <v>345</v>
      </c>
      <c r="D17" s="34" t="s">
        <v>346</v>
      </c>
      <c r="E17" s="34" t="s">
        <v>462</v>
      </c>
      <c r="F17" s="34" t="s">
        <v>69</v>
      </c>
      <c r="G17" s="37" t="s">
        <v>347</v>
      </c>
      <c r="H17" s="37" t="s">
        <v>348</v>
      </c>
      <c r="I17" s="38" t="s">
        <v>349</v>
      </c>
      <c r="J17" s="39"/>
      <c r="K17" s="48" t="str">
        <f>"362,5"</f>
        <v>362,5</v>
      </c>
      <c r="L17" s="39" t="str">
        <f>"235,7338"</f>
        <v>235,7338</v>
      </c>
      <c r="M17" s="34"/>
    </row>
    <row r="18" spans="1:13">
      <c r="A18" s="44">
        <v>2</v>
      </c>
      <c r="B18" s="36" t="s">
        <v>11</v>
      </c>
      <c r="C18" s="36" t="s">
        <v>12</v>
      </c>
      <c r="D18" s="36" t="s">
        <v>13</v>
      </c>
      <c r="E18" s="36" t="s">
        <v>462</v>
      </c>
      <c r="F18" s="36" t="s">
        <v>449</v>
      </c>
      <c r="G18" s="45" t="s">
        <v>19</v>
      </c>
      <c r="H18" s="45" t="s">
        <v>20</v>
      </c>
      <c r="I18" s="43" t="s">
        <v>21</v>
      </c>
      <c r="J18" s="44"/>
      <c r="K18" s="49" t="str">
        <f>"245,0"</f>
        <v>245,0</v>
      </c>
      <c r="L18" s="44" t="str">
        <f>"156,8490"</f>
        <v>156,8490</v>
      </c>
      <c r="M18" s="36" t="s">
        <v>22</v>
      </c>
    </row>
    <row r="20" spans="1:13" ht="16">
      <c r="A20" s="66" t="s">
        <v>236</v>
      </c>
      <c r="B20" s="66"/>
      <c r="C20" s="66"/>
      <c r="D20" s="66"/>
      <c r="E20" s="66"/>
      <c r="F20" s="66"/>
      <c r="G20" s="66"/>
      <c r="H20" s="66"/>
      <c r="I20" s="66"/>
      <c r="J20" s="66"/>
    </row>
    <row r="21" spans="1:13">
      <c r="A21" s="39">
        <v>1</v>
      </c>
      <c r="B21" s="34" t="s">
        <v>350</v>
      </c>
      <c r="C21" s="34" t="s">
        <v>351</v>
      </c>
      <c r="D21" s="34" t="s">
        <v>239</v>
      </c>
      <c r="E21" s="34" t="s">
        <v>462</v>
      </c>
      <c r="F21" s="34" t="s">
        <v>69</v>
      </c>
      <c r="G21" s="37" t="s">
        <v>352</v>
      </c>
      <c r="H21" s="38" t="s">
        <v>347</v>
      </c>
      <c r="I21" s="38" t="s">
        <v>347</v>
      </c>
      <c r="J21" s="39"/>
      <c r="K21" s="48" t="str">
        <f>"340,0"</f>
        <v>340,0</v>
      </c>
      <c r="L21" s="39" t="str">
        <f>"200,0900"</f>
        <v>200,0900</v>
      </c>
      <c r="M21" s="34" t="s">
        <v>85</v>
      </c>
    </row>
    <row r="22" spans="1:13">
      <c r="A22" s="44">
        <v>2</v>
      </c>
      <c r="B22" s="36" t="s">
        <v>353</v>
      </c>
      <c r="C22" s="36" t="s">
        <v>354</v>
      </c>
      <c r="D22" s="36" t="s">
        <v>355</v>
      </c>
      <c r="E22" s="36" t="s">
        <v>462</v>
      </c>
      <c r="F22" s="36" t="s">
        <v>165</v>
      </c>
      <c r="G22" s="45" t="s">
        <v>178</v>
      </c>
      <c r="H22" s="43" t="s">
        <v>120</v>
      </c>
      <c r="I22" s="43" t="s">
        <v>120</v>
      </c>
      <c r="J22" s="44"/>
      <c r="K22" s="49" t="str">
        <f>"260,0"</f>
        <v>260,0</v>
      </c>
      <c r="L22" s="44" t="str">
        <f>"155,8960"</f>
        <v>155,8960</v>
      </c>
      <c r="M22" s="36" t="s">
        <v>356</v>
      </c>
    </row>
    <row r="24" spans="1:13" ht="16">
      <c r="A24" s="66" t="s">
        <v>111</v>
      </c>
      <c r="B24" s="66"/>
      <c r="C24" s="66"/>
      <c r="D24" s="66"/>
      <c r="E24" s="66"/>
      <c r="F24" s="66"/>
      <c r="G24" s="66"/>
      <c r="H24" s="66"/>
      <c r="I24" s="66"/>
      <c r="J24" s="66"/>
    </row>
    <row r="25" spans="1:13">
      <c r="A25" s="33">
        <v>1</v>
      </c>
      <c r="B25" s="21" t="s">
        <v>112</v>
      </c>
      <c r="C25" s="21" t="s">
        <v>113</v>
      </c>
      <c r="D25" s="21" t="s">
        <v>114</v>
      </c>
      <c r="E25" s="21" t="s">
        <v>462</v>
      </c>
      <c r="F25" s="21" t="s">
        <v>115</v>
      </c>
      <c r="G25" s="31" t="s">
        <v>119</v>
      </c>
      <c r="H25" s="31" t="s">
        <v>120</v>
      </c>
      <c r="I25" s="33"/>
      <c r="J25" s="33"/>
      <c r="K25" s="46" t="str">
        <f>"280,0"</f>
        <v>280,0</v>
      </c>
      <c r="L25" s="33" t="str">
        <f>"160,3560"</f>
        <v>160,3560</v>
      </c>
      <c r="M25" s="21" t="s">
        <v>85</v>
      </c>
    </row>
    <row r="27" spans="1:13" ht="16">
      <c r="A27" s="66" t="s">
        <v>357</v>
      </c>
      <c r="B27" s="66"/>
      <c r="C27" s="66"/>
      <c r="D27" s="66"/>
      <c r="E27" s="66"/>
      <c r="F27" s="66"/>
      <c r="G27" s="66"/>
      <c r="H27" s="66"/>
      <c r="I27" s="66"/>
      <c r="J27" s="66"/>
    </row>
    <row r="28" spans="1:13">
      <c r="A28" s="33">
        <v>1</v>
      </c>
      <c r="B28" s="21" t="s">
        <v>358</v>
      </c>
      <c r="C28" s="21" t="s">
        <v>359</v>
      </c>
      <c r="D28" s="21" t="s">
        <v>360</v>
      </c>
      <c r="E28" s="21" t="s">
        <v>462</v>
      </c>
      <c r="F28" s="21" t="s">
        <v>361</v>
      </c>
      <c r="G28" s="31" t="s">
        <v>241</v>
      </c>
      <c r="H28" s="31" t="s">
        <v>362</v>
      </c>
      <c r="I28" s="31" t="s">
        <v>363</v>
      </c>
      <c r="J28" s="33"/>
      <c r="K28" s="46" t="str">
        <f>"305,0"</f>
        <v>305,0</v>
      </c>
      <c r="L28" s="33" t="str">
        <f>"171,1050"</f>
        <v>171,1050</v>
      </c>
      <c r="M28" s="21" t="s">
        <v>167</v>
      </c>
    </row>
    <row r="30" spans="1:13">
      <c r="G30" s="22"/>
    </row>
    <row r="32" spans="1:13" ht="18">
      <c r="B32" s="23" t="s">
        <v>32</v>
      </c>
      <c r="C32" s="23"/>
    </row>
    <row r="33" spans="2:7" ht="16">
      <c r="B33" s="24" t="s">
        <v>33</v>
      </c>
      <c r="C33" s="24"/>
    </row>
    <row r="34" spans="2:7" ht="14">
      <c r="B34" s="25"/>
      <c r="C34" s="26" t="s">
        <v>34</v>
      </c>
    </row>
    <row r="35" spans="2:7" ht="14">
      <c r="B35" s="27" t="s">
        <v>35</v>
      </c>
      <c r="C35" s="27" t="s">
        <v>36</v>
      </c>
      <c r="D35" s="27" t="s">
        <v>452</v>
      </c>
      <c r="E35" s="27" t="s">
        <v>247</v>
      </c>
      <c r="F35" s="27" t="s">
        <v>38</v>
      </c>
    </row>
    <row r="36" spans="2:7">
      <c r="B36" s="22" t="s">
        <v>344</v>
      </c>
      <c r="C36" s="22" t="s">
        <v>34</v>
      </c>
      <c r="D36" s="30">
        <v>90</v>
      </c>
      <c r="E36" s="30">
        <v>362.5</v>
      </c>
      <c r="F36" s="28">
        <v>235.73375940322899</v>
      </c>
    </row>
    <row r="37" spans="2:7">
      <c r="B37" s="22" t="s">
        <v>350</v>
      </c>
      <c r="C37" s="22" t="s">
        <v>34</v>
      </c>
      <c r="D37" s="30">
        <v>110</v>
      </c>
      <c r="E37" s="30">
        <v>340</v>
      </c>
      <c r="F37" s="28">
        <v>200.090007781982</v>
      </c>
    </row>
    <row r="38" spans="2:7">
      <c r="B38" s="22" t="s">
        <v>358</v>
      </c>
      <c r="C38" s="22" t="s">
        <v>34</v>
      </c>
      <c r="D38" s="30">
        <v>140</v>
      </c>
      <c r="E38" s="30">
        <v>305</v>
      </c>
      <c r="F38" s="28">
        <v>171.10499680042301</v>
      </c>
      <c r="G38" s="22"/>
    </row>
  </sheetData>
  <mergeCells count="18">
    <mergeCell ref="A27:J27"/>
    <mergeCell ref="K3:K4"/>
    <mergeCell ref="L3:L4"/>
    <mergeCell ref="M3:M4"/>
    <mergeCell ref="A5:J5"/>
    <mergeCell ref="B3:B4"/>
    <mergeCell ref="A8:J8"/>
    <mergeCell ref="A12:J12"/>
    <mergeCell ref="A16:J16"/>
    <mergeCell ref="A20:J20"/>
    <mergeCell ref="A24:J24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49D48-EEC2-4B08-840C-E148A6D02CC2}">
  <dimension ref="A1:M25"/>
  <sheetViews>
    <sheetView workbookViewId="0">
      <selection activeCell="E26" sqref="E26"/>
    </sheetView>
  </sheetViews>
  <sheetFormatPr baseColWidth="10" defaultColWidth="8.83203125" defaultRowHeight="13"/>
  <cols>
    <col min="1" max="1" width="7.1640625" style="22" bestFit="1" customWidth="1"/>
    <col min="2" max="2" width="19.83203125" style="22" bestFit="1" customWidth="1"/>
    <col min="3" max="3" width="28" style="22" bestFit="1" customWidth="1"/>
    <col min="4" max="4" width="21.5" style="22" bestFit="1" customWidth="1"/>
    <col min="5" max="5" width="10.33203125" style="22" bestFit="1" customWidth="1"/>
    <col min="6" max="6" width="42.6640625" style="22" bestFit="1" customWidth="1"/>
    <col min="7" max="9" width="5.5" style="29" customWidth="1"/>
    <col min="10" max="10" width="4.6640625" style="29" customWidth="1"/>
    <col min="11" max="11" width="10.5" style="29" bestFit="1" customWidth="1"/>
    <col min="12" max="12" width="7.6640625" style="29" bestFit="1" customWidth="1"/>
    <col min="13" max="13" width="21.83203125" style="22" customWidth="1"/>
  </cols>
  <sheetData>
    <row r="1" spans="1:13" s="2" customFormat="1" ht="29" customHeight="1">
      <c r="A1" s="51" t="s">
        <v>423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458</v>
      </c>
      <c r="B3" s="73" t="s">
        <v>0</v>
      </c>
      <c r="C3" s="61" t="s">
        <v>460</v>
      </c>
      <c r="D3" s="61" t="s">
        <v>6</v>
      </c>
      <c r="E3" s="63" t="s">
        <v>461</v>
      </c>
      <c r="F3" s="65" t="s">
        <v>5</v>
      </c>
      <c r="G3" s="65" t="s">
        <v>459</v>
      </c>
      <c r="H3" s="65"/>
      <c r="I3" s="65"/>
      <c r="J3" s="65"/>
      <c r="K3" s="63" t="s">
        <v>248</v>
      </c>
      <c r="L3" s="63" t="s">
        <v>3</v>
      </c>
      <c r="M3" s="69" t="s">
        <v>2</v>
      </c>
    </row>
    <row r="4" spans="1:13" s="1" customFormat="1" ht="21" customHeight="1" thickBot="1">
      <c r="A4" s="60"/>
      <c r="B4" s="74"/>
      <c r="C4" s="62"/>
      <c r="D4" s="62"/>
      <c r="E4" s="64"/>
      <c r="F4" s="62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70"/>
    </row>
    <row r="5" spans="1:13" s="3" customFormat="1" ht="16">
      <c r="A5" s="71" t="s">
        <v>121</v>
      </c>
      <c r="B5" s="71"/>
      <c r="C5" s="72"/>
      <c r="D5" s="72"/>
      <c r="E5" s="72"/>
      <c r="F5" s="72"/>
      <c r="G5" s="72"/>
      <c r="H5" s="72"/>
      <c r="I5" s="72"/>
      <c r="J5" s="72"/>
      <c r="K5" s="6"/>
      <c r="L5" s="6"/>
      <c r="M5" s="5"/>
    </row>
    <row r="6" spans="1:13">
      <c r="A6" s="33">
        <v>1</v>
      </c>
      <c r="B6" s="21" t="s">
        <v>125</v>
      </c>
      <c r="C6" s="21" t="s">
        <v>126</v>
      </c>
      <c r="D6" s="21" t="s">
        <v>127</v>
      </c>
      <c r="E6" s="21" t="s">
        <v>462</v>
      </c>
      <c r="F6" s="21" t="s">
        <v>128</v>
      </c>
      <c r="G6" s="31" t="s">
        <v>391</v>
      </c>
      <c r="H6" s="31" t="s">
        <v>396</v>
      </c>
      <c r="I6" s="33"/>
      <c r="J6" s="33"/>
      <c r="K6" s="33" t="str">
        <f>"32,5"</f>
        <v>32,5</v>
      </c>
      <c r="L6" s="33" t="str">
        <f>"36,5527"</f>
        <v>36,5527</v>
      </c>
      <c r="M6" s="21" t="s">
        <v>85</v>
      </c>
    </row>
    <row r="8" spans="1:13" ht="16">
      <c r="A8" s="66" t="s">
        <v>86</v>
      </c>
      <c r="B8" s="66"/>
      <c r="C8" s="66"/>
      <c r="D8" s="66"/>
      <c r="E8" s="66"/>
      <c r="F8" s="66"/>
      <c r="G8" s="66"/>
      <c r="H8" s="66"/>
      <c r="I8" s="66"/>
      <c r="J8" s="66"/>
    </row>
    <row r="9" spans="1:13">
      <c r="A9" s="33">
        <v>1</v>
      </c>
      <c r="B9" s="21" t="s">
        <v>151</v>
      </c>
      <c r="C9" s="21" t="s">
        <v>152</v>
      </c>
      <c r="D9" s="21" t="s">
        <v>153</v>
      </c>
      <c r="E9" s="21" t="s">
        <v>462</v>
      </c>
      <c r="F9" s="21" t="s">
        <v>154</v>
      </c>
      <c r="G9" s="31" t="s">
        <v>396</v>
      </c>
      <c r="H9" s="31" t="s">
        <v>390</v>
      </c>
      <c r="I9" s="32" t="s">
        <v>47</v>
      </c>
      <c r="J9" s="33"/>
      <c r="K9" s="33" t="str">
        <f>"37,5"</f>
        <v>37,5</v>
      </c>
      <c r="L9" s="33" t="str">
        <f>"33,7481"</f>
        <v>33,7481</v>
      </c>
      <c r="M9" s="21"/>
    </row>
    <row r="11" spans="1:13" ht="16">
      <c r="A11" s="66" t="s">
        <v>156</v>
      </c>
      <c r="B11" s="66"/>
      <c r="C11" s="66"/>
      <c r="D11" s="66"/>
      <c r="E11" s="66"/>
      <c r="F11" s="66"/>
      <c r="G11" s="66"/>
      <c r="H11" s="66"/>
      <c r="I11" s="66"/>
      <c r="J11" s="66"/>
    </row>
    <row r="12" spans="1:13">
      <c r="A12" s="39">
        <v>1</v>
      </c>
      <c r="B12" s="34" t="s">
        <v>397</v>
      </c>
      <c r="C12" s="34" t="s">
        <v>441</v>
      </c>
      <c r="D12" s="34" t="s">
        <v>398</v>
      </c>
      <c r="E12" s="34" t="s">
        <v>468</v>
      </c>
      <c r="F12" s="34" t="s">
        <v>450</v>
      </c>
      <c r="G12" s="37" t="s">
        <v>91</v>
      </c>
      <c r="H12" s="37" t="s">
        <v>92</v>
      </c>
      <c r="I12" s="38" t="s">
        <v>58</v>
      </c>
      <c r="J12" s="39"/>
      <c r="K12" s="39" t="str">
        <f>"60,0"</f>
        <v>60,0</v>
      </c>
      <c r="L12" s="39" t="str">
        <f>"42,6120"</f>
        <v>42,6120</v>
      </c>
      <c r="M12" s="34"/>
    </row>
    <row r="13" spans="1:13">
      <c r="A13" s="41">
        <v>2</v>
      </c>
      <c r="B13" s="35" t="s">
        <v>399</v>
      </c>
      <c r="C13" s="35" t="s">
        <v>442</v>
      </c>
      <c r="D13" s="35" t="s">
        <v>400</v>
      </c>
      <c r="E13" s="35" t="s">
        <v>468</v>
      </c>
      <c r="F13" s="35" t="s">
        <v>401</v>
      </c>
      <c r="G13" s="40" t="s">
        <v>48</v>
      </c>
      <c r="H13" s="40" t="s">
        <v>252</v>
      </c>
      <c r="I13" s="42" t="s">
        <v>91</v>
      </c>
      <c r="J13" s="41"/>
      <c r="K13" s="41" t="str">
        <f>"47,5"</f>
        <v>47,5</v>
      </c>
      <c r="L13" s="41" t="str">
        <f>"32,8035"</f>
        <v>32,8035</v>
      </c>
      <c r="M13" s="35"/>
    </row>
    <row r="14" spans="1:13">
      <c r="A14" s="41">
        <v>3</v>
      </c>
      <c r="B14" s="35" t="s">
        <v>402</v>
      </c>
      <c r="C14" s="35" t="s">
        <v>443</v>
      </c>
      <c r="D14" s="35" t="s">
        <v>403</v>
      </c>
      <c r="E14" s="35" t="s">
        <v>468</v>
      </c>
      <c r="F14" s="35" t="s">
        <v>165</v>
      </c>
      <c r="G14" s="40" t="s">
        <v>61</v>
      </c>
      <c r="H14" s="40" t="s">
        <v>47</v>
      </c>
      <c r="I14" s="40" t="s">
        <v>252</v>
      </c>
      <c r="J14" s="41"/>
      <c r="K14" s="41" t="str">
        <f>"47,5"</f>
        <v>47,5</v>
      </c>
      <c r="L14" s="41" t="str">
        <f>"32,7370"</f>
        <v>32,7370</v>
      </c>
      <c r="M14" s="35" t="s">
        <v>328</v>
      </c>
    </row>
    <row r="15" spans="1:13">
      <c r="A15" s="41">
        <v>1</v>
      </c>
      <c r="B15" s="35" t="s">
        <v>404</v>
      </c>
      <c r="C15" s="35" t="s">
        <v>405</v>
      </c>
      <c r="D15" s="35" t="s">
        <v>285</v>
      </c>
      <c r="E15" s="35" t="s">
        <v>462</v>
      </c>
      <c r="F15" s="35" t="s">
        <v>406</v>
      </c>
      <c r="G15" s="40" t="s">
        <v>92</v>
      </c>
      <c r="H15" s="40" t="s">
        <v>58</v>
      </c>
      <c r="I15" s="42" t="s">
        <v>72</v>
      </c>
      <c r="J15" s="41"/>
      <c r="K15" s="41" t="str">
        <f>"65,0"</f>
        <v>65,0</v>
      </c>
      <c r="L15" s="41" t="str">
        <f>"44,7557"</f>
        <v>44,7557</v>
      </c>
      <c r="M15" s="35"/>
    </row>
    <row r="16" spans="1:13">
      <c r="A16" s="44">
        <v>2</v>
      </c>
      <c r="B16" s="36" t="s">
        <v>407</v>
      </c>
      <c r="C16" s="36" t="s">
        <v>408</v>
      </c>
      <c r="D16" s="36" t="s">
        <v>409</v>
      </c>
      <c r="E16" s="36" t="s">
        <v>462</v>
      </c>
      <c r="F16" s="36" t="s">
        <v>410</v>
      </c>
      <c r="G16" s="45" t="s">
        <v>91</v>
      </c>
      <c r="H16" s="45" t="s">
        <v>92</v>
      </c>
      <c r="I16" s="43" t="s">
        <v>58</v>
      </c>
      <c r="J16" s="44"/>
      <c r="K16" s="44" t="str">
        <f>"60,0"</f>
        <v>60,0</v>
      </c>
      <c r="L16" s="44" t="str">
        <f>"43,3260"</f>
        <v>43,3260</v>
      </c>
      <c r="M16" s="36"/>
    </row>
    <row r="18" spans="1:13" ht="16">
      <c r="A18" s="66" t="s">
        <v>65</v>
      </c>
      <c r="B18" s="66"/>
      <c r="C18" s="66"/>
      <c r="D18" s="66"/>
      <c r="E18" s="66"/>
      <c r="F18" s="66"/>
      <c r="G18" s="66"/>
      <c r="H18" s="66"/>
      <c r="I18" s="66"/>
      <c r="J18" s="66"/>
    </row>
    <row r="19" spans="1:13">
      <c r="A19" s="33">
        <v>1</v>
      </c>
      <c r="B19" s="21" t="s">
        <v>411</v>
      </c>
      <c r="C19" s="21" t="s">
        <v>412</v>
      </c>
      <c r="D19" s="21" t="s">
        <v>68</v>
      </c>
      <c r="E19" s="21" t="s">
        <v>462</v>
      </c>
      <c r="F19" s="21" t="s">
        <v>413</v>
      </c>
      <c r="G19" s="31" t="s">
        <v>135</v>
      </c>
      <c r="H19" s="31" t="s">
        <v>92</v>
      </c>
      <c r="I19" s="31" t="s">
        <v>72</v>
      </c>
      <c r="J19" s="33"/>
      <c r="K19" s="33" t="str">
        <f>"67,5"</f>
        <v>67,5</v>
      </c>
      <c r="L19" s="33" t="str">
        <f>"44,5534"</f>
        <v>44,5534</v>
      </c>
      <c r="M19" s="21"/>
    </row>
    <row r="21" spans="1:13" ht="16">
      <c r="A21" s="66" t="s">
        <v>10</v>
      </c>
      <c r="B21" s="66"/>
      <c r="C21" s="66"/>
      <c r="D21" s="66"/>
      <c r="E21" s="66"/>
      <c r="F21" s="66"/>
      <c r="G21" s="66"/>
      <c r="H21" s="66"/>
      <c r="I21" s="66"/>
      <c r="J21" s="66"/>
    </row>
    <row r="22" spans="1:13">
      <c r="A22" s="33">
        <v>1</v>
      </c>
      <c r="B22" s="21" t="s">
        <v>201</v>
      </c>
      <c r="C22" s="21" t="s">
        <v>202</v>
      </c>
      <c r="D22" s="21" t="s">
        <v>203</v>
      </c>
      <c r="E22" s="21" t="s">
        <v>462</v>
      </c>
      <c r="F22" s="21" t="s">
        <v>187</v>
      </c>
      <c r="G22" s="31" t="s">
        <v>92</v>
      </c>
      <c r="H22" s="31" t="s">
        <v>72</v>
      </c>
      <c r="I22" s="32" t="s">
        <v>62</v>
      </c>
      <c r="J22" s="33"/>
      <c r="K22" s="33" t="str">
        <f>"67,5"</f>
        <v>67,5</v>
      </c>
      <c r="L22" s="33" t="str">
        <f>"41,8838"</f>
        <v>41,8838</v>
      </c>
      <c r="M22" s="21"/>
    </row>
    <row r="24" spans="1:13" ht="16">
      <c r="A24" s="66" t="s">
        <v>211</v>
      </c>
      <c r="B24" s="66"/>
      <c r="C24" s="66"/>
      <c r="D24" s="66"/>
      <c r="E24" s="66"/>
      <c r="F24" s="66"/>
      <c r="G24" s="66"/>
      <c r="H24" s="66"/>
      <c r="I24" s="66"/>
      <c r="J24" s="66"/>
    </row>
    <row r="25" spans="1:13">
      <c r="A25" s="33">
        <v>1</v>
      </c>
      <c r="B25" s="21" t="s">
        <v>414</v>
      </c>
      <c r="C25" s="21" t="s">
        <v>444</v>
      </c>
      <c r="D25" s="21" t="s">
        <v>415</v>
      </c>
      <c r="E25" s="21" t="s">
        <v>465</v>
      </c>
      <c r="F25" s="21" t="s">
        <v>69</v>
      </c>
      <c r="G25" s="31" t="s">
        <v>49</v>
      </c>
      <c r="H25" s="31" t="s">
        <v>91</v>
      </c>
      <c r="I25" s="32" t="s">
        <v>130</v>
      </c>
      <c r="J25" s="33"/>
      <c r="K25" s="33" t="str">
        <f>"55,0"</f>
        <v>55,0</v>
      </c>
      <c r="L25" s="33" t="str">
        <f>"33,1815"</f>
        <v>33,1815</v>
      </c>
      <c r="M25" s="21" t="s">
        <v>416</v>
      </c>
    </row>
  </sheetData>
  <mergeCells count="17">
    <mergeCell ref="A24:J24"/>
    <mergeCell ref="A5:J5"/>
    <mergeCell ref="A8:J8"/>
    <mergeCell ref="A11:J11"/>
    <mergeCell ref="A18:J18"/>
    <mergeCell ref="A21:J21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7C824-B981-4BB7-B588-E147DBE12C90}">
  <dimension ref="A1:M21"/>
  <sheetViews>
    <sheetView tabSelected="1" workbookViewId="0">
      <selection activeCell="E22" sqref="E22"/>
    </sheetView>
  </sheetViews>
  <sheetFormatPr baseColWidth="10" defaultColWidth="8.83203125" defaultRowHeight="13"/>
  <cols>
    <col min="1" max="1" width="7.1640625" style="22" bestFit="1" customWidth="1"/>
    <col min="2" max="2" width="20.83203125" style="22" customWidth="1"/>
    <col min="3" max="3" width="28" style="22" bestFit="1" customWidth="1"/>
    <col min="4" max="4" width="21.5" style="22" bestFit="1" customWidth="1"/>
    <col min="5" max="5" width="10.33203125" style="22" bestFit="1" customWidth="1"/>
    <col min="6" max="6" width="42.6640625" style="22" bestFit="1" customWidth="1"/>
    <col min="7" max="9" width="5.5" style="29" customWidth="1"/>
    <col min="10" max="10" width="4.6640625" style="29" customWidth="1"/>
    <col min="11" max="11" width="11.5" style="29" bestFit="1" customWidth="1"/>
    <col min="12" max="12" width="10.33203125" style="29" customWidth="1"/>
    <col min="13" max="13" width="20.33203125" style="22" customWidth="1"/>
  </cols>
  <sheetData>
    <row r="1" spans="1:13" s="2" customFormat="1" ht="29" customHeight="1">
      <c r="A1" s="51" t="s">
        <v>424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458</v>
      </c>
      <c r="B3" s="73" t="s">
        <v>0</v>
      </c>
      <c r="C3" s="61" t="s">
        <v>460</v>
      </c>
      <c r="D3" s="61" t="s">
        <v>6</v>
      </c>
      <c r="E3" s="63" t="s">
        <v>461</v>
      </c>
      <c r="F3" s="65" t="s">
        <v>5</v>
      </c>
      <c r="G3" s="65" t="s">
        <v>459</v>
      </c>
      <c r="H3" s="65"/>
      <c r="I3" s="65"/>
      <c r="J3" s="65"/>
      <c r="K3" s="63" t="s">
        <v>248</v>
      </c>
      <c r="L3" s="63" t="s">
        <v>3</v>
      </c>
      <c r="M3" s="69" t="s">
        <v>2</v>
      </c>
    </row>
    <row r="4" spans="1:13" s="1" customFormat="1" ht="21" customHeight="1" thickBot="1">
      <c r="A4" s="60"/>
      <c r="B4" s="74"/>
      <c r="C4" s="62"/>
      <c r="D4" s="62"/>
      <c r="E4" s="64"/>
      <c r="F4" s="62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70"/>
    </row>
    <row r="5" spans="1:13" s="3" customFormat="1" ht="16">
      <c r="A5" s="71" t="s">
        <v>121</v>
      </c>
      <c r="B5" s="71"/>
      <c r="C5" s="72"/>
      <c r="D5" s="72"/>
      <c r="E5" s="72"/>
      <c r="F5" s="72"/>
      <c r="G5" s="72"/>
      <c r="H5" s="72"/>
      <c r="I5" s="72"/>
      <c r="J5" s="72"/>
      <c r="K5" s="6"/>
      <c r="L5" s="6"/>
      <c r="M5" s="5"/>
    </row>
    <row r="6" spans="1:13">
      <c r="A6" s="33">
        <v>1</v>
      </c>
      <c r="B6" s="21" t="s">
        <v>386</v>
      </c>
      <c r="C6" s="21" t="s">
        <v>445</v>
      </c>
      <c r="D6" s="21" t="s">
        <v>387</v>
      </c>
      <c r="E6" s="21" t="s">
        <v>468</v>
      </c>
      <c r="F6" s="21" t="s">
        <v>388</v>
      </c>
      <c r="G6" s="31" t="s">
        <v>389</v>
      </c>
      <c r="H6" s="32" t="s">
        <v>391</v>
      </c>
      <c r="I6" s="31" t="s">
        <v>391</v>
      </c>
      <c r="J6" s="33"/>
      <c r="K6" s="33" t="str">
        <f>"27,5"</f>
        <v>27,5</v>
      </c>
      <c r="L6" s="33" t="str">
        <f>"36,4196"</f>
        <v>36,4196</v>
      </c>
      <c r="M6" s="21" t="s">
        <v>417</v>
      </c>
    </row>
    <row r="8" spans="1:13" ht="16">
      <c r="A8" s="66" t="s">
        <v>65</v>
      </c>
      <c r="B8" s="66"/>
      <c r="C8" s="66"/>
      <c r="D8" s="66"/>
      <c r="E8" s="66"/>
      <c r="F8" s="66"/>
      <c r="G8" s="66"/>
      <c r="H8" s="66"/>
      <c r="I8" s="66"/>
      <c r="J8" s="66"/>
    </row>
    <row r="9" spans="1:13">
      <c r="A9" s="33">
        <v>1</v>
      </c>
      <c r="B9" s="21" t="s">
        <v>392</v>
      </c>
      <c r="C9" s="21" t="s">
        <v>393</v>
      </c>
      <c r="D9" s="21" t="s">
        <v>176</v>
      </c>
      <c r="E9" s="21" t="s">
        <v>462</v>
      </c>
      <c r="F9" s="21" t="s">
        <v>286</v>
      </c>
      <c r="G9" s="31" t="s">
        <v>71</v>
      </c>
      <c r="H9" s="31" t="s">
        <v>72</v>
      </c>
      <c r="I9" s="31" t="s">
        <v>394</v>
      </c>
      <c r="J9" s="33"/>
      <c r="K9" s="33" t="str">
        <f>"72,5"</f>
        <v>72,5</v>
      </c>
      <c r="L9" s="33" t="str">
        <f>"46,7335"</f>
        <v>46,7335</v>
      </c>
      <c r="M9" s="21"/>
    </row>
    <row r="11" spans="1:13" ht="16">
      <c r="A11" s="66" t="s">
        <v>10</v>
      </c>
      <c r="B11" s="66"/>
      <c r="C11" s="66"/>
      <c r="D11" s="66"/>
      <c r="E11" s="66"/>
      <c r="F11" s="66"/>
      <c r="G11" s="66"/>
      <c r="H11" s="66"/>
      <c r="I11" s="66"/>
      <c r="J11" s="66"/>
    </row>
    <row r="12" spans="1:13">
      <c r="A12" s="33">
        <v>1</v>
      </c>
      <c r="B12" s="21" t="s">
        <v>104</v>
      </c>
      <c r="C12" s="21" t="s">
        <v>105</v>
      </c>
      <c r="D12" s="21" t="s">
        <v>25</v>
      </c>
      <c r="E12" s="21" t="s">
        <v>462</v>
      </c>
      <c r="F12" s="21" t="s">
        <v>447</v>
      </c>
      <c r="G12" s="31" t="s">
        <v>91</v>
      </c>
      <c r="H12" s="31" t="s">
        <v>58</v>
      </c>
      <c r="I12" s="32" t="s">
        <v>59</v>
      </c>
      <c r="J12" s="33"/>
      <c r="K12" s="33" t="str">
        <f>"65,0"</f>
        <v>65,0</v>
      </c>
      <c r="L12" s="33" t="str">
        <f>"39,7703"</f>
        <v>39,7703</v>
      </c>
      <c r="M12" s="21"/>
    </row>
    <row r="14" spans="1:13" ht="16">
      <c r="A14" s="66" t="s">
        <v>211</v>
      </c>
      <c r="B14" s="66"/>
      <c r="C14" s="66"/>
      <c r="D14" s="66"/>
      <c r="E14" s="66"/>
      <c r="F14" s="66"/>
      <c r="G14" s="66"/>
      <c r="H14" s="66"/>
      <c r="I14" s="66"/>
      <c r="J14" s="66"/>
    </row>
    <row r="15" spans="1:13">
      <c r="A15" s="33">
        <v>1</v>
      </c>
      <c r="B15" s="21" t="s">
        <v>269</v>
      </c>
      <c r="C15" s="21" t="s">
        <v>270</v>
      </c>
      <c r="D15" s="21" t="s">
        <v>268</v>
      </c>
      <c r="E15" s="21" t="s">
        <v>466</v>
      </c>
      <c r="F15" s="21" t="s">
        <v>450</v>
      </c>
      <c r="G15" s="31" t="s">
        <v>394</v>
      </c>
      <c r="H15" s="32" t="s">
        <v>173</v>
      </c>
      <c r="I15" s="31" t="s">
        <v>173</v>
      </c>
      <c r="J15" s="33"/>
      <c r="K15" s="33" t="str">
        <f>"77,5"</f>
        <v>77,5</v>
      </c>
      <c r="L15" s="33" t="str">
        <f>"45,0508"</f>
        <v>45,0508</v>
      </c>
      <c r="M15" s="21" t="s">
        <v>85</v>
      </c>
    </row>
    <row r="17" spans="1:13" ht="16">
      <c r="A17" s="66" t="s">
        <v>236</v>
      </c>
      <c r="B17" s="66"/>
      <c r="C17" s="66"/>
      <c r="D17" s="66"/>
      <c r="E17" s="66"/>
      <c r="F17" s="66"/>
      <c r="G17" s="66"/>
      <c r="H17" s="66"/>
      <c r="I17" s="66"/>
      <c r="J17" s="66"/>
    </row>
    <row r="18" spans="1:13">
      <c r="A18" s="33">
        <v>1</v>
      </c>
      <c r="B18" s="21" t="s">
        <v>350</v>
      </c>
      <c r="C18" s="21" t="s">
        <v>351</v>
      </c>
      <c r="D18" s="21" t="s">
        <v>239</v>
      </c>
      <c r="E18" s="21" t="s">
        <v>462</v>
      </c>
      <c r="F18" s="21" t="s">
        <v>69</v>
      </c>
      <c r="G18" s="31" t="s">
        <v>90</v>
      </c>
      <c r="H18" s="31" t="s">
        <v>70</v>
      </c>
      <c r="I18" s="32" t="s">
        <v>129</v>
      </c>
      <c r="J18" s="33"/>
      <c r="K18" s="33" t="str">
        <f>"90,0"</f>
        <v>90,0</v>
      </c>
      <c r="L18" s="33" t="str">
        <f>"50,6250"</f>
        <v>50,6250</v>
      </c>
      <c r="M18" s="21" t="s">
        <v>85</v>
      </c>
    </row>
    <row r="20" spans="1:13" ht="16">
      <c r="A20" s="66" t="s">
        <v>111</v>
      </c>
      <c r="B20" s="66"/>
      <c r="C20" s="66"/>
      <c r="D20" s="66"/>
      <c r="E20" s="66"/>
      <c r="F20" s="66"/>
      <c r="G20" s="66"/>
      <c r="H20" s="66"/>
      <c r="I20" s="66"/>
      <c r="J20" s="66"/>
    </row>
    <row r="21" spans="1:13">
      <c r="A21" s="33">
        <v>1</v>
      </c>
      <c r="B21" s="21" t="s">
        <v>330</v>
      </c>
      <c r="C21" s="21" t="s">
        <v>331</v>
      </c>
      <c r="D21" s="21" t="s">
        <v>395</v>
      </c>
      <c r="E21" s="21" t="s">
        <v>466</v>
      </c>
      <c r="F21" s="21" t="s">
        <v>69</v>
      </c>
      <c r="G21" s="31" t="s">
        <v>58</v>
      </c>
      <c r="H21" s="32" t="s">
        <v>62</v>
      </c>
      <c r="I21" s="32" t="s">
        <v>62</v>
      </c>
      <c r="J21" s="33"/>
      <c r="K21" s="33" t="str">
        <f>"65,0"</f>
        <v>65,0</v>
      </c>
      <c r="L21" s="33" t="str">
        <f>"36,5667"</f>
        <v>36,5667</v>
      </c>
      <c r="M21" s="21"/>
    </row>
  </sheetData>
  <mergeCells count="17">
    <mergeCell ref="A20:J20"/>
    <mergeCell ref="A5:J5"/>
    <mergeCell ref="A8:J8"/>
    <mergeCell ref="A11:J11"/>
    <mergeCell ref="A14:J14"/>
    <mergeCell ref="A17:J17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D0491-78C4-4A09-B4E6-DAF54B18EB82}">
  <dimension ref="A1:U34"/>
  <sheetViews>
    <sheetView workbookViewId="0">
      <selection activeCell="E25" sqref="E25"/>
    </sheetView>
  </sheetViews>
  <sheetFormatPr baseColWidth="10" defaultColWidth="8.83203125" defaultRowHeight="13"/>
  <cols>
    <col min="1" max="1" width="7.1640625" style="22" bestFit="1" customWidth="1"/>
    <col min="2" max="2" width="19.33203125" style="22" customWidth="1"/>
    <col min="3" max="3" width="26" style="22" bestFit="1" customWidth="1"/>
    <col min="4" max="4" width="21.5" style="22" bestFit="1" customWidth="1"/>
    <col min="5" max="5" width="10.33203125" style="22" bestFit="1" customWidth="1"/>
    <col min="6" max="6" width="32" style="22" bestFit="1" customWidth="1"/>
    <col min="7" max="7" width="5.5" style="29" customWidth="1"/>
    <col min="8" max="9" width="5.33203125" style="29" customWidth="1"/>
    <col min="10" max="10" width="4.6640625" style="29" customWidth="1"/>
    <col min="11" max="13" width="5.33203125" style="29" customWidth="1"/>
    <col min="14" max="14" width="4.6640625" style="29" customWidth="1"/>
    <col min="15" max="17" width="5.33203125" style="29" customWidth="1"/>
    <col min="18" max="18" width="4.6640625" style="29" customWidth="1"/>
    <col min="19" max="19" width="8.1640625" style="29" bestFit="1" customWidth="1"/>
    <col min="20" max="20" width="8.33203125" style="29" bestFit="1" customWidth="1"/>
    <col min="21" max="21" width="20.1640625" style="22" customWidth="1"/>
  </cols>
  <sheetData>
    <row r="1" spans="1:21" s="2" customFormat="1" ht="29" customHeight="1">
      <c r="A1" s="51" t="s">
        <v>438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</row>
    <row r="2" spans="1:21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8"/>
    </row>
    <row r="3" spans="1:21" s="1" customFormat="1" ht="12.75" customHeight="1">
      <c r="A3" s="59" t="s">
        <v>458</v>
      </c>
      <c r="B3" s="73" t="s">
        <v>0</v>
      </c>
      <c r="C3" s="61" t="s">
        <v>460</v>
      </c>
      <c r="D3" s="61" t="s">
        <v>6</v>
      </c>
      <c r="E3" s="63" t="s">
        <v>461</v>
      </c>
      <c r="F3" s="65" t="s">
        <v>5</v>
      </c>
      <c r="G3" s="65" t="s">
        <v>7</v>
      </c>
      <c r="H3" s="65"/>
      <c r="I3" s="65"/>
      <c r="J3" s="65"/>
      <c r="K3" s="65" t="s">
        <v>8</v>
      </c>
      <c r="L3" s="65"/>
      <c r="M3" s="65"/>
      <c r="N3" s="65"/>
      <c r="O3" s="65" t="s">
        <v>9</v>
      </c>
      <c r="P3" s="65"/>
      <c r="Q3" s="65"/>
      <c r="R3" s="65"/>
      <c r="S3" s="63" t="s">
        <v>1</v>
      </c>
      <c r="T3" s="63" t="s">
        <v>3</v>
      </c>
      <c r="U3" s="69" t="s">
        <v>2</v>
      </c>
    </row>
    <row r="4" spans="1:21" s="1" customFormat="1" ht="21" customHeight="1" thickBot="1">
      <c r="A4" s="60"/>
      <c r="B4" s="74"/>
      <c r="C4" s="62"/>
      <c r="D4" s="62"/>
      <c r="E4" s="64"/>
      <c r="F4" s="6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4"/>
      <c r="T4" s="64"/>
      <c r="U4" s="70"/>
    </row>
    <row r="5" spans="1:21" s="3" customFormat="1" ht="16">
      <c r="A5" s="71" t="s">
        <v>53</v>
      </c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6"/>
      <c r="T5" s="6"/>
      <c r="U5" s="5"/>
    </row>
    <row r="6" spans="1:21">
      <c r="A6" s="33">
        <v>1</v>
      </c>
      <c r="B6" s="21" t="s">
        <v>54</v>
      </c>
      <c r="C6" s="21" t="s">
        <v>55</v>
      </c>
      <c r="D6" s="21" t="s">
        <v>56</v>
      </c>
      <c r="E6" s="21" t="s">
        <v>462</v>
      </c>
      <c r="F6" s="21" t="s">
        <v>57</v>
      </c>
      <c r="G6" s="31" t="s">
        <v>58</v>
      </c>
      <c r="H6" s="32" t="s">
        <v>59</v>
      </c>
      <c r="I6" s="32" t="s">
        <v>59</v>
      </c>
      <c r="J6" s="33"/>
      <c r="K6" s="31" t="s">
        <v>60</v>
      </c>
      <c r="L6" s="32" t="s">
        <v>61</v>
      </c>
      <c r="M6" s="31" t="s">
        <v>61</v>
      </c>
      <c r="N6" s="33"/>
      <c r="O6" s="31" t="s">
        <v>62</v>
      </c>
      <c r="P6" s="31" t="s">
        <v>63</v>
      </c>
      <c r="Q6" s="31" t="s">
        <v>64</v>
      </c>
      <c r="R6" s="33"/>
      <c r="S6" s="33" t="str">
        <f>"200,0"</f>
        <v>200,0</v>
      </c>
      <c r="T6" s="33" t="str">
        <f>"228,0200"</f>
        <v>228,0200</v>
      </c>
      <c r="U6" s="21"/>
    </row>
    <row r="8" spans="1:21" ht="16">
      <c r="A8" s="66" t="s">
        <v>65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1:21">
      <c r="A9" s="33">
        <v>1</v>
      </c>
      <c r="B9" s="21" t="s">
        <v>66</v>
      </c>
      <c r="C9" s="21" t="s">
        <v>67</v>
      </c>
      <c r="D9" s="21" t="s">
        <v>68</v>
      </c>
      <c r="E9" s="21" t="s">
        <v>462</v>
      </c>
      <c r="F9" s="21" t="s">
        <v>69</v>
      </c>
      <c r="G9" s="31" t="s">
        <v>63</v>
      </c>
      <c r="H9" s="31" t="s">
        <v>70</v>
      </c>
      <c r="I9" s="31" t="s">
        <v>44</v>
      </c>
      <c r="J9" s="33"/>
      <c r="K9" s="31" t="s">
        <v>71</v>
      </c>
      <c r="L9" s="31" t="s">
        <v>72</v>
      </c>
      <c r="M9" s="31" t="s">
        <v>59</v>
      </c>
      <c r="N9" s="33"/>
      <c r="O9" s="31" t="s">
        <v>73</v>
      </c>
      <c r="P9" s="31" t="s">
        <v>74</v>
      </c>
      <c r="Q9" s="31" t="s">
        <v>75</v>
      </c>
      <c r="R9" s="33"/>
      <c r="S9" s="33" t="str">
        <f>"287,5"</f>
        <v>287,5</v>
      </c>
      <c r="T9" s="33" t="str">
        <f>"263,8100"</f>
        <v>263,8100</v>
      </c>
      <c r="U9" s="21" t="s">
        <v>76</v>
      </c>
    </row>
    <row r="11" spans="1:21" ht="16">
      <c r="A11" s="66" t="s">
        <v>53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</row>
    <row r="12" spans="1:21">
      <c r="A12" s="33">
        <v>1</v>
      </c>
      <c r="B12" s="21" t="s">
        <v>77</v>
      </c>
      <c r="C12" s="21" t="s">
        <v>78</v>
      </c>
      <c r="D12" s="21" t="s">
        <v>79</v>
      </c>
      <c r="E12" s="21" t="s">
        <v>462</v>
      </c>
      <c r="F12" s="21" t="s">
        <v>446</v>
      </c>
      <c r="G12" s="31" t="s">
        <v>80</v>
      </c>
      <c r="H12" s="31" t="s">
        <v>81</v>
      </c>
      <c r="I12" s="31" t="s">
        <v>82</v>
      </c>
      <c r="J12" s="33"/>
      <c r="K12" s="32" t="s">
        <v>80</v>
      </c>
      <c r="L12" s="31" t="s">
        <v>81</v>
      </c>
      <c r="M12" s="32" t="s">
        <v>83</v>
      </c>
      <c r="N12" s="33"/>
      <c r="O12" s="31" t="s">
        <v>17</v>
      </c>
      <c r="P12" s="31" t="s">
        <v>30</v>
      </c>
      <c r="Q12" s="31" t="s">
        <v>84</v>
      </c>
      <c r="R12" s="33"/>
      <c r="S12" s="33" t="str">
        <f>"450,0"</f>
        <v>450,0</v>
      </c>
      <c r="T12" s="33" t="str">
        <f>"383,8050"</f>
        <v>383,8050</v>
      </c>
      <c r="U12" s="21" t="s">
        <v>85</v>
      </c>
    </row>
    <row r="14" spans="1:21" ht="16">
      <c r="A14" s="66" t="s">
        <v>86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</row>
    <row r="15" spans="1:21">
      <c r="A15" s="33">
        <v>1</v>
      </c>
      <c r="B15" s="21" t="s">
        <v>87</v>
      </c>
      <c r="C15" s="21" t="s">
        <v>88</v>
      </c>
      <c r="D15" s="21" t="s">
        <v>89</v>
      </c>
      <c r="E15" s="21" t="s">
        <v>464</v>
      </c>
      <c r="F15" s="21" t="s">
        <v>69</v>
      </c>
      <c r="G15" s="31" t="s">
        <v>59</v>
      </c>
      <c r="H15" s="31" t="s">
        <v>90</v>
      </c>
      <c r="I15" s="31" t="s">
        <v>70</v>
      </c>
      <c r="J15" s="33"/>
      <c r="K15" s="31" t="s">
        <v>49</v>
      </c>
      <c r="L15" s="31" t="s">
        <v>91</v>
      </c>
      <c r="M15" s="32" t="s">
        <v>92</v>
      </c>
      <c r="N15" s="33"/>
      <c r="O15" s="31" t="s">
        <v>59</v>
      </c>
      <c r="P15" s="31" t="s">
        <v>63</v>
      </c>
      <c r="Q15" s="31" t="s">
        <v>64</v>
      </c>
      <c r="R15" s="33"/>
      <c r="S15" s="33" t="str">
        <f>"245,0"</f>
        <v>245,0</v>
      </c>
      <c r="T15" s="33" t="str">
        <f>"201,4635"</f>
        <v>201,4635</v>
      </c>
      <c r="U15" s="21" t="s">
        <v>93</v>
      </c>
    </row>
    <row r="17" spans="1:21" ht="16">
      <c r="A17" s="66" t="s">
        <v>65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</row>
    <row r="18" spans="1:21">
      <c r="A18" s="33">
        <v>1</v>
      </c>
      <c r="B18" s="21" t="s">
        <v>94</v>
      </c>
      <c r="C18" s="21" t="s">
        <v>95</v>
      </c>
      <c r="D18" s="21" t="s">
        <v>96</v>
      </c>
      <c r="E18" s="21" t="s">
        <v>465</v>
      </c>
      <c r="F18" s="21" t="s">
        <v>69</v>
      </c>
      <c r="G18" s="31" t="s">
        <v>97</v>
      </c>
      <c r="H18" s="31" t="s">
        <v>98</v>
      </c>
      <c r="I18" s="32" t="s">
        <v>99</v>
      </c>
      <c r="J18" s="33"/>
      <c r="K18" s="31" t="s">
        <v>81</v>
      </c>
      <c r="L18" s="31" t="s">
        <v>83</v>
      </c>
      <c r="M18" s="31" t="s">
        <v>100</v>
      </c>
      <c r="N18" s="33"/>
      <c r="O18" s="31" t="s">
        <v>101</v>
      </c>
      <c r="P18" s="31" t="s">
        <v>98</v>
      </c>
      <c r="Q18" s="31" t="s">
        <v>102</v>
      </c>
      <c r="R18" s="33"/>
      <c r="S18" s="33" t="str">
        <f>"580,0"</f>
        <v>580,0</v>
      </c>
      <c r="T18" s="33" t="str">
        <f>"392,3120"</f>
        <v>392,3120</v>
      </c>
      <c r="U18" s="21" t="s">
        <v>103</v>
      </c>
    </row>
    <row r="20" spans="1:21" ht="16">
      <c r="A20" s="66" t="s">
        <v>10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</row>
    <row r="21" spans="1:21">
      <c r="A21" s="33">
        <v>1</v>
      </c>
      <c r="B21" s="21" t="s">
        <v>104</v>
      </c>
      <c r="C21" s="21" t="s">
        <v>105</v>
      </c>
      <c r="D21" s="21" t="s">
        <v>25</v>
      </c>
      <c r="E21" s="21" t="s">
        <v>462</v>
      </c>
      <c r="F21" s="21" t="s">
        <v>447</v>
      </c>
      <c r="G21" s="31" t="s">
        <v>106</v>
      </c>
      <c r="H21" s="31" t="s">
        <v>107</v>
      </c>
      <c r="I21" s="31" t="s">
        <v>97</v>
      </c>
      <c r="J21" s="33"/>
      <c r="K21" s="31" t="s">
        <v>81</v>
      </c>
      <c r="L21" s="31" t="s">
        <v>108</v>
      </c>
      <c r="M21" s="31" t="s">
        <v>109</v>
      </c>
      <c r="N21" s="33"/>
      <c r="O21" s="31" t="s">
        <v>106</v>
      </c>
      <c r="P21" s="31" t="s">
        <v>97</v>
      </c>
      <c r="Q21" s="31" t="s">
        <v>110</v>
      </c>
      <c r="R21" s="33"/>
      <c r="S21" s="33" t="str">
        <f>"565,0"</f>
        <v>565,0</v>
      </c>
      <c r="T21" s="33" t="str">
        <f>"360,6960"</f>
        <v>360,6960</v>
      </c>
      <c r="U21" s="21"/>
    </row>
    <row r="23" spans="1:21" ht="16">
      <c r="A23" s="66" t="s">
        <v>111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</row>
    <row r="24" spans="1:21">
      <c r="A24" s="33">
        <v>1</v>
      </c>
      <c r="B24" s="21" t="s">
        <v>112</v>
      </c>
      <c r="C24" s="21" t="s">
        <v>113</v>
      </c>
      <c r="D24" s="21" t="s">
        <v>114</v>
      </c>
      <c r="E24" s="21" t="s">
        <v>462</v>
      </c>
      <c r="F24" s="21" t="s">
        <v>115</v>
      </c>
      <c r="G24" s="31" t="s">
        <v>107</v>
      </c>
      <c r="H24" s="31" t="s">
        <v>116</v>
      </c>
      <c r="I24" s="31" t="s">
        <v>110</v>
      </c>
      <c r="J24" s="33"/>
      <c r="K24" s="31" t="s">
        <v>117</v>
      </c>
      <c r="L24" s="31" t="s">
        <v>118</v>
      </c>
      <c r="M24" s="32" t="s">
        <v>107</v>
      </c>
      <c r="N24" s="33"/>
      <c r="O24" s="31" t="s">
        <v>119</v>
      </c>
      <c r="P24" s="31" t="s">
        <v>120</v>
      </c>
      <c r="Q24" s="33"/>
      <c r="R24" s="33"/>
      <c r="S24" s="33" t="str">
        <f>"685,0"</f>
        <v>685,0</v>
      </c>
      <c r="T24" s="33" t="str">
        <f>"392,2995"</f>
        <v>392,2995</v>
      </c>
      <c r="U24" s="21" t="s">
        <v>85</v>
      </c>
    </row>
    <row r="28" spans="1:21" ht="18">
      <c r="B28" s="23" t="s">
        <v>32</v>
      </c>
      <c r="C28" s="23"/>
    </row>
    <row r="29" spans="1:21" ht="16">
      <c r="B29" s="24" t="s">
        <v>33</v>
      </c>
      <c r="C29" s="24"/>
    </row>
    <row r="30" spans="1:21" ht="14">
      <c r="B30" s="25"/>
      <c r="C30" s="26" t="s">
        <v>34</v>
      </c>
    </row>
    <row r="31" spans="1:21" ht="14">
      <c r="B31" s="27" t="s">
        <v>35</v>
      </c>
      <c r="C31" s="27" t="s">
        <v>36</v>
      </c>
      <c r="D31" s="27" t="s">
        <v>452</v>
      </c>
      <c r="E31" s="27" t="s">
        <v>37</v>
      </c>
      <c r="F31" s="27" t="s">
        <v>38</v>
      </c>
    </row>
    <row r="32" spans="1:21">
      <c r="B32" s="22" t="s">
        <v>112</v>
      </c>
      <c r="C32" s="22" t="s">
        <v>34</v>
      </c>
      <c r="D32" s="30">
        <v>125</v>
      </c>
      <c r="E32" s="30">
        <v>685</v>
      </c>
      <c r="F32" s="28">
        <v>392.299516201019</v>
      </c>
    </row>
    <row r="33" spans="2:7">
      <c r="B33" s="22" t="s">
        <v>77</v>
      </c>
      <c r="C33" s="22" t="s">
        <v>34</v>
      </c>
      <c r="D33" s="30">
        <v>60</v>
      </c>
      <c r="E33" s="30">
        <v>450</v>
      </c>
      <c r="F33" s="28">
        <v>383.80501270294201</v>
      </c>
      <c r="G33" s="22"/>
    </row>
    <row r="34" spans="2:7">
      <c r="B34" s="22" t="s">
        <v>104</v>
      </c>
      <c r="C34" s="22" t="s">
        <v>34</v>
      </c>
      <c r="D34" s="30">
        <v>90</v>
      </c>
      <c r="E34" s="30">
        <v>565</v>
      </c>
      <c r="F34" s="28">
        <v>360.69601029157599</v>
      </c>
    </row>
  </sheetData>
  <mergeCells count="20">
    <mergeCell ref="A23:R23"/>
    <mergeCell ref="S3:S4"/>
    <mergeCell ref="T3:T4"/>
    <mergeCell ref="U3:U4"/>
    <mergeCell ref="A5:R5"/>
    <mergeCell ref="B3:B4"/>
    <mergeCell ref="A8:R8"/>
    <mergeCell ref="A11:R11"/>
    <mergeCell ref="A14:R14"/>
    <mergeCell ref="A17:R17"/>
    <mergeCell ref="A20:R20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F7748-E1AD-4292-9958-008EDD8504C1}">
  <dimension ref="A1:U6"/>
  <sheetViews>
    <sheetView workbookViewId="0">
      <selection sqref="A1:U2"/>
    </sheetView>
  </sheetViews>
  <sheetFormatPr baseColWidth="10" defaultColWidth="8.83203125" defaultRowHeight="13"/>
  <cols>
    <col min="1" max="1" width="7.1640625" style="22" bestFit="1" customWidth="1"/>
    <col min="2" max="2" width="21" style="22" customWidth="1"/>
    <col min="3" max="3" width="25.1640625" style="22" bestFit="1" customWidth="1"/>
    <col min="4" max="4" width="21.5" style="22" bestFit="1" customWidth="1"/>
    <col min="5" max="5" width="10.33203125" style="22" bestFit="1" customWidth="1"/>
    <col min="6" max="6" width="27.6640625" style="22" bestFit="1" customWidth="1"/>
    <col min="7" max="18" width="5.5" style="29" customWidth="1"/>
    <col min="19" max="19" width="8.1640625" style="29" bestFit="1" customWidth="1"/>
    <col min="20" max="20" width="8.33203125" style="29" bestFit="1" customWidth="1"/>
    <col min="21" max="21" width="20.1640625" style="22" customWidth="1"/>
  </cols>
  <sheetData>
    <row r="1" spans="1:21" s="2" customFormat="1" ht="29" customHeight="1">
      <c r="A1" s="51" t="s">
        <v>439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</row>
    <row r="2" spans="1:21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8"/>
    </row>
    <row r="3" spans="1:21" s="1" customFormat="1" ht="12.75" customHeight="1">
      <c r="A3" s="59" t="s">
        <v>458</v>
      </c>
      <c r="B3" s="73" t="s">
        <v>0</v>
      </c>
      <c r="C3" s="61" t="s">
        <v>460</v>
      </c>
      <c r="D3" s="61" t="s">
        <v>6</v>
      </c>
      <c r="E3" s="63" t="s">
        <v>461</v>
      </c>
      <c r="F3" s="65" t="s">
        <v>5</v>
      </c>
      <c r="G3" s="65" t="s">
        <v>7</v>
      </c>
      <c r="H3" s="65"/>
      <c r="I3" s="65"/>
      <c r="J3" s="65"/>
      <c r="K3" s="65" t="s">
        <v>8</v>
      </c>
      <c r="L3" s="65"/>
      <c r="M3" s="65"/>
      <c r="N3" s="65"/>
      <c r="O3" s="65" t="s">
        <v>9</v>
      </c>
      <c r="P3" s="65"/>
      <c r="Q3" s="65"/>
      <c r="R3" s="65"/>
      <c r="S3" s="63" t="s">
        <v>1</v>
      </c>
      <c r="T3" s="63" t="s">
        <v>3</v>
      </c>
      <c r="U3" s="69" t="s">
        <v>2</v>
      </c>
    </row>
    <row r="4" spans="1:21" s="1" customFormat="1" ht="21" customHeight="1" thickBot="1">
      <c r="A4" s="60"/>
      <c r="B4" s="74"/>
      <c r="C4" s="62"/>
      <c r="D4" s="62"/>
      <c r="E4" s="64"/>
      <c r="F4" s="6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4"/>
      <c r="T4" s="64"/>
      <c r="U4" s="70"/>
    </row>
    <row r="5" spans="1:21" s="3" customFormat="1" ht="16">
      <c r="A5" s="71" t="s">
        <v>40</v>
      </c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6"/>
      <c r="T5" s="6"/>
      <c r="U5" s="5"/>
    </row>
    <row r="6" spans="1:21">
      <c r="A6" s="33">
        <v>1</v>
      </c>
      <c r="B6" s="21" t="s">
        <v>41</v>
      </c>
      <c r="C6" s="21" t="s">
        <v>42</v>
      </c>
      <c r="D6" s="21" t="s">
        <v>43</v>
      </c>
      <c r="E6" s="21" t="s">
        <v>462</v>
      </c>
      <c r="F6" s="21" t="s">
        <v>449</v>
      </c>
      <c r="G6" s="31" t="s">
        <v>44</v>
      </c>
      <c r="H6" s="31" t="s">
        <v>45</v>
      </c>
      <c r="I6" s="32" t="s">
        <v>46</v>
      </c>
      <c r="J6" s="33"/>
      <c r="K6" s="31" t="s">
        <v>47</v>
      </c>
      <c r="L6" s="31" t="s">
        <v>48</v>
      </c>
      <c r="M6" s="32" t="s">
        <v>49</v>
      </c>
      <c r="N6" s="33"/>
      <c r="O6" s="31" t="s">
        <v>44</v>
      </c>
      <c r="P6" s="31" t="s">
        <v>45</v>
      </c>
      <c r="Q6" s="32" t="s">
        <v>50</v>
      </c>
      <c r="R6" s="33"/>
      <c r="S6" s="33" t="str">
        <f>"255,0"</f>
        <v>255,0</v>
      </c>
      <c r="T6" s="33" t="str">
        <f>"300,0330"</f>
        <v>300,0330</v>
      </c>
      <c r="U6" s="21" t="s">
        <v>51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7"/>
  <sheetViews>
    <sheetView workbookViewId="0">
      <selection activeCell="E8" sqref="E8"/>
    </sheetView>
  </sheetViews>
  <sheetFormatPr baseColWidth="10" defaultColWidth="9.1640625" defaultRowHeight="13"/>
  <cols>
    <col min="1" max="1" width="7.1640625" style="5" bestFit="1" customWidth="1"/>
    <col min="2" max="2" width="17.1640625" style="5" bestFit="1" customWidth="1"/>
    <col min="3" max="3" width="27" style="5" bestFit="1" customWidth="1"/>
    <col min="4" max="4" width="21.5" style="5" bestFit="1" customWidth="1"/>
    <col min="5" max="5" width="10.33203125" style="13" bestFit="1" customWidth="1"/>
    <col min="6" max="6" width="30.6640625" style="5" customWidth="1"/>
    <col min="7" max="9" width="5.33203125" style="14" customWidth="1"/>
    <col min="10" max="10" width="4.6640625" style="14" customWidth="1"/>
    <col min="11" max="13" width="5.33203125" style="14" customWidth="1"/>
    <col min="14" max="14" width="4.6640625" style="14" customWidth="1"/>
    <col min="15" max="17" width="5.33203125" style="14" customWidth="1"/>
    <col min="18" max="18" width="4.6640625" style="14" customWidth="1"/>
    <col min="19" max="19" width="8.1640625" style="6" bestFit="1" customWidth="1"/>
    <col min="20" max="20" width="8.33203125" style="6" bestFit="1" customWidth="1"/>
    <col min="21" max="21" width="18.5" style="5" customWidth="1"/>
    <col min="22" max="16384" width="9.1640625" style="3"/>
  </cols>
  <sheetData>
    <row r="1" spans="1:21" s="2" customFormat="1" ht="29" customHeight="1">
      <c r="A1" s="51" t="s">
        <v>440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</row>
    <row r="2" spans="1:21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8"/>
    </row>
    <row r="3" spans="1:21" s="1" customFormat="1" ht="12.75" customHeight="1">
      <c r="A3" s="59" t="s">
        <v>458</v>
      </c>
      <c r="B3" s="73" t="s">
        <v>0</v>
      </c>
      <c r="C3" s="61" t="s">
        <v>460</v>
      </c>
      <c r="D3" s="61" t="s">
        <v>6</v>
      </c>
      <c r="E3" s="63" t="s">
        <v>461</v>
      </c>
      <c r="F3" s="65" t="s">
        <v>5</v>
      </c>
      <c r="G3" s="65" t="s">
        <v>7</v>
      </c>
      <c r="H3" s="65"/>
      <c r="I3" s="65"/>
      <c r="J3" s="65"/>
      <c r="K3" s="65" t="s">
        <v>8</v>
      </c>
      <c r="L3" s="65"/>
      <c r="M3" s="65"/>
      <c r="N3" s="65"/>
      <c r="O3" s="65" t="s">
        <v>9</v>
      </c>
      <c r="P3" s="65"/>
      <c r="Q3" s="65"/>
      <c r="R3" s="65"/>
      <c r="S3" s="63" t="s">
        <v>1</v>
      </c>
      <c r="T3" s="63" t="s">
        <v>3</v>
      </c>
      <c r="U3" s="69" t="s">
        <v>2</v>
      </c>
    </row>
    <row r="4" spans="1:21" s="1" customFormat="1" ht="21" customHeight="1" thickBot="1">
      <c r="A4" s="60"/>
      <c r="B4" s="74"/>
      <c r="C4" s="62"/>
      <c r="D4" s="62"/>
      <c r="E4" s="64"/>
      <c r="F4" s="6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4"/>
      <c r="T4" s="64"/>
      <c r="U4" s="70"/>
    </row>
    <row r="5" spans="1:21" ht="16">
      <c r="A5" s="71" t="s">
        <v>10</v>
      </c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1:21">
      <c r="A6" s="17" t="s">
        <v>39</v>
      </c>
      <c r="B6" s="7" t="s">
        <v>11</v>
      </c>
      <c r="C6" s="7" t="s">
        <v>12</v>
      </c>
      <c r="D6" s="7" t="s">
        <v>13</v>
      </c>
      <c r="E6" s="8" t="s">
        <v>462</v>
      </c>
      <c r="F6" s="7" t="s">
        <v>449</v>
      </c>
      <c r="G6" s="15" t="s">
        <v>14</v>
      </c>
      <c r="H6" s="16" t="s">
        <v>14</v>
      </c>
      <c r="I6" s="15" t="s">
        <v>15</v>
      </c>
      <c r="J6" s="17"/>
      <c r="K6" s="15" t="s">
        <v>16</v>
      </c>
      <c r="L6" s="16" t="s">
        <v>17</v>
      </c>
      <c r="M6" s="16" t="s">
        <v>18</v>
      </c>
      <c r="N6" s="17"/>
      <c r="O6" s="16" t="s">
        <v>19</v>
      </c>
      <c r="P6" s="16" t="s">
        <v>20</v>
      </c>
      <c r="Q6" s="15" t="s">
        <v>21</v>
      </c>
      <c r="R6" s="17"/>
      <c r="S6" s="9" t="str">
        <f>"640,0"</f>
        <v>640,0</v>
      </c>
      <c r="T6" s="9" t="str">
        <f>"409,7280"</f>
        <v>409,7280</v>
      </c>
      <c r="U6" s="7" t="s">
        <v>22</v>
      </c>
    </row>
    <row r="7" spans="1:21">
      <c r="A7" s="19" t="s">
        <v>39</v>
      </c>
      <c r="B7" s="10" t="s">
        <v>23</v>
      </c>
      <c r="C7" s="10" t="s">
        <v>24</v>
      </c>
      <c r="D7" s="10" t="s">
        <v>25</v>
      </c>
      <c r="E7" s="11" t="s">
        <v>466</v>
      </c>
      <c r="F7" s="10" t="s">
        <v>449</v>
      </c>
      <c r="G7" s="18" t="s">
        <v>26</v>
      </c>
      <c r="H7" s="18" t="s">
        <v>27</v>
      </c>
      <c r="I7" s="18" t="s">
        <v>28</v>
      </c>
      <c r="J7" s="19"/>
      <c r="K7" s="18" t="s">
        <v>16</v>
      </c>
      <c r="L7" s="18" t="s">
        <v>29</v>
      </c>
      <c r="M7" s="20" t="s">
        <v>30</v>
      </c>
      <c r="N7" s="19"/>
      <c r="O7" s="18" t="s">
        <v>14</v>
      </c>
      <c r="P7" s="18" t="s">
        <v>20</v>
      </c>
      <c r="Q7" s="20" t="s">
        <v>31</v>
      </c>
      <c r="R7" s="19"/>
      <c r="S7" s="12" t="str">
        <f>"682,5"</f>
        <v>682,5</v>
      </c>
      <c r="T7" s="12" t="str">
        <f>"437,8866"</f>
        <v>437,8866</v>
      </c>
      <c r="U7" s="10"/>
    </row>
  </sheetData>
  <mergeCells count="14">
    <mergeCell ref="A5:R5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43A23-140C-4695-901D-BB7A5491379A}">
  <dimension ref="A1:Q33"/>
  <sheetViews>
    <sheetView workbookViewId="0">
      <selection activeCell="E32" sqref="E32"/>
    </sheetView>
  </sheetViews>
  <sheetFormatPr baseColWidth="10" defaultColWidth="8.83203125" defaultRowHeight="13"/>
  <cols>
    <col min="1" max="1" width="7.1640625" style="22" bestFit="1" customWidth="1"/>
    <col min="2" max="2" width="19.33203125" style="22" bestFit="1" customWidth="1"/>
    <col min="3" max="3" width="26" style="22" bestFit="1" customWidth="1"/>
    <col min="4" max="4" width="21.5" style="22" bestFit="1" customWidth="1"/>
    <col min="5" max="5" width="10.33203125" style="22" bestFit="1" customWidth="1"/>
    <col min="6" max="6" width="31.1640625" style="22" bestFit="1" customWidth="1"/>
    <col min="7" max="7" width="5.5" style="29" customWidth="1"/>
    <col min="8" max="9" width="5.33203125" style="29" customWidth="1"/>
    <col min="10" max="10" width="4.6640625" style="29" customWidth="1"/>
    <col min="11" max="13" width="5.33203125" style="29" customWidth="1"/>
    <col min="14" max="14" width="4.6640625" style="29" customWidth="1"/>
    <col min="15" max="16" width="10.5" style="29" customWidth="1"/>
    <col min="17" max="17" width="21.83203125" style="22" customWidth="1"/>
  </cols>
  <sheetData>
    <row r="1" spans="1:17" s="2" customFormat="1" ht="29" customHeight="1">
      <c r="A1" s="51" t="s">
        <v>425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4"/>
    </row>
    <row r="2" spans="1:17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  <row r="3" spans="1:17" s="1" customFormat="1" ht="12.75" customHeight="1">
      <c r="A3" s="59" t="s">
        <v>458</v>
      </c>
      <c r="B3" s="73" t="s">
        <v>0</v>
      </c>
      <c r="C3" s="61" t="s">
        <v>460</v>
      </c>
      <c r="D3" s="61" t="s">
        <v>6</v>
      </c>
      <c r="E3" s="63" t="s">
        <v>461</v>
      </c>
      <c r="F3" s="65" t="s">
        <v>5</v>
      </c>
      <c r="G3" s="65" t="s">
        <v>8</v>
      </c>
      <c r="H3" s="65"/>
      <c r="I3" s="65"/>
      <c r="J3" s="65"/>
      <c r="K3" s="65" t="s">
        <v>9</v>
      </c>
      <c r="L3" s="65"/>
      <c r="M3" s="65"/>
      <c r="N3" s="65"/>
      <c r="O3" s="63" t="s">
        <v>1</v>
      </c>
      <c r="P3" s="63" t="s">
        <v>3</v>
      </c>
      <c r="Q3" s="69" t="s">
        <v>2</v>
      </c>
    </row>
    <row r="4" spans="1:17" s="1" customFormat="1" ht="21" customHeight="1" thickBot="1">
      <c r="A4" s="60"/>
      <c r="B4" s="74"/>
      <c r="C4" s="62"/>
      <c r="D4" s="62"/>
      <c r="E4" s="64"/>
      <c r="F4" s="6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4"/>
      <c r="P4" s="64"/>
      <c r="Q4" s="70"/>
    </row>
    <row r="5" spans="1:17" s="3" customFormat="1" ht="16">
      <c r="A5" s="71" t="s">
        <v>121</v>
      </c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6"/>
      <c r="P5" s="6"/>
      <c r="Q5" s="5"/>
    </row>
    <row r="6" spans="1:17">
      <c r="A6" s="39">
        <v>1</v>
      </c>
      <c r="B6" s="34" t="s">
        <v>122</v>
      </c>
      <c r="C6" s="34" t="s">
        <v>123</v>
      </c>
      <c r="D6" s="34" t="s">
        <v>124</v>
      </c>
      <c r="E6" s="34" t="s">
        <v>462</v>
      </c>
      <c r="F6" s="34" t="s">
        <v>69</v>
      </c>
      <c r="G6" s="37" t="s">
        <v>91</v>
      </c>
      <c r="H6" s="37" t="s">
        <v>92</v>
      </c>
      <c r="I6" s="37" t="s">
        <v>71</v>
      </c>
      <c r="J6" s="39"/>
      <c r="K6" s="37" t="s">
        <v>80</v>
      </c>
      <c r="L6" s="37" t="s">
        <v>82</v>
      </c>
      <c r="M6" s="37" t="s">
        <v>100</v>
      </c>
      <c r="N6" s="39"/>
      <c r="O6" s="39" t="str">
        <f>"210,0"</f>
        <v>210,0</v>
      </c>
      <c r="P6" s="39" t="str">
        <f>"262,9620"</f>
        <v>262,9620</v>
      </c>
      <c r="Q6" s="34" t="s">
        <v>85</v>
      </c>
    </row>
    <row r="7" spans="1:17">
      <c r="A7" s="44">
        <v>2</v>
      </c>
      <c r="B7" s="36" t="s">
        <v>364</v>
      </c>
      <c r="C7" s="36" t="s">
        <v>365</v>
      </c>
      <c r="D7" s="36" t="s">
        <v>366</v>
      </c>
      <c r="E7" s="36" t="s">
        <v>462</v>
      </c>
      <c r="F7" s="36" t="s">
        <v>448</v>
      </c>
      <c r="G7" s="45" t="s">
        <v>48</v>
      </c>
      <c r="H7" s="45" t="s">
        <v>49</v>
      </c>
      <c r="I7" s="43" t="s">
        <v>135</v>
      </c>
      <c r="J7" s="44"/>
      <c r="K7" s="45" t="s">
        <v>73</v>
      </c>
      <c r="L7" s="45" t="s">
        <v>74</v>
      </c>
      <c r="M7" s="45" t="s">
        <v>150</v>
      </c>
      <c r="N7" s="44"/>
      <c r="O7" s="44" t="str">
        <f>"170,0"</f>
        <v>170,0</v>
      </c>
      <c r="P7" s="44" t="str">
        <f>"212,2450"</f>
        <v>212,2450</v>
      </c>
      <c r="Q7" s="36" t="s">
        <v>85</v>
      </c>
    </row>
    <row r="9" spans="1:17" ht="16">
      <c r="A9" s="66" t="s">
        <v>40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17">
      <c r="A10" s="39">
        <v>1</v>
      </c>
      <c r="B10" s="34" t="s">
        <v>137</v>
      </c>
      <c r="C10" s="34" t="s">
        <v>138</v>
      </c>
      <c r="D10" s="34" t="s">
        <v>139</v>
      </c>
      <c r="E10" s="34" t="s">
        <v>462</v>
      </c>
      <c r="F10" s="34" t="s">
        <v>140</v>
      </c>
      <c r="G10" s="37" t="s">
        <v>91</v>
      </c>
      <c r="H10" s="38" t="s">
        <v>92</v>
      </c>
      <c r="I10" s="37" t="s">
        <v>92</v>
      </c>
      <c r="J10" s="39"/>
      <c r="K10" s="37" t="s">
        <v>81</v>
      </c>
      <c r="L10" s="38" t="s">
        <v>108</v>
      </c>
      <c r="M10" s="38" t="s">
        <v>108</v>
      </c>
      <c r="N10" s="39"/>
      <c r="O10" s="39" t="str">
        <f>"195,0"</f>
        <v>195,0</v>
      </c>
      <c r="P10" s="39" t="str">
        <f>"231,0555"</f>
        <v>231,0555</v>
      </c>
      <c r="Q10" s="34"/>
    </row>
    <row r="11" spans="1:17">
      <c r="A11" s="44">
        <v>2</v>
      </c>
      <c r="B11" s="36" t="s">
        <v>41</v>
      </c>
      <c r="C11" s="36" t="s">
        <v>42</v>
      </c>
      <c r="D11" s="36" t="s">
        <v>43</v>
      </c>
      <c r="E11" s="36" t="s">
        <v>462</v>
      </c>
      <c r="F11" s="36" t="s">
        <v>449</v>
      </c>
      <c r="G11" s="45" t="s">
        <v>47</v>
      </c>
      <c r="H11" s="45" t="s">
        <v>48</v>
      </c>
      <c r="I11" s="43" t="s">
        <v>49</v>
      </c>
      <c r="J11" s="44"/>
      <c r="K11" s="45" t="s">
        <v>44</v>
      </c>
      <c r="L11" s="45" t="s">
        <v>45</v>
      </c>
      <c r="M11" s="43" t="s">
        <v>50</v>
      </c>
      <c r="N11" s="44"/>
      <c r="O11" s="44" t="str">
        <f>"150,0"</f>
        <v>150,0</v>
      </c>
      <c r="P11" s="44" t="str">
        <f>"176,4900"</f>
        <v>176,4900</v>
      </c>
      <c r="Q11" s="36" t="s">
        <v>51</v>
      </c>
    </row>
    <row r="13" spans="1:17" ht="16">
      <c r="A13" s="66" t="s">
        <v>53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7">
      <c r="A14" s="33">
        <v>1</v>
      </c>
      <c r="B14" s="21" t="s">
        <v>382</v>
      </c>
      <c r="C14" s="21" t="s">
        <v>383</v>
      </c>
      <c r="D14" s="21" t="s">
        <v>384</v>
      </c>
      <c r="E14" s="21" t="s">
        <v>462</v>
      </c>
      <c r="F14" s="21" t="s">
        <v>69</v>
      </c>
      <c r="G14" s="31" t="s">
        <v>130</v>
      </c>
      <c r="H14" s="32" t="s">
        <v>92</v>
      </c>
      <c r="I14" s="32" t="s">
        <v>92</v>
      </c>
      <c r="J14" s="33"/>
      <c r="K14" s="31" t="s">
        <v>50</v>
      </c>
      <c r="L14" s="31" t="s">
        <v>155</v>
      </c>
      <c r="M14" s="31" t="s">
        <v>81</v>
      </c>
      <c r="N14" s="33"/>
      <c r="O14" s="33" t="str">
        <f>"192,5"</f>
        <v>192,5</v>
      </c>
      <c r="P14" s="33" t="str">
        <f>"218,0063"</f>
        <v>218,0063</v>
      </c>
      <c r="Q14" s="21" t="s">
        <v>385</v>
      </c>
    </row>
    <row r="16" spans="1:17" ht="16">
      <c r="A16" s="66" t="s">
        <v>53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</row>
    <row r="17" spans="1:17">
      <c r="A17" s="39">
        <v>1</v>
      </c>
      <c r="B17" s="34" t="s">
        <v>168</v>
      </c>
      <c r="C17" s="34" t="s">
        <v>169</v>
      </c>
      <c r="D17" s="34" t="s">
        <v>79</v>
      </c>
      <c r="E17" s="34" t="s">
        <v>464</v>
      </c>
      <c r="F17" s="34" t="s">
        <v>69</v>
      </c>
      <c r="G17" s="38" t="s">
        <v>90</v>
      </c>
      <c r="H17" s="37" t="s">
        <v>90</v>
      </c>
      <c r="I17" s="37" t="s">
        <v>166</v>
      </c>
      <c r="J17" s="39"/>
      <c r="K17" s="37" t="s">
        <v>82</v>
      </c>
      <c r="L17" s="37" t="s">
        <v>109</v>
      </c>
      <c r="M17" s="37" t="s">
        <v>16</v>
      </c>
      <c r="N17" s="39"/>
      <c r="O17" s="39" t="str">
        <f>"237,5"</f>
        <v>237,5</v>
      </c>
      <c r="P17" s="39" t="str">
        <f>"202,5638"</f>
        <v>202,5638</v>
      </c>
      <c r="Q17" s="34" t="s">
        <v>85</v>
      </c>
    </row>
    <row r="18" spans="1:17">
      <c r="A18" s="44">
        <v>1</v>
      </c>
      <c r="B18" s="36" t="s">
        <v>277</v>
      </c>
      <c r="C18" s="36" t="s">
        <v>278</v>
      </c>
      <c r="D18" s="36" t="s">
        <v>279</v>
      </c>
      <c r="E18" s="36" t="s">
        <v>462</v>
      </c>
      <c r="F18" s="36" t="s">
        <v>115</v>
      </c>
      <c r="G18" s="45" t="s">
        <v>70</v>
      </c>
      <c r="H18" s="45" t="s">
        <v>64</v>
      </c>
      <c r="I18" s="43" t="s">
        <v>46</v>
      </c>
      <c r="J18" s="44"/>
      <c r="K18" s="45" t="s">
        <v>80</v>
      </c>
      <c r="L18" s="45" t="s">
        <v>109</v>
      </c>
      <c r="M18" s="45" t="s">
        <v>161</v>
      </c>
      <c r="N18" s="44"/>
      <c r="O18" s="44" t="str">
        <f>"252,5"</f>
        <v>252,5</v>
      </c>
      <c r="P18" s="44" t="str">
        <f>"218,0337"</f>
        <v>218,0337</v>
      </c>
      <c r="Q18" s="36" t="s">
        <v>280</v>
      </c>
    </row>
    <row r="20" spans="1:17" ht="16">
      <c r="A20" s="66" t="s">
        <v>156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</row>
    <row r="21" spans="1:17">
      <c r="A21" s="39">
        <v>1</v>
      </c>
      <c r="B21" s="34" t="s">
        <v>371</v>
      </c>
      <c r="C21" s="34" t="s">
        <v>372</v>
      </c>
      <c r="D21" s="34" t="s">
        <v>373</v>
      </c>
      <c r="E21" s="34" t="s">
        <v>462</v>
      </c>
      <c r="F21" s="34" t="s">
        <v>69</v>
      </c>
      <c r="G21" s="37" t="s">
        <v>64</v>
      </c>
      <c r="H21" s="37" t="s">
        <v>45</v>
      </c>
      <c r="I21" s="37" t="s">
        <v>73</v>
      </c>
      <c r="J21" s="39"/>
      <c r="K21" s="37" t="s">
        <v>84</v>
      </c>
      <c r="L21" s="37" t="s">
        <v>177</v>
      </c>
      <c r="M21" s="37" t="s">
        <v>107</v>
      </c>
      <c r="N21" s="39"/>
      <c r="O21" s="39" t="str">
        <f>"305,0"</f>
        <v>305,0</v>
      </c>
      <c r="P21" s="39" t="str">
        <f>"223,1075"</f>
        <v>223,1075</v>
      </c>
      <c r="Q21" s="34" t="s">
        <v>210</v>
      </c>
    </row>
    <row r="22" spans="1:17">
      <c r="A22" s="44">
        <v>2</v>
      </c>
      <c r="B22" s="36" t="s">
        <v>288</v>
      </c>
      <c r="C22" s="36" t="s">
        <v>289</v>
      </c>
      <c r="D22" s="36" t="s">
        <v>290</v>
      </c>
      <c r="E22" s="36" t="s">
        <v>462</v>
      </c>
      <c r="F22" s="36" t="s">
        <v>115</v>
      </c>
      <c r="G22" s="45" t="s">
        <v>166</v>
      </c>
      <c r="H22" s="45" t="s">
        <v>129</v>
      </c>
      <c r="I22" s="43" t="s">
        <v>64</v>
      </c>
      <c r="J22" s="44"/>
      <c r="K22" s="45" t="s">
        <v>177</v>
      </c>
      <c r="L22" s="45" t="s">
        <v>107</v>
      </c>
      <c r="M22" s="43" t="s">
        <v>291</v>
      </c>
      <c r="N22" s="44"/>
      <c r="O22" s="44" t="str">
        <f>"287,5"</f>
        <v>287,5</v>
      </c>
      <c r="P22" s="44" t="str">
        <f>"209,6738"</f>
        <v>209,6738</v>
      </c>
      <c r="Q22" s="36" t="s">
        <v>280</v>
      </c>
    </row>
    <row r="24" spans="1:17" ht="16">
      <c r="A24" s="66" t="s">
        <v>65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</row>
    <row r="25" spans="1:17">
      <c r="A25" s="33">
        <v>1</v>
      </c>
      <c r="B25" s="21" t="s">
        <v>180</v>
      </c>
      <c r="C25" s="21" t="s">
        <v>181</v>
      </c>
      <c r="D25" s="21" t="s">
        <v>182</v>
      </c>
      <c r="E25" s="21" t="s">
        <v>462</v>
      </c>
      <c r="F25" s="21" t="s">
        <v>69</v>
      </c>
      <c r="G25" s="31" t="s">
        <v>45</v>
      </c>
      <c r="H25" s="32" t="s">
        <v>73</v>
      </c>
      <c r="I25" s="31" t="s">
        <v>73</v>
      </c>
      <c r="J25" s="33"/>
      <c r="K25" s="31" t="s">
        <v>84</v>
      </c>
      <c r="L25" s="32" t="s">
        <v>118</v>
      </c>
      <c r="M25" s="32" t="s">
        <v>118</v>
      </c>
      <c r="N25" s="33"/>
      <c r="O25" s="33" t="str">
        <f>"285,0"</f>
        <v>285,0</v>
      </c>
      <c r="P25" s="33" t="str">
        <f>"193,0590"</f>
        <v>193,0590</v>
      </c>
      <c r="Q25" s="21" t="s">
        <v>451</v>
      </c>
    </row>
    <row r="27" spans="1:17" ht="16">
      <c r="A27" s="66" t="s">
        <v>211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7">
      <c r="A28" s="33">
        <v>1</v>
      </c>
      <c r="B28" s="21" t="s">
        <v>216</v>
      </c>
      <c r="C28" s="21" t="s">
        <v>217</v>
      </c>
      <c r="D28" s="21" t="s">
        <v>218</v>
      </c>
      <c r="E28" s="21" t="s">
        <v>462</v>
      </c>
      <c r="F28" s="21" t="s">
        <v>187</v>
      </c>
      <c r="G28" s="31" t="s">
        <v>80</v>
      </c>
      <c r="H28" s="31" t="s">
        <v>82</v>
      </c>
      <c r="I28" s="32" t="s">
        <v>109</v>
      </c>
      <c r="J28" s="33"/>
      <c r="K28" s="31" t="s">
        <v>102</v>
      </c>
      <c r="L28" s="31" t="s">
        <v>19</v>
      </c>
      <c r="M28" s="31" t="s">
        <v>20</v>
      </c>
      <c r="N28" s="33"/>
      <c r="O28" s="33" t="str">
        <f>"385,0"</f>
        <v>385,0</v>
      </c>
      <c r="P28" s="33" t="str">
        <f>"235,6585"</f>
        <v>235,6585</v>
      </c>
      <c r="Q28" s="21"/>
    </row>
    <row r="30" spans="1:17" ht="16">
      <c r="A30" s="66" t="s">
        <v>111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</row>
    <row r="31" spans="1:17">
      <c r="A31" s="33">
        <v>1</v>
      </c>
      <c r="B31" s="21" t="s">
        <v>219</v>
      </c>
      <c r="C31" s="21" t="s">
        <v>220</v>
      </c>
      <c r="D31" s="21" t="s">
        <v>221</v>
      </c>
      <c r="E31" s="21" t="s">
        <v>462</v>
      </c>
      <c r="F31" s="21" t="s">
        <v>115</v>
      </c>
      <c r="G31" s="31" t="s">
        <v>29</v>
      </c>
      <c r="H31" s="32" t="s">
        <v>30</v>
      </c>
      <c r="I31" s="33"/>
      <c r="J31" s="33"/>
      <c r="K31" s="31" t="s">
        <v>222</v>
      </c>
      <c r="L31" s="31" t="s">
        <v>223</v>
      </c>
      <c r="M31" s="31" t="s">
        <v>27</v>
      </c>
      <c r="N31" s="33"/>
      <c r="O31" s="33" t="str">
        <f>"427,5"</f>
        <v>427,5</v>
      </c>
      <c r="P31" s="33" t="str">
        <f>"244,5300"</f>
        <v>244,5300</v>
      </c>
      <c r="Q31" s="21" t="s">
        <v>85</v>
      </c>
    </row>
    <row r="33" spans="7:7">
      <c r="G33" s="22"/>
    </row>
  </sheetData>
  <mergeCells count="20">
    <mergeCell ref="A30:N30"/>
    <mergeCell ref="B3:B4"/>
    <mergeCell ref="A9:N9"/>
    <mergeCell ref="A13:N13"/>
    <mergeCell ref="A16:N16"/>
    <mergeCell ref="A20:N20"/>
    <mergeCell ref="A24:N24"/>
    <mergeCell ref="A27:N27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0CA06-62DA-4B72-A57E-561266C2A437}">
  <dimension ref="A1:Q12"/>
  <sheetViews>
    <sheetView workbookViewId="0">
      <selection activeCell="E13" sqref="E13"/>
    </sheetView>
  </sheetViews>
  <sheetFormatPr baseColWidth="10" defaultColWidth="8.83203125" defaultRowHeight="13"/>
  <cols>
    <col min="1" max="1" width="7.1640625" style="22" bestFit="1" customWidth="1"/>
    <col min="2" max="2" width="19.33203125" style="22" customWidth="1"/>
    <col min="3" max="3" width="25.1640625" style="22" bestFit="1" customWidth="1"/>
    <col min="4" max="4" width="21.5" style="22" bestFit="1" customWidth="1"/>
    <col min="5" max="5" width="10.33203125" style="22" bestFit="1" customWidth="1"/>
    <col min="6" max="6" width="32" style="22" bestFit="1" customWidth="1"/>
    <col min="7" max="9" width="5.33203125" style="29" customWidth="1"/>
    <col min="10" max="10" width="4.6640625" style="29" customWidth="1"/>
    <col min="11" max="13" width="5.33203125" style="29" customWidth="1"/>
    <col min="14" max="14" width="4.6640625" style="29" customWidth="1"/>
    <col min="15" max="15" width="8.1640625" style="29" bestFit="1" customWidth="1"/>
    <col min="16" max="16" width="8.33203125" style="29" bestFit="1" customWidth="1"/>
    <col min="17" max="17" width="21.6640625" style="22" customWidth="1"/>
  </cols>
  <sheetData>
    <row r="1" spans="1:17" s="2" customFormat="1" ht="29" customHeight="1">
      <c r="A1" s="51" t="s">
        <v>426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4"/>
    </row>
    <row r="2" spans="1:17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  <row r="3" spans="1:17" s="1" customFormat="1" ht="12.75" customHeight="1">
      <c r="A3" s="59" t="s">
        <v>458</v>
      </c>
      <c r="B3" s="73" t="s">
        <v>0</v>
      </c>
      <c r="C3" s="61" t="s">
        <v>460</v>
      </c>
      <c r="D3" s="61" t="s">
        <v>6</v>
      </c>
      <c r="E3" s="63" t="s">
        <v>461</v>
      </c>
      <c r="F3" s="65" t="s">
        <v>5</v>
      </c>
      <c r="G3" s="65" t="s">
        <v>8</v>
      </c>
      <c r="H3" s="65"/>
      <c r="I3" s="65"/>
      <c r="J3" s="65"/>
      <c r="K3" s="65" t="s">
        <v>9</v>
      </c>
      <c r="L3" s="65"/>
      <c r="M3" s="65"/>
      <c r="N3" s="65"/>
      <c r="O3" s="63" t="s">
        <v>1</v>
      </c>
      <c r="P3" s="63" t="s">
        <v>3</v>
      </c>
      <c r="Q3" s="69" t="s">
        <v>2</v>
      </c>
    </row>
    <row r="4" spans="1:17" s="1" customFormat="1" ht="21" customHeight="1" thickBot="1">
      <c r="A4" s="60"/>
      <c r="B4" s="74"/>
      <c r="C4" s="62"/>
      <c r="D4" s="62"/>
      <c r="E4" s="64"/>
      <c r="F4" s="6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4"/>
      <c r="P4" s="64"/>
      <c r="Q4" s="70"/>
    </row>
    <row r="5" spans="1:17" s="3" customFormat="1" ht="16">
      <c r="A5" s="71" t="s">
        <v>40</v>
      </c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6"/>
      <c r="P5" s="6"/>
      <c r="Q5" s="5"/>
    </row>
    <row r="6" spans="1:17">
      <c r="A6" s="33">
        <v>1</v>
      </c>
      <c r="B6" s="21" t="s">
        <v>249</v>
      </c>
      <c r="C6" s="21" t="s">
        <v>250</v>
      </c>
      <c r="D6" s="21" t="s">
        <v>43</v>
      </c>
      <c r="E6" s="21" t="s">
        <v>462</v>
      </c>
      <c r="F6" s="21" t="s">
        <v>57</v>
      </c>
      <c r="G6" s="31" t="s">
        <v>61</v>
      </c>
      <c r="H6" s="31" t="s">
        <v>251</v>
      </c>
      <c r="I6" s="31" t="s">
        <v>252</v>
      </c>
      <c r="J6" s="33"/>
      <c r="K6" s="31" t="s">
        <v>90</v>
      </c>
      <c r="L6" s="31" t="s">
        <v>70</v>
      </c>
      <c r="M6" s="31" t="s">
        <v>64</v>
      </c>
      <c r="N6" s="33"/>
      <c r="O6" s="33" t="str">
        <f>"147,5"</f>
        <v>147,5</v>
      </c>
      <c r="P6" s="33" t="str">
        <f>"173,5485"</f>
        <v>173,5485</v>
      </c>
      <c r="Q6" s="21" t="s">
        <v>253</v>
      </c>
    </row>
    <row r="8" spans="1:17" ht="16">
      <c r="A8" s="66" t="s">
        <v>10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</row>
    <row r="9" spans="1:17">
      <c r="A9" s="33">
        <v>1</v>
      </c>
      <c r="B9" s="21" t="s">
        <v>11</v>
      </c>
      <c r="C9" s="21" t="s">
        <v>12</v>
      </c>
      <c r="D9" s="21" t="s">
        <v>13</v>
      </c>
      <c r="E9" s="21" t="s">
        <v>462</v>
      </c>
      <c r="F9" s="21" t="s">
        <v>449</v>
      </c>
      <c r="G9" s="32" t="s">
        <v>16</v>
      </c>
      <c r="H9" s="31" t="s">
        <v>17</v>
      </c>
      <c r="I9" s="31" t="s">
        <v>18</v>
      </c>
      <c r="J9" s="33"/>
      <c r="K9" s="31" t="s">
        <v>19</v>
      </c>
      <c r="L9" s="31" t="s">
        <v>20</v>
      </c>
      <c r="M9" s="32" t="s">
        <v>21</v>
      </c>
      <c r="N9" s="33"/>
      <c r="O9" s="33" t="str">
        <f>"410,0"</f>
        <v>410,0</v>
      </c>
      <c r="P9" s="33" t="str">
        <f>"262,4820"</f>
        <v>262,4820</v>
      </c>
      <c r="Q9" s="21" t="s">
        <v>22</v>
      </c>
    </row>
    <row r="11" spans="1:17" ht="16">
      <c r="A11" s="66" t="s">
        <v>111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7">
      <c r="A12" s="33">
        <v>1</v>
      </c>
      <c r="B12" s="21" t="s">
        <v>112</v>
      </c>
      <c r="C12" s="21" t="s">
        <v>113</v>
      </c>
      <c r="D12" s="21" t="s">
        <v>114</v>
      </c>
      <c r="E12" s="21" t="s">
        <v>462</v>
      </c>
      <c r="F12" s="21" t="s">
        <v>115</v>
      </c>
      <c r="G12" s="31" t="s">
        <v>117</v>
      </c>
      <c r="H12" s="31" t="s">
        <v>118</v>
      </c>
      <c r="I12" s="32" t="s">
        <v>107</v>
      </c>
      <c r="J12" s="33"/>
      <c r="K12" s="31" t="s">
        <v>119</v>
      </c>
      <c r="L12" s="31" t="s">
        <v>120</v>
      </c>
      <c r="M12" s="33"/>
      <c r="N12" s="33"/>
      <c r="O12" s="33" t="str">
        <f>"470,0"</f>
        <v>470,0</v>
      </c>
      <c r="P12" s="33" t="str">
        <f>"269,1690"</f>
        <v>269,1690</v>
      </c>
      <c r="Q12" s="21" t="s">
        <v>85</v>
      </c>
    </row>
  </sheetData>
  <mergeCells count="15">
    <mergeCell ref="A8:N8"/>
    <mergeCell ref="A11:N11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BE303-AAF3-440D-81F3-3EF62E2BC797}">
  <dimension ref="A1:M52"/>
  <sheetViews>
    <sheetView topLeftCell="A15" workbookViewId="0">
      <selection activeCell="E43" sqref="E43"/>
    </sheetView>
  </sheetViews>
  <sheetFormatPr baseColWidth="10" defaultColWidth="8.83203125" defaultRowHeight="13"/>
  <cols>
    <col min="1" max="1" width="7.1640625" style="22" bestFit="1" customWidth="1"/>
    <col min="2" max="2" width="22.6640625" style="22" bestFit="1" customWidth="1"/>
    <col min="3" max="3" width="27" style="22" bestFit="1" customWidth="1"/>
    <col min="4" max="4" width="21.5" style="22" bestFit="1" customWidth="1"/>
    <col min="5" max="5" width="10.33203125" style="22" bestFit="1" customWidth="1"/>
    <col min="6" max="6" width="43.1640625" style="22" bestFit="1" customWidth="1"/>
    <col min="7" max="7" width="5.5" style="29" customWidth="1"/>
    <col min="8" max="9" width="5.33203125" style="29" customWidth="1"/>
    <col min="10" max="10" width="4.6640625" style="29" customWidth="1"/>
    <col min="11" max="11" width="11.5" style="30" bestFit="1" customWidth="1"/>
    <col min="12" max="12" width="10.1640625" style="29" customWidth="1"/>
    <col min="13" max="13" width="21.1640625" style="22" customWidth="1"/>
  </cols>
  <sheetData>
    <row r="1" spans="1:13" s="2" customFormat="1" ht="29" customHeight="1">
      <c r="A1" s="51" t="s">
        <v>433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458</v>
      </c>
      <c r="B3" s="73" t="s">
        <v>0</v>
      </c>
      <c r="C3" s="61" t="s">
        <v>460</v>
      </c>
      <c r="D3" s="61" t="s">
        <v>6</v>
      </c>
      <c r="E3" s="63" t="s">
        <v>461</v>
      </c>
      <c r="F3" s="65" t="s">
        <v>5</v>
      </c>
      <c r="G3" s="65" t="s">
        <v>8</v>
      </c>
      <c r="H3" s="65"/>
      <c r="I3" s="65"/>
      <c r="J3" s="65"/>
      <c r="K3" s="67" t="s">
        <v>248</v>
      </c>
      <c r="L3" s="63" t="s">
        <v>3</v>
      </c>
      <c r="M3" s="69" t="s">
        <v>2</v>
      </c>
    </row>
    <row r="4" spans="1:13" s="1" customFormat="1" ht="21" customHeight="1" thickBot="1">
      <c r="A4" s="60"/>
      <c r="B4" s="74"/>
      <c r="C4" s="62"/>
      <c r="D4" s="62"/>
      <c r="E4" s="64"/>
      <c r="F4" s="62"/>
      <c r="G4" s="4">
        <v>1</v>
      </c>
      <c r="H4" s="4">
        <v>2</v>
      </c>
      <c r="I4" s="4">
        <v>3</v>
      </c>
      <c r="J4" s="4" t="s">
        <v>4</v>
      </c>
      <c r="K4" s="68"/>
      <c r="L4" s="64"/>
      <c r="M4" s="70"/>
    </row>
    <row r="5" spans="1:13" s="3" customFormat="1" ht="16">
      <c r="A5" s="71" t="s">
        <v>121</v>
      </c>
      <c r="B5" s="71"/>
      <c r="C5" s="72"/>
      <c r="D5" s="72"/>
      <c r="E5" s="72"/>
      <c r="F5" s="72"/>
      <c r="G5" s="72"/>
      <c r="H5" s="72"/>
      <c r="I5" s="72"/>
      <c r="J5" s="72"/>
      <c r="K5" s="47"/>
      <c r="L5" s="6"/>
      <c r="M5" s="5"/>
    </row>
    <row r="6" spans="1:13">
      <c r="A6" s="39">
        <v>1</v>
      </c>
      <c r="B6" s="34" t="s">
        <v>125</v>
      </c>
      <c r="C6" s="34" t="s">
        <v>276</v>
      </c>
      <c r="D6" s="34" t="s">
        <v>127</v>
      </c>
      <c r="E6" s="34" t="s">
        <v>465</v>
      </c>
      <c r="F6" s="34" t="s">
        <v>128</v>
      </c>
      <c r="G6" s="37" t="s">
        <v>49</v>
      </c>
      <c r="H6" s="37" t="s">
        <v>91</v>
      </c>
      <c r="I6" s="37" t="s">
        <v>130</v>
      </c>
      <c r="J6" s="39"/>
      <c r="K6" s="48" t="str">
        <f>"57,5"</f>
        <v>57,5</v>
      </c>
      <c r="L6" s="39" t="str">
        <f>"72,7605"</f>
        <v>72,7605</v>
      </c>
      <c r="M6" s="34" t="s">
        <v>85</v>
      </c>
    </row>
    <row r="7" spans="1:13">
      <c r="A7" s="44">
        <v>1</v>
      </c>
      <c r="B7" s="36" t="s">
        <v>122</v>
      </c>
      <c r="C7" s="36" t="s">
        <v>123</v>
      </c>
      <c r="D7" s="36" t="s">
        <v>124</v>
      </c>
      <c r="E7" s="36" t="s">
        <v>462</v>
      </c>
      <c r="F7" s="36" t="s">
        <v>69</v>
      </c>
      <c r="G7" s="45" t="s">
        <v>91</v>
      </c>
      <c r="H7" s="45" t="s">
        <v>92</v>
      </c>
      <c r="I7" s="45" t="s">
        <v>71</v>
      </c>
      <c r="J7" s="44"/>
      <c r="K7" s="49" t="str">
        <f>"62,5"</f>
        <v>62,5</v>
      </c>
      <c r="L7" s="44" t="str">
        <f>"78,2625"</f>
        <v>78,2625</v>
      </c>
      <c r="M7" s="36" t="s">
        <v>85</v>
      </c>
    </row>
    <row r="9" spans="1:13" ht="16">
      <c r="A9" s="66" t="s">
        <v>53</v>
      </c>
      <c r="B9" s="66"/>
      <c r="C9" s="66"/>
      <c r="D9" s="66"/>
      <c r="E9" s="66"/>
      <c r="F9" s="66"/>
      <c r="G9" s="66"/>
      <c r="H9" s="66"/>
      <c r="I9" s="66"/>
      <c r="J9" s="66"/>
    </row>
    <row r="10" spans="1:13">
      <c r="A10" s="33">
        <v>1</v>
      </c>
      <c r="B10" s="21" t="s">
        <v>277</v>
      </c>
      <c r="C10" s="21" t="s">
        <v>278</v>
      </c>
      <c r="D10" s="21" t="s">
        <v>279</v>
      </c>
      <c r="E10" s="21" t="s">
        <v>462</v>
      </c>
      <c r="F10" s="21" t="s">
        <v>115</v>
      </c>
      <c r="G10" s="31" t="s">
        <v>70</v>
      </c>
      <c r="H10" s="31" t="s">
        <v>64</v>
      </c>
      <c r="I10" s="32" t="s">
        <v>46</v>
      </c>
      <c r="J10" s="33"/>
      <c r="K10" s="46" t="str">
        <f>"100,0"</f>
        <v>100,0</v>
      </c>
      <c r="L10" s="33" t="str">
        <f>"86,3500"</f>
        <v>86,3500</v>
      </c>
      <c r="M10" s="21" t="s">
        <v>280</v>
      </c>
    </row>
    <row r="12" spans="1:13" ht="16">
      <c r="A12" s="66" t="s">
        <v>86</v>
      </c>
      <c r="B12" s="66"/>
      <c r="C12" s="66"/>
      <c r="D12" s="66"/>
      <c r="E12" s="66"/>
      <c r="F12" s="66"/>
      <c r="G12" s="66"/>
      <c r="H12" s="66"/>
      <c r="I12" s="66"/>
      <c r="J12" s="66"/>
    </row>
    <row r="13" spans="1:13">
      <c r="A13" s="33">
        <v>1</v>
      </c>
      <c r="B13" s="21" t="s">
        <v>281</v>
      </c>
      <c r="C13" s="21" t="s">
        <v>282</v>
      </c>
      <c r="D13" s="21" t="s">
        <v>143</v>
      </c>
      <c r="E13" s="21" t="s">
        <v>462</v>
      </c>
      <c r="F13" s="21" t="s">
        <v>69</v>
      </c>
      <c r="G13" s="31" t="s">
        <v>73</v>
      </c>
      <c r="H13" s="31" t="s">
        <v>150</v>
      </c>
      <c r="I13" s="32" t="s">
        <v>155</v>
      </c>
      <c r="J13" s="33"/>
      <c r="K13" s="46" t="str">
        <f>"120,0"</f>
        <v>120,0</v>
      </c>
      <c r="L13" s="33" t="str">
        <f>"93,9840"</f>
        <v>93,9840</v>
      </c>
      <c r="M13" s="21"/>
    </row>
    <row r="15" spans="1:13" ht="16">
      <c r="A15" s="66" t="s">
        <v>156</v>
      </c>
      <c r="B15" s="66"/>
      <c r="C15" s="66"/>
      <c r="D15" s="66"/>
      <c r="E15" s="66"/>
      <c r="F15" s="66"/>
      <c r="G15" s="66"/>
      <c r="H15" s="66"/>
      <c r="I15" s="66"/>
      <c r="J15" s="66"/>
    </row>
    <row r="16" spans="1:13">
      <c r="A16" s="39">
        <v>1</v>
      </c>
      <c r="B16" s="34" t="s">
        <v>283</v>
      </c>
      <c r="C16" s="34" t="s">
        <v>284</v>
      </c>
      <c r="D16" s="34" t="s">
        <v>285</v>
      </c>
      <c r="E16" s="34" t="s">
        <v>465</v>
      </c>
      <c r="F16" s="34" t="s">
        <v>286</v>
      </c>
      <c r="G16" s="37" t="s">
        <v>80</v>
      </c>
      <c r="H16" s="37" t="s">
        <v>81</v>
      </c>
      <c r="I16" s="37" t="s">
        <v>197</v>
      </c>
      <c r="J16" s="39"/>
      <c r="K16" s="48" t="str">
        <f>"137,5"</f>
        <v>137,5</v>
      </c>
      <c r="L16" s="39" t="str">
        <f>"97,9825"</f>
        <v>97,9825</v>
      </c>
      <c r="M16" s="34" t="s">
        <v>287</v>
      </c>
    </row>
    <row r="17" spans="1:13">
      <c r="A17" s="44">
        <v>1</v>
      </c>
      <c r="B17" s="36" t="s">
        <v>288</v>
      </c>
      <c r="C17" s="36" t="s">
        <v>289</v>
      </c>
      <c r="D17" s="36" t="s">
        <v>290</v>
      </c>
      <c r="E17" s="36" t="s">
        <v>462</v>
      </c>
      <c r="F17" s="36" t="s">
        <v>115</v>
      </c>
      <c r="G17" s="45" t="s">
        <v>166</v>
      </c>
      <c r="H17" s="45" t="s">
        <v>129</v>
      </c>
      <c r="I17" s="43" t="s">
        <v>64</v>
      </c>
      <c r="J17" s="44"/>
      <c r="K17" s="49" t="str">
        <f>"92,5"</f>
        <v>92,5</v>
      </c>
      <c r="L17" s="44" t="str">
        <f>"67,4603"</f>
        <v>67,4603</v>
      </c>
      <c r="M17" s="36" t="s">
        <v>280</v>
      </c>
    </row>
    <row r="19" spans="1:13" ht="16">
      <c r="A19" s="66" t="s">
        <v>65</v>
      </c>
      <c r="B19" s="66"/>
      <c r="C19" s="66"/>
      <c r="D19" s="66"/>
      <c r="E19" s="66"/>
      <c r="F19" s="66"/>
      <c r="G19" s="66"/>
      <c r="H19" s="66"/>
      <c r="I19" s="66"/>
      <c r="J19" s="66"/>
    </row>
    <row r="20" spans="1:13">
      <c r="A20" s="39">
        <v>1</v>
      </c>
      <c r="B20" s="34" t="s">
        <v>292</v>
      </c>
      <c r="C20" s="34" t="s">
        <v>293</v>
      </c>
      <c r="D20" s="34" t="s">
        <v>294</v>
      </c>
      <c r="E20" s="34" t="s">
        <v>465</v>
      </c>
      <c r="F20" s="34" t="s">
        <v>69</v>
      </c>
      <c r="G20" s="37" t="s">
        <v>73</v>
      </c>
      <c r="H20" s="37" t="s">
        <v>46</v>
      </c>
      <c r="I20" s="38" t="s">
        <v>50</v>
      </c>
      <c r="J20" s="39"/>
      <c r="K20" s="48" t="str">
        <f>"112,5"</f>
        <v>112,5</v>
      </c>
      <c r="L20" s="39" t="str">
        <f>"76,1513"</f>
        <v>76,1513</v>
      </c>
      <c r="M20" s="34" t="s">
        <v>295</v>
      </c>
    </row>
    <row r="21" spans="1:13">
      <c r="A21" s="41">
        <v>1</v>
      </c>
      <c r="B21" s="35" t="s">
        <v>296</v>
      </c>
      <c r="C21" s="35" t="s">
        <v>297</v>
      </c>
      <c r="D21" s="35" t="s">
        <v>294</v>
      </c>
      <c r="E21" s="35" t="s">
        <v>462</v>
      </c>
      <c r="F21" s="35" t="s">
        <v>187</v>
      </c>
      <c r="G21" s="40" t="s">
        <v>73</v>
      </c>
      <c r="H21" s="40" t="s">
        <v>150</v>
      </c>
      <c r="I21" s="42" t="s">
        <v>195</v>
      </c>
      <c r="J21" s="41"/>
      <c r="K21" s="50" t="str">
        <f>"120,0"</f>
        <v>120,0</v>
      </c>
      <c r="L21" s="41" t="str">
        <f>"81,2280"</f>
        <v>81,2280</v>
      </c>
      <c r="M21" s="35" t="s">
        <v>419</v>
      </c>
    </row>
    <row r="22" spans="1:13">
      <c r="A22" s="44" t="s">
        <v>235</v>
      </c>
      <c r="B22" s="36" t="s">
        <v>298</v>
      </c>
      <c r="C22" s="36" t="s">
        <v>299</v>
      </c>
      <c r="D22" s="36" t="s">
        <v>96</v>
      </c>
      <c r="E22" s="36" t="s">
        <v>462</v>
      </c>
      <c r="F22" s="36" t="s">
        <v>300</v>
      </c>
      <c r="G22" s="43" t="s">
        <v>108</v>
      </c>
      <c r="H22" s="43" t="s">
        <v>17</v>
      </c>
      <c r="I22" s="43" t="s">
        <v>17</v>
      </c>
      <c r="J22" s="44"/>
      <c r="K22" s="49">
        <v>0</v>
      </c>
      <c r="L22" s="44" t="str">
        <f>"0,0000"</f>
        <v>0,0000</v>
      </c>
      <c r="M22" s="36"/>
    </row>
    <row r="24" spans="1:13" ht="16">
      <c r="A24" s="66" t="s">
        <v>10</v>
      </c>
      <c r="B24" s="66"/>
      <c r="C24" s="66"/>
      <c r="D24" s="66"/>
      <c r="E24" s="66"/>
      <c r="F24" s="66"/>
      <c r="G24" s="66"/>
      <c r="H24" s="66"/>
      <c r="I24" s="66"/>
      <c r="J24" s="66"/>
    </row>
    <row r="25" spans="1:13">
      <c r="A25" s="39">
        <v>1</v>
      </c>
      <c r="B25" s="34" t="s">
        <v>301</v>
      </c>
      <c r="C25" s="34" t="s">
        <v>302</v>
      </c>
      <c r="D25" s="34" t="s">
        <v>303</v>
      </c>
      <c r="E25" s="34" t="s">
        <v>462</v>
      </c>
      <c r="F25" s="34" t="s">
        <v>69</v>
      </c>
      <c r="G25" s="37" t="s">
        <v>161</v>
      </c>
      <c r="H25" s="37" t="s">
        <v>17</v>
      </c>
      <c r="I25" s="38" t="s">
        <v>18</v>
      </c>
      <c r="J25" s="39"/>
      <c r="K25" s="48" t="str">
        <f>"160,0"</f>
        <v>160,0</v>
      </c>
      <c r="L25" s="39" t="str">
        <f>"102,2080"</f>
        <v>102,2080</v>
      </c>
      <c r="M25" s="34" t="s">
        <v>304</v>
      </c>
    </row>
    <row r="26" spans="1:13">
      <c r="A26" s="41">
        <v>2</v>
      </c>
      <c r="B26" s="35" t="s">
        <v>305</v>
      </c>
      <c r="C26" s="35" t="s">
        <v>306</v>
      </c>
      <c r="D26" s="35" t="s">
        <v>25</v>
      </c>
      <c r="E26" s="35" t="s">
        <v>462</v>
      </c>
      <c r="F26" s="35" t="s">
        <v>447</v>
      </c>
      <c r="G26" s="40" t="s">
        <v>109</v>
      </c>
      <c r="H26" s="40" t="s">
        <v>271</v>
      </c>
      <c r="I26" s="42" t="s">
        <v>29</v>
      </c>
      <c r="J26" s="41"/>
      <c r="K26" s="50" t="str">
        <f>"157,5"</f>
        <v>157,5</v>
      </c>
      <c r="L26" s="41" t="str">
        <f>"100,5480"</f>
        <v>100,5480</v>
      </c>
      <c r="M26" s="35" t="s">
        <v>228</v>
      </c>
    </row>
    <row r="27" spans="1:13">
      <c r="A27" s="44">
        <v>3</v>
      </c>
      <c r="B27" s="36" t="s">
        <v>201</v>
      </c>
      <c r="C27" s="36" t="s">
        <v>202</v>
      </c>
      <c r="D27" s="36" t="s">
        <v>203</v>
      </c>
      <c r="E27" s="36" t="s">
        <v>462</v>
      </c>
      <c r="F27" s="36" t="s">
        <v>187</v>
      </c>
      <c r="G27" s="45" t="s">
        <v>82</v>
      </c>
      <c r="H27" s="43" t="s">
        <v>161</v>
      </c>
      <c r="I27" s="43" t="s">
        <v>161</v>
      </c>
      <c r="J27" s="44"/>
      <c r="K27" s="49" t="str">
        <f>"140,0"</f>
        <v>140,0</v>
      </c>
      <c r="L27" s="44" t="str">
        <f>"90,5380"</f>
        <v>90,5380</v>
      </c>
      <c r="M27" s="36"/>
    </row>
    <row r="29" spans="1:13" ht="16">
      <c r="A29" s="66" t="s">
        <v>211</v>
      </c>
      <c r="B29" s="66"/>
      <c r="C29" s="66"/>
      <c r="D29" s="66"/>
      <c r="E29" s="66"/>
      <c r="F29" s="66"/>
      <c r="G29" s="66"/>
      <c r="H29" s="66"/>
      <c r="I29" s="66"/>
      <c r="J29" s="66"/>
    </row>
    <row r="30" spans="1:13">
      <c r="A30" s="39">
        <v>1</v>
      </c>
      <c r="B30" s="34" t="s">
        <v>307</v>
      </c>
      <c r="C30" s="34" t="s">
        <v>308</v>
      </c>
      <c r="D30" s="34" t="s">
        <v>309</v>
      </c>
      <c r="E30" s="34" t="s">
        <v>462</v>
      </c>
      <c r="F30" s="34" t="s">
        <v>69</v>
      </c>
      <c r="G30" s="37" t="s">
        <v>161</v>
      </c>
      <c r="H30" s="38" t="s">
        <v>271</v>
      </c>
      <c r="I30" s="37" t="s">
        <v>29</v>
      </c>
      <c r="J30" s="39"/>
      <c r="K30" s="48" t="str">
        <f>"162,5"</f>
        <v>162,5</v>
      </c>
      <c r="L30" s="39" t="str">
        <f>"100,2950"</f>
        <v>100,2950</v>
      </c>
      <c r="M30" s="34"/>
    </row>
    <row r="31" spans="1:13">
      <c r="A31" s="41">
        <v>2</v>
      </c>
      <c r="B31" s="35" t="s">
        <v>212</v>
      </c>
      <c r="C31" s="35" t="s">
        <v>213</v>
      </c>
      <c r="D31" s="35" t="s">
        <v>214</v>
      </c>
      <c r="E31" s="35" t="s">
        <v>462</v>
      </c>
      <c r="F31" s="35" t="s">
        <v>453</v>
      </c>
      <c r="G31" s="40" t="s">
        <v>109</v>
      </c>
      <c r="H31" s="40" t="s">
        <v>17</v>
      </c>
      <c r="I31" s="42" t="s">
        <v>29</v>
      </c>
      <c r="J31" s="41"/>
      <c r="K31" s="50" t="str">
        <f>"160,0"</f>
        <v>160,0</v>
      </c>
      <c r="L31" s="41" t="str">
        <f>"98,5760"</f>
        <v>98,5760</v>
      </c>
      <c r="M31" s="35" t="s">
        <v>215</v>
      </c>
    </row>
    <row r="32" spans="1:13">
      <c r="A32" s="41">
        <v>3</v>
      </c>
      <c r="B32" s="35" t="s">
        <v>310</v>
      </c>
      <c r="C32" s="35" t="s">
        <v>311</v>
      </c>
      <c r="D32" s="35" t="s">
        <v>312</v>
      </c>
      <c r="E32" s="35" t="s">
        <v>462</v>
      </c>
      <c r="F32" s="35" t="s">
        <v>454</v>
      </c>
      <c r="G32" s="42" t="s">
        <v>82</v>
      </c>
      <c r="H32" s="40" t="s">
        <v>82</v>
      </c>
      <c r="I32" s="40" t="s">
        <v>161</v>
      </c>
      <c r="J32" s="41"/>
      <c r="K32" s="50" t="str">
        <f>"152,5"</f>
        <v>152,5</v>
      </c>
      <c r="L32" s="41" t="str">
        <f>"95,3735"</f>
        <v>95,3735</v>
      </c>
      <c r="M32" s="35"/>
    </row>
    <row r="33" spans="1:13">
      <c r="A33" s="41">
        <v>4</v>
      </c>
      <c r="B33" s="35" t="s">
        <v>313</v>
      </c>
      <c r="C33" s="35" t="s">
        <v>314</v>
      </c>
      <c r="D33" s="35" t="s">
        <v>315</v>
      </c>
      <c r="E33" s="35" t="s">
        <v>462</v>
      </c>
      <c r="F33" s="35" t="s">
        <v>207</v>
      </c>
      <c r="G33" s="40" t="s">
        <v>73</v>
      </c>
      <c r="H33" s="40" t="s">
        <v>150</v>
      </c>
      <c r="I33" s="42" t="s">
        <v>80</v>
      </c>
      <c r="J33" s="41"/>
      <c r="K33" s="50" t="str">
        <f>"120,0"</f>
        <v>120,0</v>
      </c>
      <c r="L33" s="41" t="str">
        <f>"74,7120"</f>
        <v>74,7120</v>
      </c>
      <c r="M33" s="35" t="s">
        <v>210</v>
      </c>
    </row>
    <row r="34" spans="1:13">
      <c r="A34" s="44" t="s">
        <v>235</v>
      </c>
      <c r="B34" s="36" t="s">
        <v>316</v>
      </c>
      <c r="C34" s="36" t="s">
        <v>317</v>
      </c>
      <c r="D34" s="36" t="s">
        <v>268</v>
      </c>
      <c r="E34" s="36" t="s">
        <v>466</v>
      </c>
      <c r="F34" s="36" t="s">
        <v>187</v>
      </c>
      <c r="G34" s="43" t="s">
        <v>109</v>
      </c>
      <c r="H34" s="43" t="s">
        <v>109</v>
      </c>
      <c r="I34" s="44"/>
      <c r="J34" s="44"/>
      <c r="K34" s="49">
        <v>0</v>
      </c>
      <c r="L34" s="44" t="str">
        <f>"0,0000"</f>
        <v>0,0000</v>
      </c>
      <c r="M34" s="36"/>
    </row>
    <row r="36" spans="1:13" ht="16">
      <c r="A36" s="66" t="s">
        <v>236</v>
      </c>
      <c r="B36" s="66"/>
      <c r="C36" s="66"/>
      <c r="D36" s="66"/>
      <c r="E36" s="66"/>
      <c r="F36" s="66"/>
      <c r="G36" s="66"/>
      <c r="H36" s="66"/>
      <c r="I36" s="66"/>
      <c r="J36" s="66"/>
    </row>
    <row r="37" spans="1:13">
      <c r="A37" s="39">
        <v>1</v>
      </c>
      <c r="B37" s="34" t="s">
        <v>318</v>
      </c>
      <c r="C37" s="34" t="s">
        <v>319</v>
      </c>
      <c r="D37" s="34" t="s">
        <v>320</v>
      </c>
      <c r="E37" s="34" t="s">
        <v>465</v>
      </c>
      <c r="F37" s="34" t="s">
        <v>69</v>
      </c>
      <c r="G37" s="37" t="s">
        <v>100</v>
      </c>
      <c r="H37" s="37" t="s">
        <v>16</v>
      </c>
      <c r="I37" s="38" t="s">
        <v>29</v>
      </c>
      <c r="J37" s="39"/>
      <c r="K37" s="48" t="str">
        <f>"155,0"</f>
        <v>155,0</v>
      </c>
      <c r="L37" s="39" t="str">
        <f>"91,6050"</f>
        <v>91,6050</v>
      </c>
      <c r="M37" s="34" t="s">
        <v>321</v>
      </c>
    </row>
    <row r="38" spans="1:13">
      <c r="A38" s="41">
        <v>1</v>
      </c>
      <c r="B38" s="35" t="s">
        <v>242</v>
      </c>
      <c r="C38" s="35" t="s">
        <v>243</v>
      </c>
      <c r="D38" s="35" t="s">
        <v>244</v>
      </c>
      <c r="E38" s="35" t="s">
        <v>462</v>
      </c>
      <c r="F38" s="35" t="s">
        <v>449</v>
      </c>
      <c r="G38" s="40" t="s">
        <v>109</v>
      </c>
      <c r="H38" s="42" t="s">
        <v>17</v>
      </c>
      <c r="I38" s="41"/>
      <c r="J38" s="41"/>
      <c r="K38" s="50" t="str">
        <f>"150,0"</f>
        <v>150,0</v>
      </c>
      <c r="L38" s="41" t="str">
        <f>"88,7850"</f>
        <v>88,7850</v>
      </c>
      <c r="M38" s="35"/>
    </row>
    <row r="39" spans="1:13">
      <c r="A39" s="44">
        <v>1</v>
      </c>
      <c r="B39" s="36" t="s">
        <v>242</v>
      </c>
      <c r="C39" s="36" t="s">
        <v>246</v>
      </c>
      <c r="D39" s="36" t="s">
        <v>244</v>
      </c>
      <c r="E39" s="36" t="s">
        <v>466</v>
      </c>
      <c r="F39" s="36" t="s">
        <v>449</v>
      </c>
      <c r="G39" s="45" t="s">
        <v>109</v>
      </c>
      <c r="H39" s="43" t="s">
        <v>17</v>
      </c>
      <c r="I39" s="44"/>
      <c r="J39" s="44"/>
      <c r="K39" s="49" t="str">
        <f>"150,0"</f>
        <v>150,0</v>
      </c>
      <c r="L39" s="44" t="str">
        <f>"97,3084"</f>
        <v>97,3084</v>
      </c>
      <c r="M39" s="36"/>
    </row>
    <row r="41" spans="1:13" ht="16">
      <c r="A41" s="66" t="s">
        <v>111</v>
      </c>
      <c r="B41" s="66"/>
      <c r="C41" s="66"/>
      <c r="D41" s="66"/>
      <c r="E41" s="66"/>
      <c r="F41" s="66"/>
      <c r="G41" s="66"/>
      <c r="H41" s="66"/>
      <c r="I41" s="66"/>
      <c r="J41" s="66"/>
    </row>
    <row r="42" spans="1:13">
      <c r="A42" s="33">
        <v>1</v>
      </c>
      <c r="B42" s="21" t="s">
        <v>219</v>
      </c>
      <c r="C42" s="21" t="s">
        <v>220</v>
      </c>
      <c r="D42" s="21" t="s">
        <v>221</v>
      </c>
      <c r="E42" s="21" t="s">
        <v>462</v>
      </c>
      <c r="F42" s="21" t="s">
        <v>115</v>
      </c>
      <c r="G42" s="31" t="s">
        <v>29</v>
      </c>
      <c r="H42" s="32" t="s">
        <v>30</v>
      </c>
      <c r="I42" s="33"/>
      <c r="J42" s="33"/>
      <c r="K42" s="46" t="str">
        <f>"162,5"</f>
        <v>162,5</v>
      </c>
      <c r="L42" s="33" t="str">
        <f>"92,9500"</f>
        <v>92,9500</v>
      </c>
      <c r="M42" s="21" t="s">
        <v>85</v>
      </c>
    </row>
    <row r="44" spans="1:13">
      <c r="G44" s="22"/>
    </row>
    <row r="46" spans="1:13" ht="18">
      <c r="B46" s="23" t="s">
        <v>32</v>
      </c>
      <c r="C46" s="23"/>
    </row>
    <row r="47" spans="1:13" ht="16">
      <c r="B47" s="24" t="s">
        <v>33</v>
      </c>
      <c r="C47" s="24"/>
    </row>
    <row r="48" spans="1:13" ht="14">
      <c r="B48" s="25"/>
      <c r="C48" s="26" t="s">
        <v>34</v>
      </c>
    </row>
    <row r="49" spans="2:7" ht="14">
      <c r="B49" s="27" t="s">
        <v>35</v>
      </c>
      <c r="C49" s="27" t="s">
        <v>36</v>
      </c>
      <c r="D49" s="27" t="s">
        <v>452</v>
      </c>
      <c r="E49" s="27" t="s">
        <v>247</v>
      </c>
      <c r="F49" s="27" t="s">
        <v>38</v>
      </c>
    </row>
    <row r="50" spans="2:7">
      <c r="B50" s="22" t="s">
        <v>301</v>
      </c>
      <c r="C50" s="22" t="s">
        <v>34</v>
      </c>
      <c r="D50" s="30">
        <v>90</v>
      </c>
      <c r="E50" s="30">
        <v>160</v>
      </c>
      <c r="F50" s="28">
        <v>102.208003997803</v>
      </c>
    </row>
    <row r="51" spans="2:7">
      <c r="B51" s="22" t="s">
        <v>305</v>
      </c>
      <c r="C51" s="22" t="s">
        <v>34</v>
      </c>
      <c r="D51" s="30">
        <v>90</v>
      </c>
      <c r="E51" s="30">
        <v>157.5</v>
      </c>
      <c r="F51" s="28">
        <v>100.548002868891</v>
      </c>
    </row>
    <row r="52" spans="2:7">
      <c r="B52" s="22" t="s">
        <v>307</v>
      </c>
      <c r="C52" s="22" t="s">
        <v>34</v>
      </c>
      <c r="D52" s="30">
        <v>100</v>
      </c>
      <c r="E52" s="30">
        <v>162.5</v>
      </c>
      <c r="F52" s="28">
        <v>100.295002758503</v>
      </c>
      <c r="G52" s="22"/>
    </row>
  </sheetData>
  <mergeCells count="20">
    <mergeCell ref="A36:J36"/>
    <mergeCell ref="A41:J41"/>
    <mergeCell ref="B3:B4"/>
    <mergeCell ref="A9:J9"/>
    <mergeCell ref="A12:J12"/>
    <mergeCell ref="A15:J15"/>
    <mergeCell ref="A19:J19"/>
    <mergeCell ref="A24:J24"/>
    <mergeCell ref="A29:J29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0C03D-CEC8-4329-B6B5-6059583F8074}">
  <dimension ref="A1:M42"/>
  <sheetViews>
    <sheetView workbookViewId="0">
      <selection activeCell="E33" sqref="E33"/>
    </sheetView>
  </sheetViews>
  <sheetFormatPr baseColWidth="10" defaultColWidth="8.83203125" defaultRowHeight="13"/>
  <cols>
    <col min="1" max="1" width="7.1640625" style="22" bestFit="1" customWidth="1"/>
    <col min="2" max="2" width="22.6640625" style="22" bestFit="1" customWidth="1"/>
    <col min="3" max="3" width="27" style="22" bestFit="1" customWidth="1"/>
    <col min="4" max="4" width="21.5" style="22" bestFit="1" customWidth="1"/>
    <col min="5" max="5" width="10.33203125" style="22" bestFit="1" customWidth="1"/>
    <col min="6" max="6" width="42.6640625" style="22" bestFit="1" customWidth="1"/>
    <col min="7" max="7" width="5.5" style="29" customWidth="1"/>
    <col min="8" max="9" width="5.33203125" style="29" customWidth="1"/>
    <col min="10" max="10" width="4.6640625" style="29" customWidth="1"/>
    <col min="11" max="11" width="11.5" style="29" bestFit="1" customWidth="1"/>
    <col min="12" max="12" width="10.1640625" style="29" customWidth="1"/>
    <col min="13" max="13" width="19.1640625" style="22" customWidth="1"/>
  </cols>
  <sheetData>
    <row r="1" spans="1:13" s="2" customFormat="1" ht="29" customHeight="1">
      <c r="A1" s="51" t="s">
        <v>434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458</v>
      </c>
      <c r="B3" s="73" t="s">
        <v>0</v>
      </c>
      <c r="C3" s="61" t="s">
        <v>460</v>
      </c>
      <c r="D3" s="61" t="s">
        <v>6</v>
      </c>
      <c r="E3" s="63" t="s">
        <v>461</v>
      </c>
      <c r="F3" s="65" t="s">
        <v>5</v>
      </c>
      <c r="G3" s="65" t="s">
        <v>8</v>
      </c>
      <c r="H3" s="65"/>
      <c r="I3" s="65"/>
      <c r="J3" s="65"/>
      <c r="K3" s="63" t="s">
        <v>248</v>
      </c>
      <c r="L3" s="63" t="s">
        <v>3</v>
      </c>
      <c r="M3" s="69" t="s">
        <v>2</v>
      </c>
    </row>
    <row r="4" spans="1:13" s="1" customFormat="1" ht="21" customHeight="1" thickBot="1">
      <c r="A4" s="60"/>
      <c r="B4" s="74"/>
      <c r="C4" s="62"/>
      <c r="D4" s="62"/>
      <c r="E4" s="64"/>
      <c r="F4" s="62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70"/>
    </row>
    <row r="5" spans="1:13" s="3" customFormat="1" ht="16">
      <c r="A5" s="71" t="s">
        <v>40</v>
      </c>
      <c r="B5" s="71"/>
      <c r="C5" s="72"/>
      <c r="D5" s="72"/>
      <c r="E5" s="72"/>
      <c r="F5" s="72"/>
      <c r="G5" s="72"/>
      <c r="H5" s="72"/>
      <c r="I5" s="72"/>
      <c r="J5" s="72"/>
      <c r="K5" s="6"/>
      <c r="L5" s="6"/>
      <c r="M5" s="5"/>
    </row>
    <row r="6" spans="1:13">
      <c r="A6" s="33">
        <v>1</v>
      </c>
      <c r="B6" s="21" t="s">
        <v>249</v>
      </c>
      <c r="C6" s="21" t="s">
        <v>250</v>
      </c>
      <c r="D6" s="21" t="s">
        <v>43</v>
      </c>
      <c r="E6" s="21" t="s">
        <v>462</v>
      </c>
      <c r="F6" s="21" t="s">
        <v>57</v>
      </c>
      <c r="G6" s="31" t="s">
        <v>61</v>
      </c>
      <c r="H6" s="31" t="s">
        <v>251</v>
      </c>
      <c r="I6" s="31" t="s">
        <v>252</v>
      </c>
      <c r="J6" s="33"/>
      <c r="K6" s="33" t="str">
        <f>"47,5"</f>
        <v>47,5</v>
      </c>
      <c r="L6" s="33" t="str">
        <f>"55,8885"</f>
        <v>55,8885</v>
      </c>
      <c r="M6" s="21" t="s">
        <v>253</v>
      </c>
    </row>
    <row r="8" spans="1:13" ht="16">
      <c r="A8" s="66" t="s">
        <v>65</v>
      </c>
      <c r="B8" s="66"/>
      <c r="C8" s="66"/>
      <c r="D8" s="66"/>
      <c r="E8" s="66"/>
      <c r="F8" s="66"/>
      <c r="G8" s="66"/>
      <c r="H8" s="66"/>
      <c r="I8" s="66"/>
      <c r="J8" s="66"/>
    </row>
    <row r="9" spans="1:13">
      <c r="A9" s="33">
        <v>1</v>
      </c>
      <c r="B9" s="21" t="s">
        <v>66</v>
      </c>
      <c r="C9" s="21" t="s">
        <v>67</v>
      </c>
      <c r="D9" s="21" t="s">
        <v>68</v>
      </c>
      <c r="E9" s="21" t="s">
        <v>462</v>
      </c>
      <c r="F9" s="21" t="s">
        <v>69</v>
      </c>
      <c r="G9" s="31" t="s">
        <v>71</v>
      </c>
      <c r="H9" s="31" t="s">
        <v>72</v>
      </c>
      <c r="I9" s="31" t="s">
        <v>59</v>
      </c>
      <c r="J9" s="33"/>
      <c r="K9" s="33" t="str">
        <f>"70,0"</f>
        <v>70,0</v>
      </c>
      <c r="L9" s="33" t="str">
        <f>"64,2320"</f>
        <v>64,2320</v>
      </c>
      <c r="M9" s="21" t="s">
        <v>76</v>
      </c>
    </row>
    <row r="11" spans="1:13" ht="16">
      <c r="A11" s="66" t="s">
        <v>156</v>
      </c>
      <c r="B11" s="66"/>
      <c r="C11" s="66"/>
      <c r="D11" s="66"/>
      <c r="E11" s="66"/>
      <c r="F11" s="66"/>
      <c r="G11" s="66"/>
      <c r="H11" s="66"/>
      <c r="I11" s="66"/>
      <c r="J11" s="66"/>
    </row>
    <row r="12" spans="1:13">
      <c r="A12" s="33">
        <v>1</v>
      </c>
      <c r="B12" s="21" t="s">
        <v>254</v>
      </c>
      <c r="C12" s="21" t="s">
        <v>255</v>
      </c>
      <c r="D12" s="21" t="s">
        <v>256</v>
      </c>
      <c r="E12" s="21" t="s">
        <v>464</v>
      </c>
      <c r="F12" s="21" t="s">
        <v>57</v>
      </c>
      <c r="G12" s="31" t="s">
        <v>49</v>
      </c>
      <c r="H12" s="32" t="s">
        <v>92</v>
      </c>
      <c r="I12" s="31" t="s">
        <v>92</v>
      </c>
      <c r="J12" s="33"/>
      <c r="K12" s="33" t="str">
        <f>"60,0"</f>
        <v>60,0</v>
      </c>
      <c r="L12" s="33" t="str">
        <f>"44,8140"</f>
        <v>44,8140</v>
      </c>
      <c r="M12" s="21"/>
    </row>
    <row r="14" spans="1:13" ht="16">
      <c r="A14" s="66" t="s">
        <v>65</v>
      </c>
      <c r="B14" s="66"/>
      <c r="C14" s="66"/>
      <c r="D14" s="66"/>
      <c r="E14" s="66"/>
      <c r="F14" s="66"/>
      <c r="G14" s="66"/>
      <c r="H14" s="66"/>
      <c r="I14" s="66"/>
      <c r="J14" s="66"/>
    </row>
    <row r="15" spans="1:13">
      <c r="A15" s="33">
        <v>1</v>
      </c>
      <c r="B15" s="21" t="s">
        <v>257</v>
      </c>
      <c r="C15" s="21" t="s">
        <v>258</v>
      </c>
      <c r="D15" s="21" t="s">
        <v>259</v>
      </c>
      <c r="E15" s="21" t="s">
        <v>462</v>
      </c>
      <c r="F15" s="21" t="s">
        <v>165</v>
      </c>
      <c r="G15" s="31" t="s">
        <v>109</v>
      </c>
      <c r="H15" s="31" t="s">
        <v>17</v>
      </c>
      <c r="I15" s="32" t="s">
        <v>29</v>
      </c>
      <c r="J15" s="33"/>
      <c r="K15" s="33" t="str">
        <f>"160,0"</f>
        <v>160,0</v>
      </c>
      <c r="L15" s="33" t="str">
        <f>"109,8400"</f>
        <v>109,8400</v>
      </c>
      <c r="M15" s="21" t="s">
        <v>167</v>
      </c>
    </row>
    <row r="17" spans="1:13" ht="16">
      <c r="A17" s="66" t="s">
        <v>10</v>
      </c>
      <c r="B17" s="66"/>
      <c r="C17" s="66"/>
      <c r="D17" s="66"/>
      <c r="E17" s="66"/>
      <c r="F17" s="66"/>
      <c r="G17" s="66"/>
      <c r="H17" s="66"/>
      <c r="I17" s="66"/>
      <c r="J17" s="66"/>
    </row>
    <row r="18" spans="1:13">
      <c r="A18" s="39">
        <v>1</v>
      </c>
      <c r="B18" s="34" t="s">
        <v>260</v>
      </c>
      <c r="C18" s="34" t="s">
        <v>261</v>
      </c>
      <c r="D18" s="34" t="s">
        <v>25</v>
      </c>
      <c r="E18" s="34" t="s">
        <v>464</v>
      </c>
      <c r="F18" s="34" t="s">
        <v>57</v>
      </c>
      <c r="G18" s="37" t="s">
        <v>90</v>
      </c>
      <c r="H18" s="37" t="s">
        <v>64</v>
      </c>
      <c r="I18" s="37" t="s">
        <v>73</v>
      </c>
      <c r="J18" s="39"/>
      <c r="K18" s="39" t="str">
        <f>"110,0"</f>
        <v>110,0</v>
      </c>
      <c r="L18" s="39" t="str">
        <f>"70,2240"</f>
        <v>70,2240</v>
      </c>
      <c r="M18" s="34"/>
    </row>
    <row r="19" spans="1:13">
      <c r="A19" s="41">
        <v>1</v>
      </c>
      <c r="B19" s="35" t="s">
        <v>262</v>
      </c>
      <c r="C19" s="35" t="s">
        <v>263</v>
      </c>
      <c r="D19" s="35" t="s">
        <v>264</v>
      </c>
      <c r="E19" s="35" t="s">
        <v>462</v>
      </c>
      <c r="F19" s="35" t="s">
        <v>449</v>
      </c>
      <c r="G19" s="40" t="s">
        <v>17</v>
      </c>
      <c r="H19" s="40" t="s">
        <v>265</v>
      </c>
      <c r="I19" s="42" t="s">
        <v>84</v>
      </c>
      <c r="J19" s="41"/>
      <c r="K19" s="41" t="str">
        <f>"167,5"</f>
        <v>167,5</v>
      </c>
      <c r="L19" s="41" t="str">
        <f>"107,3675"</f>
        <v>107,3675</v>
      </c>
      <c r="M19" s="35"/>
    </row>
    <row r="20" spans="1:13">
      <c r="A20" s="44">
        <v>2</v>
      </c>
      <c r="B20" s="36" t="s">
        <v>11</v>
      </c>
      <c r="C20" s="36" t="s">
        <v>12</v>
      </c>
      <c r="D20" s="36" t="s">
        <v>13</v>
      </c>
      <c r="E20" s="36" t="s">
        <v>462</v>
      </c>
      <c r="F20" s="36" t="s">
        <v>449</v>
      </c>
      <c r="G20" s="43" t="s">
        <v>16</v>
      </c>
      <c r="H20" s="45" t="s">
        <v>17</v>
      </c>
      <c r="I20" s="45" t="s">
        <v>18</v>
      </c>
      <c r="J20" s="44"/>
      <c r="K20" s="44" t="str">
        <f>"165,0"</f>
        <v>165,0</v>
      </c>
      <c r="L20" s="44" t="str">
        <f>"105,6330"</f>
        <v>105,6330</v>
      </c>
      <c r="M20" s="36" t="s">
        <v>22</v>
      </c>
    </row>
    <row r="22" spans="1:13" ht="16">
      <c r="A22" s="66" t="s">
        <v>211</v>
      </c>
      <c r="B22" s="66"/>
      <c r="C22" s="66"/>
      <c r="D22" s="66"/>
      <c r="E22" s="66"/>
      <c r="F22" s="66"/>
      <c r="G22" s="66"/>
      <c r="H22" s="66"/>
      <c r="I22" s="66"/>
      <c r="J22" s="66"/>
    </row>
    <row r="23" spans="1:13">
      <c r="A23" s="39">
        <v>1</v>
      </c>
      <c r="B23" s="34" t="s">
        <v>266</v>
      </c>
      <c r="C23" s="34" t="s">
        <v>267</v>
      </c>
      <c r="D23" s="34" t="s">
        <v>268</v>
      </c>
      <c r="E23" s="34" t="s">
        <v>462</v>
      </c>
      <c r="F23" s="34" t="s">
        <v>449</v>
      </c>
      <c r="G23" s="37" t="s">
        <v>101</v>
      </c>
      <c r="H23" s="37" t="s">
        <v>98</v>
      </c>
      <c r="I23" s="38" t="s">
        <v>102</v>
      </c>
      <c r="J23" s="39"/>
      <c r="K23" s="39" t="str">
        <f>"212,5"</f>
        <v>212,5</v>
      </c>
      <c r="L23" s="39" t="str">
        <f>"129,3275"</f>
        <v>129,3275</v>
      </c>
      <c r="M23" s="34" t="s">
        <v>420</v>
      </c>
    </row>
    <row r="24" spans="1:13">
      <c r="A24" s="44">
        <v>1</v>
      </c>
      <c r="B24" s="36" t="s">
        <v>269</v>
      </c>
      <c r="C24" s="36" t="s">
        <v>270</v>
      </c>
      <c r="D24" s="36" t="s">
        <v>268</v>
      </c>
      <c r="E24" s="36" t="s">
        <v>466</v>
      </c>
      <c r="F24" s="36" t="s">
        <v>450</v>
      </c>
      <c r="G24" s="45" t="s">
        <v>109</v>
      </c>
      <c r="H24" s="45" t="s">
        <v>16</v>
      </c>
      <c r="I24" s="43" t="s">
        <v>271</v>
      </c>
      <c r="J24" s="44"/>
      <c r="K24" s="44" t="str">
        <f>"155,0"</f>
        <v>155,0</v>
      </c>
      <c r="L24" s="44" t="str">
        <f>"94,3330"</f>
        <v>94,3330</v>
      </c>
      <c r="M24" s="36" t="s">
        <v>85</v>
      </c>
    </row>
    <row r="26" spans="1:13" ht="16">
      <c r="A26" s="66" t="s">
        <v>236</v>
      </c>
      <c r="B26" s="66"/>
      <c r="C26" s="66"/>
      <c r="D26" s="66"/>
      <c r="E26" s="66"/>
      <c r="F26" s="66"/>
      <c r="G26" s="66"/>
      <c r="H26" s="66"/>
      <c r="I26" s="66"/>
      <c r="J26" s="66"/>
    </row>
    <row r="27" spans="1:13">
      <c r="A27" s="39">
        <v>1</v>
      </c>
      <c r="B27" s="34" t="s">
        <v>242</v>
      </c>
      <c r="C27" s="34" t="s">
        <v>243</v>
      </c>
      <c r="D27" s="34" t="s">
        <v>244</v>
      </c>
      <c r="E27" s="34" t="s">
        <v>462</v>
      </c>
      <c r="F27" s="34" t="s">
        <v>449</v>
      </c>
      <c r="G27" s="37" t="s">
        <v>109</v>
      </c>
      <c r="H27" s="38" t="s">
        <v>17</v>
      </c>
      <c r="I27" s="39"/>
      <c r="J27" s="39"/>
      <c r="K27" s="39" t="str">
        <f>"150,0"</f>
        <v>150,0</v>
      </c>
      <c r="L27" s="39" t="str">
        <f>"88,7850"</f>
        <v>88,7850</v>
      </c>
      <c r="M27" s="34"/>
    </row>
    <row r="28" spans="1:13">
      <c r="A28" s="44">
        <v>1</v>
      </c>
      <c r="B28" s="36" t="s">
        <v>242</v>
      </c>
      <c r="C28" s="36" t="s">
        <v>246</v>
      </c>
      <c r="D28" s="36" t="s">
        <v>244</v>
      </c>
      <c r="E28" s="36" t="s">
        <v>466</v>
      </c>
      <c r="F28" s="36" t="s">
        <v>449</v>
      </c>
      <c r="G28" s="45" t="s">
        <v>109</v>
      </c>
      <c r="H28" s="43" t="s">
        <v>17</v>
      </c>
      <c r="I28" s="44"/>
      <c r="J28" s="44"/>
      <c r="K28" s="44" t="str">
        <f>"150,0"</f>
        <v>150,0</v>
      </c>
      <c r="L28" s="44" t="str">
        <f>"97,3084"</f>
        <v>97,3084</v>
      </c>
      <c r="M28" s="36"/>
    </row>
    <row r="30" spans="1:13" ht="16">
      <c r="A30" s="66" t="s">
        <v>111</v>
      </c>
      <c r="B30" s="66"/>
      <c r="C30" s="66"/>
      <c r="D30" s="66"/>
      <c r="E30" s="66"/>
      <c r="F30" s="66"/>
      <c r="G30" s="66"/>
      <c r="H30" s="66"/>
      <c r="I30" s="66"/>
      <c r="J30" s="66"/>
    </row>
    <row r="31" spans="1:13">
      <c r="A31" s="39">
        <v>1</v>
      </c>
      <c r="B31" s="34" t="s">
        <v>272</v>
      </c>
      <c r="C31" s="34" t="s">
        <v>273</v>
      </c>
      <c r="D31" s="34" t="s">
        <v>274</v>
      </c>
      <c r="E31" s="34" t="s">
        <v>462</v>
      </c>
      <c r="F31" s="34" t="s">
        <v>275</v>
      </c>
      <c r="G31" s="38" t="s">
        <v>101</v>
      </c>
      <c r="H31" s="37" t="s">
        <v>101</v>
      </c>
      <c r="I31" s="38" t="s">
        <v>227</v>
      </c>
      <c r="J31" s="39"/>
      <c r="K31" s="39" t="str">
        <f>"205,0"</f>
        <v>205,0</v>
      </c>
      <c r="L31" s="39" t="str">
        <f>"119,3305"</f>
        <v>119,3305</v>
      </c>
      <c r="M31" s="34" t="s">
        <v>456</v>
      </c>
    </row>
    <row r="32" spans="1:13">
      <c r="A32" s="44">
        <v>2</v>
      </c>
      <c r="B32" s="36" t="s">
        <v>112</v>
      </c>
      <c r="C32" s="36" t="s">
        <v>113</v>
      </c>
      <c r="D32" s="36" t="s">
        <v>114</v>
      </c>
      <c r="E32" s="36" t="s">
        <v>462</v>
      </c>
      <c r="F32" s="36" t="s">
        <v>115</v>
      </c>
      <c r="G32" s="45" t="s">
        <v>117</v>
      </c>
      <c r="H32" s="45" t="s">
        <v>118</v>
      </c>
      <c r="I32" s="43" t="s">
        <v>107</v>
      </c>
      <c r="J32" s="44"/>
      <c r="K32" s="44" t="str">
        <f>"190,0"</f>
        <v>190,0</v>
      </c>
      <c r="L32" s="44" t="str">
        <f>"108,8130"</f>
        <v>108,8130</v>
      </c>
      <c r="M32" s="36" t="s">
        <v>85</v>
      </c>
    </row>
    <row r="36" spans="2:7" ht="18">
      <c r="B36" s="23" t="s">
        <v>32</v>
      </c>
      <c r="C36" s="23"/>
    </row>
    <row r="37" spans="2:7" ht="14">
      <c r="B37" s="26" t="s">
        <v>455</v>
      </c>
    </row>
    <row r="38" spans="2:7" ht="14">
      <c r="B38" s="25"/>
      <c r="C38" s="26" t="s">
        <v>34</v>
      </c>
    </row>
    <row r="39" spans="2:7" ht="14">
      <c r="B39" s="27" t="s">
        <v>35</v>
      </c>
      <c r="C39" s="27" t="s">
        <v>36</v>
      </c>
      <c r="D39" s="27" t="s">
        <v>452</v>
      </c>
      <c r="E39" s="27" t="s">
        <v>247</v>
      </c>
      <c r="F39" s="27" t="s">
        <v>38</v>
      </c>
    </row>
    <row r="40" spans="2:7">
      <c r="B40" s="22" t="s">
        <v>266</v>
      </c>
      <c r="C40" s="22" t="s">
        <v>34</v>
      </c>
      <c r="D40" s="30">
        <v>100</v>
      </c>
      <c r="E40" s="30">
        <v>212.5</v>
      </c>
      <c r="F40" s="28">
        <v>129.32750433683401</v>
      </c>
    </row>
    <row r="41" spans="2:7">
      <c r="B41" s="22" t="s">
        <v>272</v>
      </c>
      <c r="C41" s="22" t="s">
        <v>34</v>
      </c>
      <c r="D41" s="30">
        <v>125</v>
      </c>
      <c r="E41" s="30">
        <v>205</v>
      </c>
      <c r="F41" s="28">
        <v>119.33049470186199</v>
      </c>
      <c r="G41" s="22"/>
    </row>
    <row r="42" spans="2:7">
      <c r="B42" s="22" t="s">
        <v>257</v>
      </c>
      <c r="C42" s="22" t="s">
        <v>34</v>
      </c>
      <c r="D42" s="30">
        <v>82.5</v>
      </c>
      <c r="E42" s="30">
        <v>160</v>
      </c>
      <c r="F42" s="28">
        <v>109.84000205993701</v>
      </c>
    </row>
  </sheetData>
  <mergeCells count="19">
    <mergeCell ref="A30:J30"/>
    <mergeCell ref="B3:B4"/>
    <mergeCell ref="A8:J8"/>
    <mergeCell ref="A11:J11"/>
    <mergeCell ref="A14:J14"/>
    <mergeCell ref="A17:J17"/>
    <mergeCell ref="A22:J22"/>
    <mergeCell ref="A26:J26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58C75-CE9C-487F-8DDF-013D71A0AA17}">
  <dimension ref="A1:M10"/>
  <sheetViews>
    <sheetView workbookViewId="0">
      <selection activeCell="E11" sqref="E11"/>
    </sheetView>
  </sheetViews>
  <sheetFormatPr baseColWidth="10" defaultColWidth="8.83203125" defaultRowHeight="13"/>
  <cols>
    <col min="1" max="1" width="7.1640625" style="22" bestFit="1" customWidth="1"/>
    <col min="2" max="2" width="22.6640625" style="22" bestFit="1" customWidth="1"/>
    <col min="3" max="3" width="27" style="22" bestFit="1" customWidth="1"/>
    <col min="4" max="4" width="21.5" style="22" bestFit="1" customWidth="1"/>
    <col min="5" max="5" width="10.33203125" style="22" bestFit="1" customWidth="1"/>
    <col min="6" max="6" width="31.1640625" style="22" bestFit="1" customWidth="1"/>
    <col min="7" max="9" width="5.33203125" style="29" customWidth="1"/>
    <col min="10" max="10" width="4.6640625" style="29" customWidth="1"/>
    <col min="11" max="11" width="11.5" style="29" bestFit="1" customWidth="1"/>
    <col min="12" max="12" width="10.1640625" style="29" customWidth="1"/>
    <col min="13" max="13" width="19" style="22" customWidth="1"/>
  </cols>
  <sheetData>
    <row r="1" spans="1:13" s="2" customFormat="1" ht="29" customHeight="1">
      <c r="A1" s="51" t="s">
        <v>432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s="2" customFormat="1" ht="62" customHeight="1" thickBot="1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s="1" customFormat="1" ht="12.75" customHeight="1">
      <c r="A3" s="59" t="s">
        <v>458</v>
      </c>
      <c r="B3" s="73" t="s">
        <v>0</v>
      </c>
      <c r="C3" s="61" t="s">
        <v>460</v>
      </c>
      <c r="D3" s="61" t="s">
        <v>6</v>
      </c>
      <c r="E3" s="63" t="s">
        <v>461</v>
      </c>
      <c r="F3" s="65" t="s">
        <v>5</v>
      </c>
      <c r="G3" s="65" t="s">
        <v>8</v>
      </c>
      <c r="H3" s="65"/>
      <c r="I3" s="65"/>
      <c r="J3" s="65"/>
      <c r="K3" s="63" t="s">
        <v>248</v>
      </c>
      <c r="L3" s="63" t="s">
        <v>3</v>
      </c>
      <c r="M3" s="69" t="s">
        <v>2</v>
      </c>
    </row>
    <row r="4" spans="1:13" s="1" customFormat="1" ht="21" customHeight="1" thickBot="1">
      <c r="A4" s="60"/>
      <c r="B4" s="74"/>
      <c r="C4" s="62"/>
      <c r="D4" s="62"/>
      <c r="E4" s="64"/>
      <c r="F4" s="62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70"/>
    </row>
    <row r="5" spans="1:13" s="3" customFormat="1" ht="16">
      <c r="A5" s="71" t="s">
        <v>211</v>
      </c>
      <c r="B5" s="71"/>
      <c r="C5" s="72"/>
      <c r="D5" s="72"/>
      <c r="E5" s="72"/>
      <c r="F5" s="72"/>
      <c r="G5" s="72"/>
      <c r="H5" s="72"/>
      <c r="I5" s="72"/>
      <c r="J5" s="72"/>
      <c r="K5" s="6"/>
      <c r="L5" s="6"/>
      <c r="M5" s="5"/>
    </row>
    <row r="6" spans="1:13">
      <c r="A6" s="33" t="s">
        <v>235</v>
      </c>
      <c r="B6" s="21" t="s">
        <v>322</v>
      </c>
      <c r="C6" s="21" t="s">
        <v>323</v>
      </c>
      <c r="D6" s="21" t="s">
        <v>324</v>
      </c>
      <c r="E6" s="21" t="s">
        <v>466</v>
      </c>
      <c r="F6" s="21" t="s">
        <v>69</v>
      </c>
      <c r="G6" s="32" t="s">
        <v>291</v>
      </c>
      <c r="H6" s="32" t="s">
        <v>291</v>
      </c>
      <c r="I6" s="32" t="s">
        <v>291</v>
      </c>
      <c r="J6" s="33"/>
      <c r="K6" s="33" t="str">
        <f>"0.00"</f>
        <v>0.00</v>
      </c>
      <c r="L6" s="33" t="str">
        <f>"0,0000"</f>
        <v>0,0000</v>
      </c>
      <c r="M6" s="21" t="s">
        <v>103</v>
      </c>
    </row>
    <row r="8" spans="1:13" ht="16">
      <c r="A8" s="66" t="s">
        <v>236</v>
      </c>
      <c r="B8" s="66"/>
      <c r="C8" s="66"/>
      <c r="D8" s="66"/>
      <c r="E8" s="66"/>
      <c r="F8" s="66"/>
      <c r="G8" s="66"/>
      <c r="H8" s="66"/>
      <c r="I8" s="66"/>
      <c r="J8" s="66"/>
    </row>
    <row r="9" spans="1:13">
      <c r="A9" s="39">
        <v>1</v>
      </c>
      <c r="B9" s="34" t="s">
        <v>242</v>
      </c>
      <c r="C9" s="34" t="s">
        <v>243</v>
      </c>
      <c r="D9" s="34" t="s">
        <v>244</v>
      </c>
      <c r="E9" s="34" t="s">
        <v>462</v>
      </c>
      <c r="F9" s="34" t="s">
        <v>449</v>
      </c>
      <c r="G9" s="37" t="s">
        <v>97</v>
      </c>
      <c r="H9" s="39"/>
      <c r="I9" s="39"/>
      <c r="J9" s="39"/>
      <c r="K9" s="39" t="str">
        <f>"200,0"</f>
        <v>200,0</v>
      </c>
      <c r="L9" s="39" t="str">
        <f>"113,1000"</f>
        <v>113,1000</v>
      </c>
      <c r="M9" s="34"/>
    </row>
    <row r="10" spans="1:13">
      <c r="A10" s="44">
        <v>1</v>
      </c>
      <c r="B10" s="36" t="s">
        <v>242</v>
      </c>
      <c r="C10" s="36" t="s">
        <v>246</v>
      </c>
      <c r="D10" s="36" t="s">
        <v>244</v>
      </c>
      <c r="E10" s="36" t="s">
        <v>466</v>
      </c>
      <c r="F10" s="36" t="s">
        <v>449</v>
      </c>
      <c r="G10" s="45" t="s">
        <v>97</v>
      </c>
      <c r="H10" s="44"/>
      <c r="I10" s="44"/>
      <c r="J10" s="44"/>
      <c r="K10" s="44" t="str">
        <f>"200,0"</f>
        <v>200,0</v>
      </c>
      <c r="L10" s="44" t="str">
        <f>"122,3742"</f>
        <v>122,3742</v>
      </c>
      <c r="M10" s="36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софт однопетельная ДК</vt:lpstr>
      <vt:lpstr>WEPF Жим софт однопетельная</vt:lpstr>
      <vt:lpstr>WEPF Жим софт многопетельнаяДК</vt:lpstr>
      <vt:lpstr>WEPF Жим софт многопетельная</vt:lpstr>
      <vt:lpstr>WRPF Военный жим ДК</vt:lpstr>
      <vt:lpstr>WRPF Военный жим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2022-06-09T11:47:22Z</dcterms:modified>
</cp:coreProperties>
</file>