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Ноябрь/"/>
    </mc:Choice>
  </mc:AlternateContent>
  <xr:revisionPtr revIDLastSave="0" documentId="13_ncr:1_{6B91DE03-CF0A-9942-A6D2-070F7F64603C}" xr6:coauthVersionLast="45" xr6:coauthVersionMax="45" xr10:uidLastSave="{00000000-0000-0000-0000-000000000000}"/>
  <bookViews>
    <workbookView xWindow="1020" yWindow="900" windowWidth="27440" windowHeight="15640" firstSheet="11" activeTab="16" xr2:uid="{00000000-000D-0000-FFFF-FFFF00000000}"/>
  </bookViews>
  <sheets>
    <sheet name="WRPF ПЛ без экипировки ДК" sheetId="10" r:id="rId1"/>
    <sheet name="WRPF ПЛ без экипировки" sheetId="9" r:id="rId2"/>
    <sheet name="WRPF ПЛ в бинтах" sheetId="5" r:id="rId3"/>
    <sheet name="WRPF Двоеборье без экип ДК" sheetId="30" r:id="rId4"/>
    <sheet name="WRPF Двоеборье без экип" sheetId="29" r:id="rId5"/>
    <sheet name="WEPF Двоеборье экип ДК" sheetId="32" r:id="rId6"/>
    <sheet name="WRPF Жим лежа без экип ДК" sheetId="16" r:id="rId7"/>
    <sheet name="WRPF Жим лежа без экип" sheetId="15" r:id="rId8"/>
    <sheet name="WEPF Жим софт однопетельная" sheetId="13" r:id="rId9"/>
    <sheet name="WRPF Военный жим ДК" sheetId="20" r:id="rId10"/>
    <sheet name="WRPF Тяга без экипировки ДК" sheetId="26" r:id="rId11"/>
    <sheet name="WRPF Тяга без экипировки" sheetId="25" r:id="rId12"/>
    <sheet name="СПР Пауэрспорт ДК" sheetId="52" r:id="rId13"/>
    <sheet name="СПР Пауэрспорт" sheetId="51" r:id="rId14"/>
    <sheet name="СПР Жим стоя ДК" sheetId="48" r:id="rId15"/>
    <sheet name="СПР Подъем на бицепс ДК" sheetId="50" r:id="rId16"/>
    <sheet name="СПР Подъем на бицепс" sheetId="49" r:id="rId17"/>
  </sheets>
  <definedNames>
    <definedName name="_FilterDatabase" localSheetId="2" hidden="1">'WRPF ПЛ в бинтах'!$A$1:$S$3</definedName>
  </definedNames>
  <calcPr calcId="181029" refMode="R1C1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49" l="1"/>
  <c r="K9" i="49"/>
  <c r="L13" i="16"/>
  <c r="K13" i="16"/>
  <c r="P9" i="52"/>
  <c r="O9" i="52"/>
  <c r="P6" i="52"/>
  <c r="O6" i="52"/>
  <c r="P20" i="51"/>
  <c r="O20" i="51"/>
  <c r="P19" i="51"/>
  <c r="O19" i="51"/>
  <c r="P16" i="51"/>
  <c r="O16" i="51"/>
  <c r="P15" i="51"/>
  <c r="O15" i="51"/>
  <c r="P12" i="51"/>
  <c r="O12" i="51"/>
  <c r="P9" i="51"/>
  <c r="O9" i="51"/>
  <c r="P6" i="51"/>
  <c r="O6" i="51"/>
  <c r="L16" i="50"/>
  <c r="K16" i="50"/>
  <c r="L13" i="50"/>
  <c r="K13" i="50"/>
  <c r="L12" i="50"/>
  <c r="K12" i="50"/>
  <c r="L9" i="50"/>
  <c r="K9" i="50"/>
  <c r="L6" i="50"/>
  <c r="K6" i="50"/>
  <c r="L27" i="49"/>
  <c r="K27" i="49"/>
  <c r="L26" i="49"/>
  <c r="K26" i="49"/>
  <c r="L23" i="49"/>
  <c r="K23" i="49"/>
  <c r="L22" i="49"/>
  <c r="K22" i="49"/>
  <c r="L19" i="49"/>
  <c r="K19" i="49"/>
  <c r="L16" i="49"/>
  <c r="K16" i="49"/>
  <c r="L13" i="49"/>
  <c r="K13" i="49"/>
  <c r="L10" i="49"/>
  <c r="K10" i="49"/>
  <c r="L6" i="49"/>
  <c r="K6" i="49"/>
  <c r="L6" i="48"/>
  <c r="K6" i="48"/>
  <c r="P6" i="32"/>
  <c r="O6" i="32"/>
  <c r="P10" i="30"/>
  <c r="O10" i="30"/>
  <c r="P7" i="30"/>
  <c r="O7" i="30"/>
  <c r="P6" i="30"/>
  <c r="O6" i="30"/>
  <c r="P7" i="29"/>
  <c r="O7" i="29"/>
  <c r="P6" i="29"/>
  <c r="O6" i="29"/>
  <c r="L29" i="26"/>
  <c r="K29" i="26"/>
  <c r="L28" i="26"/>
  <c r="K28" i="26"/>
  <c r="L25" i="26"/>
  <c r="K25" i="26"/>
  <c r="L22" i="26"/>
  <c r="K22" i="26"/>
  <c r="L21" i="26"/>
  <c r="K21" i="26"/>
  <c r="L18" i="26"/>
  <c r="K18" i="26"/>
  <c r="L15" i="26"/>
  <c r="K15" i="26"/>
  <c r="L12" i="26"/>
  <c r="K12" i="26"/>
  <c r="L9" i="26"/>
  <c r="K9" i="26"/>
  <c r="L8" i="26"/>
  <c r="K8" i="26"/>
  <c r="L7" i="26"/>
  <c r="K7" i="26"/>
  <c r="L6" i="26"/>
  <c r="K6" i="26"/>
  <c r="L10" i="25"/>
  <c r="K10" i="25"/>
  <c r="L9" i="25"/>
  <c r="K9" i="25"/>
  <c r="L6" i="25"/>
  <c r="K6" i="25"/>
  <c r="L6" i="20"/>
  <c r="K6" i="20"/>
  <c r="L19" i="16"/>
  <c r="K19" i="16"/>
  <c r="L16" i="16"/>
  <c r="K16" i="16"/>
  <c r="L12" i="16"/>
  <c r="K12" i="16"/>
  <c r="L9" i="16"/>
  <c r="K9" i="16"/>
  <c r="L6" i="16"/>
  <c r="K6" i="16"/>
  <c r="L16" i="15"/>
  <c r="K16" i="15"/>
  <c r="L13" i="15"/>
  <c r="K13" i="15"/>
  <c r="L10" i="15"/>
  <c r="K10" i="15"/>
  <c r="L7" i="15"/>
  <c r="K7" i="15"/>
  <c r="L6" i="15"/>
  <c r="K6" i="15"/>
  <c r="L6" i="13"/>
  <c r="K6" i="13"/>
  <c r="T21" i="10"/>
  <c r="S21" i="10"/>
  <c r="T18" i="10"/>
  <c r="S18" i="10"/>
  <c r="T15" i="10"/>
  <c r="S15" i="10"/>
  <c r="T12" i="10"/>
  <c r="T9" i="10"/>
  <c r="S9" i="10"/>
  <c r="T6" i="10"/>
  <c r="S6" i="10"/>
  <c r="T18" i="9"/>
  <c r="S18" i="9"/>
  <c r="T15" i="9"/>
  <c r="S15" i="9"/>
  <c r="T14" i="9"/>
  <c r="S14" i="9"/>
  <c r="T11" i="9"/>
  <c r="S11" i="9"/>
  <c r="T8" i="9"/>
  <c r="S8" i="9"/>
  <c r="T7" i="9"/>
  <c r="S7" i="9"/>
  <c r="T6" i="9"/>
  <c r="S6" i="9"/>
  <c r="T6" i="5"/>
  <c r="S6" i="5"/>
</calcChain>
</file>

<file path=xl/sharedStrings.xml><?xml version="1.0" encoding="utf-8"?>
<sst xmlns="http://schemas.openxmlformats.org/spreadsheetml/2006/main" count="1133" uniqueCount="357">
  <si>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</si>
  <si>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</si>
  <si>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</si>
  <si>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</si>
  <si>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</si>
  <si>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</si>
  <si>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</si>
  <si>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</si>
  <si>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</si>
  <si>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</si>
  <si>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110</t>
  </si>
  <si>
    <t>Буйлов Александр</t>
  </si>
  <si>
    <t>Открытая (16.12.1988)/33</t>
  </si>
  <si>
    <t>110,00</t>
  </si>
  <si>
    <t>250,0</t>
  </si>
  <si>
    <t>270,0</t>
  </si>
  <si>
    <t>290,0</t>
  </si>
  <si>
    <t>170,0</t>
  </si>
  <si>
    <t>180,0</t>
  </si>
  <si>
    <t>190,0</t>
  </si>
  <si>
    <t>275,0</t>
  </si>
  <si>
    <t>300,0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</si>
  <si>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</si>
  <si>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</si>
  <si>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</si>
  <si>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</si>
  <si>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</si>
  <si>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Сумма </t>
  </si>
  <si>
    <t xml:space="preserve">Wilks </t>
  </si>
  <si>
    <t>110</t>
  </si>
  <si>
    <t>1</t>
  </si>
  <si>
    <t>ВЕСОВАЯ КАТЕГОРИЯ   82.5</t>
  </si>
  <si>
    <t>Кузнецов Ярослав</t>
  </si>
  <si>
    <t>Юниоры (19.01.2006)/16</t>
  </si>
  <si>
    <t>81,00</t>
  </si>
  <si>
    <t xml:space="preserve">Волгоград/Волгоградская область </t>
  </si>
  <si>
    <t>95,0</t>
  </si>
  <si>
    <t>105,0</t>
  </si>
  <si>
    <t>110,0</t>
  </si>
  <si>
    <t>80,0</t>
  </si>
  <si>
    <t>85,0</t>
  </si>
  <si>
    <t>87,5</t>
  </si>
  <si>
    <t>117,5</t>
  </si>
  <si>
    <t>122,5</t>
  </si>
  <si>
    <t>Пахомов Тимур</t>
  </si>
  <si>
    <t>Открытая (25.10.1995)/27</t>
  </si>
  <si>
    <t>76,00</t>
  </si>
  <si>
    <t>150,0</t>
  </si>
  <si>
    <t>160,0</t>
  </si>
  <si>
    <t>125,0</t>
  </si>
  <si>
    <t>135,0</t>
  </si>
  <si>
    <t>145,0</t>
  </si>
  <si>
    <t>200,0</t>
  </si>
  <si>
    <t>210,0</t>
  </si>
  <si>
    <t>Хомутецкий Эдуард</t>
  </si>
  <si>
    <t>Открытая (10.12.1992)/29</t>
  </si>
  <si>
    <t>76,40</t>
  </si>
  <si>
    <t>140,0</t>
  </si>
  <si>
    <t>100,0</t>
  </si>
  <si>
    <t>ВЕСОВАЯ КАТЕГОРИЯ   90</t>
  </si>
  <si>
    <t>Садчиков Александр</t>
  </si>
  <si>
    <t>Открытая (20.06.1987)/35</t>
  </si>
  <si>
    <t>88,70</t>
  </si>
  <si>
    <t>215,0</t>
  </si>
  <si>
    <t>220,0</t>
  </si>
  <si>
    <t>157,5</t>
  </si>
  <si>
    <t>225,0</t>
  </si>
  <si>
    <t>235,0</t>
  </si>
  <si>
    <t>240,0</t>
  </si>
  <si>
    <t>ВЕСОВАЯ КАТЕГОРИЯ   100</t>
  </si>
  <si>
    <t>Столяров Вячеслав</t>
  </si>
  <si>
    <t>Юниоры (25.06.1981)/41</t>
  </si>
  <si>
    <t>90,80</t>
  </si>
  <si>
    <t>155,0</t>
  </si>
  <si>
    <t>90,0</t>
  </si>
  <si>
    <t>Амерханов Олег</t>
  </si>
  <si>
    <t>Открытая (09.08.2003)/19</t>
  </si>
  <si>
    <t>98,70</t>
  </si>
  <si>
    <t>185,0</t>
  </si>
  <si>
    <t>120,0</t>
  </si>
  <si>
    <t>130,0</t>
  </si>
  <si>
    <t>Семенов Владислав</t>
  </si>
  <si>
    <t>Открытая (29.06.1997)/25</t>
  </si>
  <si>
    <t>107,00</t>
  </si>
  <si>
    <t>255,0</t>
  </si>
  <si>
    <t>195,0</t>
  </si>
  <si>
    <t>82.5</t>
  </si>
  <si>
    <t>90</t>
  </si>
  <si>
    <t>2</t>
  </si>
  <si>
    <t>ВЕСОВАЯ КАТЕГОРИЯ   56</t>
  </si>
  <si>
    <t>Докудовская Елена</t>
  </si>
  <si>
    <t>Мастера 40-49 (25.12.1981)/40</t>
  </si>
  <si>
    <t>56,00</t>
  </si>
  <si>
    <t xml:space="preserve">Михайловка/Волгоградская область </t>
  </si>
  <si>
    <t>50,0</t>
  </si>
  <si>
    <t>55,0</t>
  </si>
  <si>
    <t>ВЕСОВАЯ КАТЕГОРИЯ   60</t>
  </si>
  <si>
    <t>Стешина Елена</t>
  </si>
  <si>
    <t>Открытая (22.12.1982)/39</t>
  </si>
  <si>
    <t>60,00</t>
  </si>
  <si>
    <t>45,0</t>
  </si>
  <si>
    <t>47,5</t>
  </si>
  <si>
    <t>115,0</t>
  </si>
  <si>
    <t>ВЕСОВАЯ КАТЕГОРИЯ   67.5</t>
  </si>
  <si>
    <t>Яблонская Кристина</t>
  </si>
  <si>
    <t>Открытая (07.12.1987)/34</t>
  </si>
  <si>
    <t>63,70</t>
  </si>
  <si>
    <t>Седов Даниил</t>
  </si>
  <si>
    <t>Юноши 14-16 (23.03.2007)/15</t>
  </si>
  <si>
    <t>65,90</t>
  </si>
  <si>
    <t>127,5</t>
  </si>
  <si>
    <t>92,5</t>
  </si>
  <si>
    <t>142,5</t>
  </si>
  <si>
    <t>ВЕСОВАЯ КАТЕГОРИЯ   75</t>
  </si>
  <si>
    <t>Карташов Алексей</t>
  </si>
  <si>
    <t>Открытая (24.11.1996)/26</t>
  </si>
  <si>
    <t>72,50</t>
  </si>
  <si>
    <t xml:space="preserve">Нефтекумск/Ставропольский край </t>
  </si>
  <si>
    <t>137,5</t>
  </si>
  <si>
    <t>75,0</t>
  </si>
  <si>
    <t>167,5</t>
  </si>
  <si>
    <t>Коробов Михаил</t>
  </si>
  <si>
    <t>Юниоры (06.07.2010)/12</t>
  </si>
  <si>
    <t>94,40</t>
  </si>
  <si>
    <t>82,5</t>
  </si>
  <si>
    <t>-</t>
  </si>
  <si>
    <t>Близнюк Александр</t>
  </si>
  <si>
    <t>Мастера 40-49 (06.10.1982)/40</t>
  </si>
  <si>
    <t>104,90</t>
  </si>
  <si>
    <t>230,0</t>
  </si>
  <si>
    <t>Результат</t>
  </si>
  <si>
    <t>Калачев Максим</t>
  </si>
  <si>
    <t>Открытая (18.07.1984)/38</t>
  </si>
  <si>
    <t>81,90</t>
  </si>
  <si>
    <t xml:space="preserve">Дубовка/Волгоградская область </t>
  </si>
  <si>
    <t>Воробьев Сергей</t>
  </si>
  <si>
    <t>Мастера 40-49 (04.01.1975)/47</t>
  </si>
  <si>
    <t>Исаков Тимур</t>
  </si>
  <si>
    <t>Открытая (15.08.1987)/35</t>
  </si>
  <si>
    <t>90,00</t>
  </si>
  <si>
    <t>165,0</t>
  </si>
  <si>
    <t>175,0</t>
  </si>
  <si>
    <t>Круглов Владимир</t>
  </si>
  <si>
    <t>Открытая (17.03.1983)/39</t>
  </si>
  <si>
    <t>99,40</t>
  </si>
  <si>
    <t>182,5</t>
  </si>
  <si>
    <t>187,5</t>
  </si>
  <si>
    <t>192,5</t>
  </si>
  <si>
    <t>ВЕСОВАЯ КАТЕГОРИЯ   125</t>
  </si>
  <si>
    <t>Мезенов Игорь</t>
  </si>
  <si>
    <t>Открытая (23.02.1988)/34</t>
  </si>
  <si>
    <t>112,00</t>
  </si>
  <si>
    <t>207,5</t>
  </si>
  <si>
    <t>Иванова Альфия</t>
  </si>
  <si>
    <t>Открытая (10.04.1974)/48</t>
  </si>
  <si>
    <t>59,40</t>
  </si>
  <si>
    <t>52,5</t>
  </si>
  <si>
    <t>57,5</t>
  </si>
  <si>
    <t>60,0</t>
  </si>
  <si>
    <t>Матыгин Даниил</t>
  </si>
  <si>
    <t>Юноши 17-19 (07.02.2005)/17</t>
  </si>
  <si>
    <t>81,50</t>
  </si>
  <si>
    <t>Ремизов Юрий</t>
  </si>
  <si>
    <t>99,60</t>
  </si>
  <si>
    <t>Харькин Максим</t>
  </si>
  <si>
    <t>Открытая (01.01.1986)/36</t>
  </si>
  <si>
    <t>94,90</t>
  </si>
  <si>
    <t xml:space="preserve">Долгов Александр </t>
  </si>
  <si>
    <t>Малянов Игорь</t>
  </si>
  <si>
    <t>Открытая (11.11.1994)/28</t>
  </si>
  <si>
    <t>112,10</t>
  </si>
  <si>
    <t>152,5</t>
  </si>
  <si>
    <t>ВЕСОВАЯ КАТЕГОРИЯ   140</t>
  </si>
  <si>
    <t>Семьянинов Глеб</t>
  </si>
  <si>
    <t>Открытая (17.09.1997)/25</t>
  </si>
  <si>
    <t>138,20</t>
  </si>
  <si>
    <t xml:space="preserve">Камышин/Волгоградская область </t>
  </si>
  <si>
    <t>177,5</t>
  </si>
  <si>
    <t>Добреньков Дмитрий</t>
  </si>
  <si>
    <t>Открытая (27.09.1984)/38</t>
  </si>
  <si>
    <t>87,00</t>
  </si>
  <si>
    <t>Малиновская Виктория</t>
  </si>
  <si>
    <t xml:space="preserve">Волжский/Волгоградская область </t>
  </si>
  <si>
    <t xml:space="preserve">Козырев Олег </t>
  </si>
  <si>
    <t>Магомедов Руслан</t>
  </si>
  <si>
    <t>Мастера 40-49 (20.11.1980)/42</t>
  </si>
  <si>
    <t>260,0</t>
  </si>
  <si>
    <t>Киселев Алексей</t>
  </si>
  <si>
    <t>Открытая (27.04.1974)/48</t>
  </si>
  <si>
    <t>100,00</t>
  </si>
  <si>
    <t xml:space="preserve">Астрахань/Астраханская область </t>
  </si>
  <si>
    <t>Мастера 40-49 (27.04.1974)/48</t>
  </si>
  <si>
    <t>Сайпудинова Заидат</t>
  </si>
  <si>
    <t>Юниорки (03.03.1999)/23</t>
  </si>
  <si>
    <t>59,00</t>
  </si>
  <si>
    <t>107,5</t>
  </si>
  <si>
    <t>Костина Александра</t>
  </si>
  <si>
    <t>Открытая (28.10.1989)/33</t>
  </si>
  <si>
    <t>59,70</t>
  </si>
  <si>
    <t>Ибрагимова Эльвира</t>
  </si>
  <si>
    <t>Открытая (02.01.1991)/31</t>
  </si>
  <si>
    <t>58,50</t>
  </si>
  <si>
    <t>132,5</t>
  </si>
  <si>
    <t>Демченко Климентий</t>
  </si>
  <si>
    <t>Юниоры (01.10.2005)/17</t>
  </si>
  <si>
    <t>62,30</t>
  </si>
  <si>
    <t>Крайнов Андрей</t>
  </si>
  <si>
    <t>Открытая (28.05.1985)/37</t>
  </si>
  <si>
    <t>74,80</t>
  </si>
  <si>
    <t>Ломанов Александр</t>
  </si>
  <si>
    <t>Открытая (18.09.1985)/37</t>
  </si>
  <si>
    <t>75,40</t>
  </si>
  <si>
    <t xml:space="preserve">Сухов Валерий </t>
  </si>
  <si>
    <t>Горбунов Дмитрий</t>
  </si>
  <si>
    <t>Юниоры (06.07.2007)/15</t>
  </si>
  <si>
    <t>89,30</t>
  </si>
  <si>
    <t>Открытая (03.04.1987)/35</t>
  </si>
  <si>
    <t>Гольдштейн Павел</t>
  </si>
  <si>
    <t>Мастера 40-49 (30.07.1978)/44</t>
  </si>
  <si>
    <t>95,60</t>
  </si>
  <si>
    <t>217,5</t>
  </si>
  <si>
    <t>222,5</t>
  </si>
  <si>
    <t>Козлов Артём</t>
  </si>
  <si>
    <t>Открытая (26.12.1991)/30</t>
  </si>
  <si>
    <t>108,00</t>
  </si>
  <si>
    <t>282,5</t>
  </si>
  <si>
    <t>Тенишев Растям</t>
  </si>
  <si>
    <t>Открытая (07.07.1993)/29</t>
  </si>
  <si>
    <t>108,20</t>
  </si>
  <si>
    <t>237,5</t>
  </si>
  <si>
    <t>247,5</t>
  </si>
  <si>
    <t>3</t>
  </si>
  <si>
    <t>Ленев Илья</t>
  </si>
  <si>
    <t>Юноши 17-19 (28.07.2003)/19</t>
  </si>
  <si>
    <t>66,90</t>
  </si>
  <si>
    <t>Боровков Владимир</t>
  </si>
  <si>
    <t>Открытая (13.11.1992)/30</t>
  </si>
  <si>
    <t>75,50</t>
  </si>
  <si>
    <t xml:space="preserve">Кстово/Нижегородская область </t>
  </si>
  <si>
    <t>Козырев Егор</t>
  </si>
  <si>
    <t>Открытая (08.06.1984)/38</t>
  </si>
  <si>
    <t>105,20</t>
  </si>
  <si>
    <t xml:space="preserve">Палласовка/Волгоградская область </t>
  </si>
  <si>
    <t>ВЕСОВАЯ КАТЕГОРИЯ   48</t>
  </si>
  <si>
    <t>Плотникова Екатерина</t>
  </si>
  <si>
    <t>46,30</t>
  </si>
  <si>
    <t xml:space="preserve">Калач-на-Дону/Волгоградская область </t>
  </si>
  <si>
    <t>27,5</t>
  </si>
  <si>
    <t>30,0</t>
  </si>
  <si>
    <t>32,5</t>
  </si>
  <si>
    <t>25,0</t>
  </si>
  <si>
    <t>28,0</t>
  </si>
  <si>
    <t>Горбунова Алина</t>
  </si>
  <si>
    <t>Шкуратова София</t>
  </si>
  <si>
    <t>56,70</t>
  </si>
  <si>
    <t>17,5</t>
  </si>
  <si>
    <t>20,0</t>
  </si>
  <si>
    <t>22,5</t>
  </si>
  <si>
    <t>Измайлова Анна</t>
  </si>
  <si>
    <t>78,20</t>
  </si>
  <si>
    <t>Федоров Андрей</t>
  </si>
  <si>
    <t>61,80</t>
  </si>
  <si>
    <t xml:space="preserve">Краснослободск/Волгоградская область </t>
  </si>
  <si>
    <t>65,0</t>
  </si>
  <si>
    <t>70,0</t>
  </si>
  <si>
    <t>72,5</t>
  </si>
  <si>
    <t>Приколота Владислав</t>
  </si>
  <si>
    <t>83,70</t>
  </si>
  <si>
    <t>42,5</t>
  </si>
  <si>
    <t>Степанов Евгений</t>
  </si>
  <si>
    <t>Открытая (20.01.1992)/30</t>
  </si>
  <si>
    <t>85,40</t>
  </si>
  <si>
    <t>62,5</t>
  </si>
  <si>
    <t>67,5</t>
  </si>
  <si>
    <t>Ротай Герман</t>
  </si>
  <si>
    <t>97,40</t>
  </si>
  <si>
    <t>Костин Григорий</t>
  </si>
  <si>
    <t>Открытая (28.06.1994)/28</t>
  </si>
  <si>
    <t>98,60</t>
  </si>
  <si>
    <t>Акопян Лусине</t>
  </si>
  <si>
    <t>Открытая (15.06.1990)/32</t>
  </si>
  <si>
    <t>47,40</t>
  </si>
  <si>
    <t>Давыдов Михаил</t>
  </si>
  <si>
    <t>67,50</t>
  </si>
  <si>
    <t>35,0</t>
  </si>
  <si>
    <t>37,5</t>
  </si>
  <si>
    <t>40,0</t>
  </si>
  <si>
    <t>Бочаров Александр</t>
  </si>
  <si>
    <t>Открытая (15.04.1992)/30</t>
  </si>
  <si>
    <t>80,10</t>
  </si>
  <si>
    <t>75,70</t>
  </si>
  <si>
    <t>Ильин Николай</t>
  </si>
  <si>
    <t>88,60</t>
  </si>
  <si>
    <t>97,5</t>
  </si>
  <si>
    <t>Михайловский Александр</t>
  </si>
  <si>
    <t>94,80</t>
  </si>
  <si>
    <t>65,5</t>
  </si>
  <si>
    <t>Васильев Алексей</t>
  </si>
  <si>
    <t>91,50</t>
  </si>
  <si>
    <t>Тельнов Виктор</t>
  </si>
  <si>
    <t>Зоткин Игорь</t>
  </si>
  <si>
    <t>Открытая (06.02.1989)/33</t>
  </si>
  <si>
    <t>88,00</t>
  </si>
  <si>
    <t>77,5</t>
  </si>
  <si>
    <t xml:space="preserve">Горбунов Александр </t>
  </si>
  <si>
    <t xml:space="preserve">Горбунов Александр  </t>
  </si>
  <si>
    <t xml:space="preserve">Киселёв Алексей </t>
  </si>
  <si>
    <t>Поручает Михаил</t>
  </si>
  <si>
    <t>Козырев Олег</t>
  </si>
  <si>
    <t>Открытая (23.10.1983)/39</t>
  </si>
  <si>
    <t>Всероссийский турнир «Мемориал Козырева Олега «Elite Power»
WRPF Пауэрлифтинг без экипировки ДК
Волжский/Волгоградская область, 26 ноября 2022 года</t>
  </si>
  <si>
    <t>Всероссийский турнир «Мемориал Козырева Олега «Elite Power»
WRPF Пауэрлифтинг без экипировки
Волжский/Волгоградская область, 26 ноября 2022 года</t>
  </si>
  <si>
    <t>Всероссийский турнир «Мемориал Козырева Олега «Elite Power»
WRPF Пауэрлифтинг классический в бинтах
Волжский/Волгоградская область, 26 ноября 2022 года</t>
  </si>
  <si>
    <t>Всероссийский турнир «Мемориал Козырева Олега «Elite Power»
WRPF Силовое двоеборье без экипировки ДК
Волжский/Волгоградская область, 26 ноября 2022 года</t>
  </si>
  <si>
    <t>Всероссийский турнир «Мемориал Козырева Олега «Elite Power»
WRPF Силовое двоеборье без экипировки
Волжский/Волгоградская область, 26 ноября 2022 года</t>
  </si>
  <si>
    <t>Всероссийский турнир «Мемориал Козырева Олега «Elite Power»
WEPF Силовое двоеборье в экипировке ДК
Волжский/Волгоградская область, 26 ноября 2022 года</t>
  </si>
  <si>
    <t>Всероссийский турнир «Мемориал Козырева Олега «Elite Power»
WRPF Жим лежа без экипировки ДК
Волжский/Волгоградская область, 26 ноября 2022 года</t>
  </si>
  <si>
    <t>Всероссийский турнир «Мемориал Козырева Олега «Elite Power»
WRPF Жим лежа без экипировки
Волжский/Волгоградская область, 26 ноября 2022 года</t>
  </si>
  <si>
    <t>Всероссийский турнир «Мемориал Козырева Олега «Elite Power»
WEPF Жим лежа в однопетельной софт экипировке
Волжский/Волгоградская область, 26 ноября 2022 года</t>
  </si>
  <si>
    <t>Всероссийский турнир «Мемориал Козырева Олега «Elite Power»
WRPF Военный жим лежа с ДК
Волжский/Волгоградская область, 26 ноября 2022 года</t>
  </si>
  <si>
    <t>Всероссийский турнир «Мемориал Козырева Олега «Elite Power»
WRPF Становая тяга без экипировки ДК
Волжский/Волгоградская область, 26 ноября 2022 года</t>
  </si>
  <si>
    <t>Всероссийский турнир «Мемориал Козырева Олега «Elite Power»
WRPF Становая тяга без экипировки
Волжский/Волгоградская область, 26 ноября 2022 года</t>
  </si>
  <si>
    <t xml:space="preserve">Асеев Сергей </t>
  </si>
  <si>
    <t>Кумскова Инна</t>
  </si>
  <si>
    <t>Весовая категория</t>
  </si>
  <si>
    <t>Махачкала/Республика Дагестан</t>
  </si>
  <si>
    <t xml:space="preserve">Ягнаков Иван </t>
  </si>
  <si>
    <t>Всероссийский турнир «Мемориал Козырева Олега «Elite Power»
СПР Пауэрспорт ДК
Волжский/Волгоградская область, 26 ноября 2022 года</t>
  </si>
  <si>
    <t>Всероссийский турнир «Мемориал Козырева Олега «Elite Power»
СПР Пауэрспорт
Волжский/Волгоградская область, 26 ноября 2022 года</t>
  </si>
  <si>
    <t>Всероссийский турнир «Мемориал Козырева Олега «Elite Power»
СПР Жим штанги стоя ДК
Волжский/Волгоградская область, 26 ноября 2022 года</t>
  </si>
  <si>
    <t>Всероссийский турнир «Мемориал Козырева Олега «Elite Power»
СПР Строгий подъем штанги на бицепс ДК
Волжский/Волгоградская область, 26 ноября 2022 года</t>
  </si>
  <si>
    <t>Всероссийский турнир «Мемориал Козырева Олега «Elite Power»
СПР Строгий подъем штанги на бицепс
Волжский/Волгоградская область, 26 ноября 2022 года</t>
  </si>
  <si>
    <t>Юноши 13-19 (20.06.2003)/19</t>
  </si>
  <si>
    <t>Юниорки 20-23 (04.02.2001)/21</t>
  </si>
  <si>
    <t>Юниорки 20-23 (28.08.2001)/21</t>
  </si>
  <si>
    <t>Юниорки 20-23 (26.01.2001)/21</t>
  </si>
  <si>
    <t>Юноши 13-19 (06.12.1990)/31</t>
  </si>
  <si>
    <t>Юниоры 20-23 (23.01.2002)/20</t>
  </si>
  <si>
    <t>Юноши 13-19 (12.04.2006)/16</t>
  </si>
  <si>
    <t>Мастера 40-49 (18.01.1982)/40</t>
  </si>
  <si>
    <t>Юноши 13-19 (28.09.2004)/18</t>
  </si>
  <si>
    <t>Юноши 13-19 (14.01.2010)/12</t>
  </si>
  <si>
    <t>Юноши 13-19 (21.04.2004)/18</t>
  </si>
  <si>
    <t>Девушки 13-19 (26.09.2004)/18</t>
  </si>
  <si>
    <t>Жим</t>
  </si>
  <si>
    <t>Тяга</t>
  </si>
  <si>
    <t xml:space="preserve"> </t>
  </si>
  <si>
    <t xml:space="preserve">  </t>
  </si>
  <si>
    <t>№</t>
  </si>
  <si>
    <t xml:space="preserve">
Дата рождения/Возраст</t>
  </si>
  <si>
    <t>Возрастная группа</t>
  </si>
  <si>
    <t>M1</t>
  </si>
  <si>
    <t>O</t>
  </si>
  <si>
    <t>T1</t>
  </si>
  <si>
    <t>J</t>
  </si>
  <si>
    <t>T2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</si>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</sst>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0" fontId="0" fillId="0" borderId="19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0" fontId="0" fillId="0" borderId="22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3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7ADF0-D960-4DAE-B1F2-DCFF8D544666}">
  <dimension ref="A1:U23"/>
  <sheetViews>
    <sheetView workbookViewId="0">
      <selection activeCell="E22" sqref="E22"/>
    </sheetView>
  </sheetViews>
  <sheetFormatPr baseColWidth="10" defaultColWidth="9.1640625" defaultRowHeight="13"/>
  <cols>
    <col min="1" max="1" width="7.5" style="5" bestFit="1" customWidth="1"/>
    <col min="2" max="2" width="18.83203125" style="5" bestFit="1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33.33203125" style="5" bestFit="1" customWidth="1"/>
    <col min="7" max="9" width="5.5" style="18" customWidth="1"/>
    <col min="10" max="10" width="4.83203125" style="18" customWidth="1"/>
    <col min="11" max="13" width="5.5" style="18" customWidth="1"/>
    <col min="14" max="14" width="4.83203125" style="18" customWidth="1"/>
    <col min="15" max="17" width="5.5" style="18" customWidth="1"/>
    <col min="18" max="18" width="4.83203125" style="18" customWidth="1"/>
    <col min="19" max="19" width="7.83203125" style="19" bestFit="1" customWidth="1"/>
    <col min="20" max="20" width="8.5" style="6" bestFit="1" customWidth="1"/>
    <col min="21" max="21" width="19.5" style="5" customWidth="1"/>
    <col min="22" max="16384" width="9.1640625" style="3"/>
  </cols>
  <sheetData>
    <row r="1" spans="1:21" s="2" customFormat="1" ht="29" customHeight="1">
      <c r="A1" s="64" t="s">
        <v>310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7"/>
    </row>
    <row r="2" spans="1:21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s="1" customFormat="1" ht="12.75" customHeight="1">
      <c r="A3" s="72" t="s">
        <v>348</v>
      </c>
      <c r="B3" s="79" t="s">
        <v>0</v>
      </c>
      <c r="C3" s="74" t="s">
        <v>349</v>
      </c>
      <c r="D3" s="74" t="s">
        <v>6</v>
      </c>
      <c r="E3" s="76" t="s">
        <v>350</v>
      </c>
      <c r="F3" s="78" t="s">
        <v>5</v>
      </c>
      <c r="G3" s="78" t="s">
        <v>7</v>
      </c>
      <c r="H3" s="78"/>
      <c r="I3" s="78"/>
      <c r="J3" s="78"/>
      <c r="K3" s="78" t="s">
        <v>8</v>
      </c>
      <c r="L3" s="78"/>
      <c r="M3" s="78"/>
      <c r="N3" s="78"/>
      <c r="O3" s="78" t="s">
        <v>9</v>
      </c>
      <c r="P3" s="78"/>
      <c r="Q3" s="78"/>
      <c r="R3" s="78"/>
      <c r="S3" s="81" t="s">
        <v>1</v>
      </c>
      <c r="T3" s="76" t="s">
        <v>3</v>
      </c>
      <c r="U3" s="83" t="s">
        <v>2</v>
      </c>
    </row>
    <row r="4" spans="1:21" s="1" customFormat="1" ht="21" customHeight="1" thickBot="1">
      <c r="A4" s="73"/>
      <c r="B4" s="80"/>
      <c r="C4" s="75"/>
      <c r="D4" s="75"/>
      <c r="E4" s="77"/>
      <c r="F4" s="7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82"/>
      <c r="T4" s="77"/>
      <c r="U4" s="84"/>
    </row>
    <row r="5" spans="1:21" ht="16">
      <c r="A5" s="62" t="s">
        <v>89</v>
      </c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1:21">
      <c r="A6" s="22" t="s">
        <v>30</v>
      </c>
      <c r="B6" s="7" t="s">
        <v>90</v>
      </c>
      <c r="C6" s="7" t="s">
        <v>91</v>
      </c>
      <c r="D6" s="7" t="s">
        <v>92</v>
      </c>
      <c r="E6" s="8" t="s">
        <v>351</v>
      </c>
      <c r="F6" s="7" t="s">
        <v>93</v>
      </c>
      <c r="G6" s="20" t="s">
        <v>58</v>
      </c>
      <c r="H6" s="21" t="s">
        <v>38</v>
      </c>
      <c r="I6" s="21" t="s">
        <v>38</v>
      </c>
      <c r="J6" s="22"/>
      <c r="K6" s="20" t="s">
        <v>94</v>
      </c>
      <c r="L6" s="21" t="s">
        <v>95</v>
      </c>
      <c r="M6" s="20" t="s">
        <v>95</v>
      </c>
      <c r="N6" s="22"/>
      <c r="O6" s="20" t="s">
        <v>57</v>
      </c>
      <c r="P6" s="21" t="s">
        <v>51</v>
      </c>
      <c r="Q6" s="20" t="s">
        <v>51</v>
      </c>
      <c r="R6" s="22"/>
      <c r="S6" s="41" t="str">
        <f>"300,0"</f>
        <v>300,0</v>
      </c>
      <c r="T6" s="9" t="str">
        <f>"352,9800"</f>
        <v>352,9800</v>
      </c>
      <c r="U6" s="7" t="s">
        <v>346</v>
      </c>
    </row>
    <row r="8" spans="1:21" ht="16">
      <c r="A8" s="60" t="s">
        <v>96</v>
      </c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spans="1:21">
      <c r="A9" s="22" t="s">
        <v>30</v>
      </c>
      <c r="B9" s="7" t="s">
        <v>97</v>
      </c>
      <c r="C9" s="7" t="s">
        <v>98</v>
      </c>
      <c r="D9" s="7" t="s">
        <v>99</v>
      </c>
      <c r="E9" s="8" t="s">
        <v>352</v>
      </c>
      <c r="F9" s="7" t="s">
        <v>35</v>
      </c>
      <c r="G9" s="20" t="s">
        <v>40</v>
      </c>
      <c r="H9" s="20" t="s">
        <v>74</v>
      </c>
      <c r="I9" s="20" t="s">
        <v>36</v>
      </c>
      <c r="J9" s="22"/>
      <c r="K9" s="20" t="s">
        <v>100</v>
      </c>
      <c r="L9" s="20" t="s">
        <v>101</v>
      </c>
      <c r="M9" s="22"/>
      <c r="N9" s="22"/>
      <c r="O9" s="20" t="s">
        <v>102</v>
      </c>
      <c r="P9" s="22"/>
      <c r="Q9" s="22"/>
      <c r="R9" s="22"/>
      <c r="S9" s="41" t="str">
        <f>"257,5"</f>
        <v>257,5</v>
      </c>
      <c r="T9" s="9" t="str">
        <f>"287,0867"</f>
        <v>287,0867</v>
      </c>
      <c r="U9" s="7" t="s">
        <v>322</v>
      </c>
    </row>
    <row r="11" spans="1:21" ht="16">
      <c r="A11" s="60" t="s">
        <v>103</v>
      </c>
      <c r="B11" s="60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</row>
    <row r="12" spans="1:21">
      <c r="A12" s="22" t="s">
        <v>125</v>
      </c>
      <c r="B12" s="7" t="s">
        <v>104</v>
      </c>
      <c r="C12" s="7" t="s">
        <v>105</v>
      </c>
      <c r="D12" s="7" t="s">
        <v>106</v>
      </c>
      <c r="E12" s="8" t="s">
        <v>352</v>
      </c>
      <c r="F12" s="7" t="s">
        <v>35</v>
      </c>
      <c r="G12" s="20" t="s">
        <v>74</v>
      </c>
      <c r="H12" s="20" t="s">
        <v>58</v>
      </c>
      <c r="I12" s="20" t="s">
        <v>37</v>
      </c>
      <c r="J12" s="22"/>
      <c r="K12" s="21" t="s">
        <v>100</v>
      </c>
      <c r="L12" s="21" t="s">
        <v>101</v>
      </c>
      <c r="M12" s="21" t="s">
        <v>101</v>
      </c>
      <c r="N12" s="22"/>
      <c r="O12" s="21"/>
      <c r="P12" s="22"/>
      <c r="Q12" s="22"/>
      <c r="R12" s="22"/>
      <c r="S12" s="41">
        <v>0</v>
      </c>
      <c r="T12" s="9" t="str">
        <f>"0,0000"</f>
        <v>0,0000</v>
      </c>
      <c r="U12" s="7" t="s">
        <v>347</v>
      </c>
    </row>
    <row r="14" spans="1:21" ht="16">
      <c r="A14" s="60" t="s">
        <v>103</v>
      </c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</row>
    <row r="15" spans="1:21">
      <c r="A15" s="22" t="s">
        <v>30</v>
      </c>
      <c r="B15" s="7" t="s">
        <v>107</v>
      </c>
      <c r="C15" s="7" t="s">
        <v>108</v>
      </c>
      <c r="D15" s="7" t="s">
        <v>109</v>
      </c>
      <c r="E15" s="8" t="s">
        <v>353</v>
      </c>
      <c r="F15" s="7" t="s">
        <v>35</v>
      </c>
      <c r="G15" s="20" t="s">
        <v>79</v>
      </c>
      <c r="H15" s="21" t="s">
        <v>49</v>
      </c>
      <c r="I15" s="20" t="s">
        <v>110</v>
      </c>
      <c r="J15" s="22"/>
      <c r="K15" s="20" t="s">
        <v>41</v>
      </c>
      <c r="L15" s="20" t="s">
        <v>111</v>
      </c>
      <c r="M15" s="21" t="s">
        <v>36</v>
      </c>
      <c r="N15" s="22"/>
      <c r="O15" s="20" t="s">
        <v>50</v>
      </c>
      <c r="P15" s="20" t="s">
        <v>112</v>
      </c>
      <c r="Q15" s="20" t="s">
        <v>47</v>
      </c>
      <c r="R15" s="22"/>
      <c r="S15" s="41" t="str">
        <f>"370,0"</f>
        <v>370,0</v>
      </c>
      <c r="T15" s="9" t="str">
        <f>"290,8940"</f>
        <v>290,8940</v>
      </c>
      <c r="U15" s="7" t="s">
        <v>346</v>
      </c>
    </row>
    <row r="17" spans="1:21" ht="16">
      <c r="A17" s="60" t="s">
        <v>113</v>
      </c>
      <c r="B17" s="60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</row>
    <row r="18" spans="1:21">
      <c r="A18" s="22" t="s">
        <v>30</v>
      </c>
      <c r="B18" s="7" t="s">
        <v>114</v>
      </c>
      <c r="C18" s="7" t="s">
        <v>115</v>
      </c>
      <c r="D18" s="7" t="s">
        <v>116</v>
      </c>
      <c r="E18" s="8" t="s">
        <v>352</v>
      </c>
      <c r="F18" s="7" t="s">
        <v>117</v>
      </c>
      <c r="G18" s="20" t="s">
        <v>80</v>
      </c>
      <c r="H18" s="20" t="s">
        <v>118</v>
      </c>
      <c r="I18" s="20" t="s">
        <v>112</v>
      </c>
      <c r="J18" s="22"/>
      <c r="K18" s="21" t="s">
        <v>119</v>
      </c>
      <c r="L18" s="20" t="s">
        <v>119</v>
      </c>
      <c r="M18" s="21" t="s">
        <v>39</v>
      </c>
      <c r="N18" s="22"/>
      <c r="O18" s="20" t="s">
        <v>73</v>
      </c>
      <c r="P18" s="20" t="s">
        <v>48</v>
      </c>
      <c r="Q18" s="21" t="s">
        <v>120</v>
      </c>
      <c r="R18" s="22"/>
      <c r="S18" s="41" t="str">
        <f>"377,5"</f>
        <v>377,5</v>
      </c>
      <c r="T18" s="9" t="str">
        <f>"275,5750"</f>
        <v>275,5750</v>
      </c>
      <c r="U18" s="7" t="s">
        <v>323</v>
      </c>
    </row>
    <row r="20" spans="1:21" ht="16">
      <c r="A20" s="60" t="s">
        <v>69</v>
      </c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</row>
    <row r="21" spans="1:21">
      <c r="A21" s="22" t="s">
        <v>30</v>
      </c>
      <c r="B21" s="7" t="s">
        <v>121</v>
      </c>
      <c r="C21" s="7" t="s">
        <v>122</v>
      </c>
      <c r="D21" s="7" t="s">
        <v>123</v>
      </c>
      <c r="E21" s="8" t="s">
        <v>354</v>
      </c>
      <c r="F21" s="7" t="s">
        <v>35</v>
      </c>
      <c r="G21" s="20" t="s">
        <v>110</v>
      </c>
      <c r="H21" s="20" t="s">
        <v>80</v>
      </c>
      <c r="I21" s="21" t="s">
        <v>50</v>
      </c>
      <c r="J21" s="22"/>
      <c r="K21" s="20" t="s">
        <v>124</v>
      </c>
      <c r="L21" s="21" t="s">
        <v>41</v>
      </c>
      <c r="M21" s="21" t="s">
        <v>41</v>
      </c>
      <c r="N21" s="22"/>
      <c r="O21" s="20" t="s">
        <v>79</v>
      </c>
      <c r="P21" s="20" t="s">
        <v>80</v>
      </c>
      <c r="Q21" s="20" t="s">
        <v>50</v>
      </c>
      <c r="R21" s="22"/>
      <c r="S21" s="41" t="str">
        <f>"347,5"</f>
        <v>347,5</v>
      </c>
      <c r="T21" s="9" t="str">
        <f>"216,7705"</f>
        <v>216,7705</v>
      </c>
      <c r="U21" s="7" t="s">
        <v>347</v>
      </c>
    </row>
    <row r="23" spans="1:21">
      <c r="E23" s="5"/>
      <c r="F23" s="10"/>
      <c r="G23" s="5"/>
    </row>
  </sheetData>
  <mergeCells count="19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B3:B4"/>
    <mergeCell ref="S3:S4"/>
    <mergeCell ref="T3:T4"/>
    <mergeCell ref="U3:U4"/>
    <mergeCell ref="A20:R20"/>
    <mergeCell ref="A5:R5"/>
    <mergeCell ref="A8:R8"/>
    <mergeCell ref="A11:R11"/>
    <mergeCell ref="A14:R14"/>
    <mergeCell ref="A17:R1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F27C5-1F76-4556-A479-F00EE70E36C5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1.6640625" style="5" bestFit="1" customWidth="1"/>
    <col min="7" max="9" width="5.5" style="18" customWidth="1"/>
    <col min="10" max="10" width="4.83203125" style="18" customWidth="1"/>
    <col min="11" max="11" width="10.5" style="6" bestFit="1" customWidth="1"/>
    <col min="12" max="12" width="7.5" style="6" bestFit="1" customWidth="1"/>
    <col min="13" max="13" width="18.1640625" style="5" customWidth="1"/>
    <col min="14" max="16384" width="9.1640625" style="3"/>
  </cols>
  <sheetData>
    <row r="1" spans="1:13" s="2" customFormat="1" ht="29" customHeight="1">
      <c r="A1" s="64" t="s">
        <v>319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348</v>
      </c>
      <c r="B3" s="79" t="s">
        <v>0</v>
      </c>
      <c r="C3" s="74" t="s">
        <v>349</v>
      </c>
      <c r="D3" s="74" t="s">
        <v>6</v>
      </c>
      <c r="E3" s="76" t="s">
        <v>350</v>
      </c>
      <c r="F3" s="78" t="s">
        <v>5</v>
      </c>
      <c r="G3" s="78" t="s">
        <v>8</v>
      </c>
      <c r="H3" s="78"/>
      <c r="I3" s="78"/>
      <c r="J3" s="78"/>
      <c r="K3" s="76" t="s">
        <v>130</v>
      </c>
      <c r="L3" s="76" t="s">
        <v>3</v>
      </c>
      <c r="M3" s="83" t="s">
        <v>2</v>
      </c>
    </row>
    <row r="4" spans="1:13" s="1" customFormat="1" ht="21" customHeight="1" thickBot="1">
      <c r="A4" s="73"/>
      <c r="B4" s="80"/>
      <c r="C4" s="75"/>
      <c r="D4" s="75"/>
      <c r="E4" s="77"/>
      <c r="F4" s="75"/>
      <c r="G4" s="4">
        <v>1</v>
      </c>
      <c r="H4" s="4">
        <v>2</v>
      </c>
      <c r="I4" s="4">
        <v>3</v>
      </c>
      <c r="J4" s="4" t="s">
        <v>4</v>
      </c>
      <c r="K4" s="77"/>
      <c r="L4" s="77"/>
      <c r="M4" s="84"/>
    </row>
    <row r="5" spans="1:13" ht="16">
      <c r="A5" s="62" t="s">
        <v>59</v>
      </c>
      <c r="B5" s="62"/>
      <c r="C5" s="63"/>
      <c r="D5" s="63"/>
      <c r="E5" s="63"/>
      <c r="F5" s="63"/>
      <c r="G5" s="63"/>
      <c r="H5" s="63"/>
      <c r="I5" s="63"/>
      <c r="J5" s="63"/>
    </row>
    <row r="6" spans="1:13">
      <c r="A6" s="22" t="s">
        <v>30</v>
      </c>
      <c r="B6" s="7" t="s">
        <v>178</v>
      </c>
      <c r="C6" s="7" t="s">
        <v>179</v>
      </c>
      <c r="D6" s="7" t="s">
        <v>180</v>
      </c>
      <c r="E6" s="8" t="s">
        <v>352</v>
      </c>
      <c r="F6" s="7" t="s">
        <v>35</v>
      </c>
      <c r="G6" s="21" t="s">
        <v>102</v>
      </c>
      <c r="H6" s="20" t="s">
        <v>79</v>
      </c>
      <c r="I6" s="21" t="s">
        <v>49</v>
      </c>
      <c r="J6" s="22"/>
      <c r="K6" s="9" t="str">
        <f>"120,0"</f>
        <v>120,0</v>
      </c>
      <c r="L6" s="9" t="str">
        <f>"77,9880"</f>
        <v>77,9880</v>
      </c>
      <c r="M6" s="7" t="s">
        <v>347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BB40B-CB8B-49F9-A0B7-06EC8C7B4B0B}">
  <dimension ref="A1:M31"/>
  <sheetViews>
    <sheetView workbookViewId="0">
      <selection activeCell="E30" sqref="E30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31.6640625" style="5" bestFit="1" customWidth="1"/>
    <col min="7" max="9" width="5.5" style="18" customWidth="1"/>
    <col min="10" max="10" width="4.83203125" style="18" customWidth="1"/>
    <col min="11" max="11" width="10.5" style="6" bestFit="1" customWidth="1"/>
    <col min="12" max="12" width="8.5" style="6" bestFit="1" customWidth="1"/>
    <col min="13" max="13" width="25.5" style="5" bestFit="1" customWidth="1"/>
    <col min="14" max="16384" width="9.1640625" style="3"/>
  </cols>
  <sheetData>
    <row r="1" spans="1:13" s="2" customFormat="1" ht="29" customHeight="1">
      <c r="A1" s="64" t="s">
        <v>320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348</v>
      </c>
      <c r="B3" s="79" t="s">
        <v>0</v>
      </c>
      <c r="C3" s="74" t="s">
        <v>349</v>
      </c>
      <c r="D3" s="74" t="s">
        <v>6</v>
      </c>
      <c r="E3" s="76" t="s">
        <v>350</v>
      </c>
      <c r="F3" s="78" t="s">
        <v>5</v>
      </c>
      <c r="G3" s="78" t="s">
        <v>9</v>
      </c>
      <c r="H3" s="78"/>
      <c r="I3" s="78"/>
      <c r="J3" s="78"/>
      <c r="K3" s="76" t="s">
        <v>130</v>
      </c>
      <c r="L3" s="76" t="s">
        <v>3</v>
      </c>
      <c r="M3" s="83" t="s">
        <v>2</v>
      </c>
    </row>
    <row r="4" spans="1:13" s="1" customFormat="1" ht="21" customHeight="1" thickBot="1">
      <c r="A4" s="73"/>
      <c r="B4" s="80"/>
      <c r="C4" s="75"/>
      <c r="D4" s="75"/>
      <c r="E4" s="77"/>
      <c r="F4" s="75"/>
      <c r="G4" s="4">
        <v>1</v>
      </c>
      <c r="H4" s="4">
        <v>2</v>
      </c>
      <c r="I4" s="4">
        <v>3</v>
      </c>
      <c r="J4" s="4" t="s">
        <v>4</v>
      </c>
      <c r="K4" s="77"/>
      <c r="L4" s="77"/>
      <c r="M4" s="84"/>
    </row>
    <row r="5" spans="1:13" ht="16">
      <c r="A5" s="62" t="s">
        <v>96</v>
      </c>
      <c r="B5" s="62"/>
      <c r="C5" s="63"/>
      <c r="D5" s="63"/>
      <c r="E5" s="63"/>
      <c r="F5" s="63"/>
      <c r="G5" s="63"/>
      <c r="H5" s="63"/>
      <c r="I5" s="63"/>
      <c r="J5" s="63"/>
    </row>
    <row r="6" spans="1:13">
      <c r="A6" s="33" t="s">
        <v>30</v>
      </c>
      <c r="B6" s="23" t="s">
        <v>192</v>
      </c>
      <c r="C6" s="23" t="s">
        <v>193</v>
      </c>
      <c r="D6" s="23" t="s">
        <v>194</v>
      </c>
      <c r="E6" s="24" t="s">
        <v>354</v>
      </c>
      <c r="F6" s="23" t="s">
        <v>325</v>
      </c>
      <c r="G6" s="32" t="s">
        <v>195</v>
      </c>
      <c r="H6" s="32" t="s">
        <v>102</v>
      </c>
      <c r="I6" s="34" t="s">
        <v>43</v>
      </c>
      <c r="J6" s="33"/>
      <c r="K6" s="25" t="str">
        <f>"115,0"</f>
        <v>115,0</v>
      </c>
      <c r="L6" s="25" t="str">
        <f>"129,8925"</f>
        <v>129,8925</v>
      </c>
      <c r="M6" s="23" t="s">
        <v>347</v>
      </c>
    </row>
    <row r="7" spans="1:13">
      <c r="A7" s="36" t="s">
        <v>30</v>
      </c>
      <c r="B7" s="26" t="s">
        <v>196</v>
      </c>
      <c r="C7" s="26" t="s">
        <v>197</v>
      </c>
      <c r="D7" s="26" t="s">
        <v>198</v>
      </c>
      <c r="E7" s="27" t="s">
        <v>352</v>
      </c>
      <c r="F7" s="26" t="s">
        <v>35</v>
      </c>
      <c r="G7" s="35" t="s">
        <v>79</v>
      </c>
      <c r="H7" s="35" t="s">
        <v>80</v>
      </c>
      <c r="I7" s="36"/>
      <c r="J7" s="36"/>
      <c r="K7" s="28" t="str">
        <f>"130,0"</f>
        <v>130,0</v>
      </c>
      <c r="L7" s="28" t="str">
        <f>"145,4960"</f>
        <v>145,4960</v>
      </c>
      <c r="M7" s="26" t="s">
        <v>276</v>
      </c>
    </row>
    <row r="8" spans="1:13">
      <c r="A8" s="36" t="s">
        <v>88</v>
      </c>
      <c r="B8" s="26" t="s">
        <v>199</v>
      </c>
      <c r="C8" s="26" t="s">
        <v>200</v>
      </c>
      <c r="D8" s="26" t="s">
        <v>201</v>
      </c>
      <c r="E8" s="27" t="s">
        <v>352</v>
      </c>
      <c r="F8" s="26" t="s">
        <v>325</v>
      </c>
      <c r="G8" s="35" t="s">
        <v>102</v>
      </c>
      <c r="H8" s="35" t="s">
        <v>43</v>
      </c>
      <c r="I8" s="40" t="s">
        <v>202</v>
      </c>
      <c r="J8" s="36"/>
      <c r="K8" s="28" t="str">
        <f>"122,5"</f>
        <v>122,5</v>
      </c>
      <c r="L8" s="28" t="str">
        <f>"139,2947"</f>
        <v>139,2947</v>
      </c>
      <c r="M8" s="26" t="s">
        <v>346</v>
      </c>
    </row>
    <row r="9" spans="1:13">
      <c r="A9" s="39" t="s">
        <v>231</v>
      </c>
      <c r="B9" s="29" t="s">
        <v>97</v>
      </c>
      <c r="C9" s="29" t="s">
        <v>98</v>
      </c>
      <c r="D9" s="29" t="s">
        <v>99</v>
      </c>
      <c r="E9" s="30" t="s">
        <v>352</v>
      </c>
      <c r="F9" s="29" t="s">
        <v>35</v>
      </c>
      <c r="G9" s="37" t="s">
        <v>102</v>
      </c>
      <c r="H9" s="39"/>
      <c r="I9" s="39"/>
      <c r="J9" s="39"/>
      <c r="K9" s="31" t="str">
        <f>"115,0"</f>
        <v>115,0</v>
      </c>
      <c r="L9" s="31" t="str">
        <f>"128,2135"</f>
        <v>128,2135</v>
      </c>
      <c r="M9" s="29" t="s">
        <v>322</v>
      </c>
    </row>
    <row r="11" spans="1:13" ht="16">
      <c r="A11" s="60" t="s">
        <v>103</v>
      </c>
      <c r="B11" s="60"/>
      <c r="C11" s="61"/>
      <c r="D11" s="61"/>
      <c r="E11" s="61"/>
      <c r="F11" s="61"/>
      <c r="G11" s="61"/>
      <c r="H11" s="61"/>
      <c r="I11" s="61"/>
      <c r="J11" s="61"/>
    </row>
    <row r="12" spans="1:13">
      <c r="A12" s="22" t="s">
        <v>30</v>
      </c>
      <c r="B12" s="7" t="s">
        <v>203</v>
      </c>
      <c r="C12" s="7" t="s">
        <v>204</v>
      </c>
      <c r="D12" s="7" t="s">
        <v>205</v>
      </c>
      <c r="E12" s="8" t="s">
        <v>354</v>
      </c>
      <c r="F12" s="7" t="s">
        <v>190</v>
      </c>
      <c r="G12" s="20" t="s">
        <v>51</v>
      </c>
      <c r="H12" s="21" t="s">
        <v>48</v>
      </c>
      <c r="I12" s="21" t="s">
        <v>48</v>
      </c>
      <c r="J12" s="22"/>
      <c r="K12" s="9" t="str">
        <f>"145,0"</f>
        <v>145,0</v>
      </c>
      <c r="L12" s="9" t="str">
        <f>"119,5670"</f>
        <v>119,5670</v>
      </c>
      <c r="M12" s="7" t="s">
        <v>346</v>
      </c>
    </row>
    <row r="14" spans="1:13" ht="16">
      <c r="A14" s="60" t="s">
        <v>113</v>
      </c>
      <c r="B14" s="60"/>
      <c r="C14" s="61"/>
      <c r="D14" s="61"/>
      <c r="E14" s="61"/>
      <c r="F14" s="61"/>
      <c r="G14" s="61"/>
      <c r="H14" s="61"/>
      <c r="I14" s="61"/>
      <c r="J14" s="61"/>
    </row>
    <row r="15" spans="1:13">
      <c r="A15" s="22" t="s">
        <v>30</v>
      </c>
      <c r="B15" s="7" t="s">
        <v>206</v>
      </c>
      <c r="C15" s="7" t="s">
        <v>207</v>
      </c>
      <c r="D15" s="7" t="s">
        <v>208</v>
      </c>
      <c r="E15" s="8" t="s">
        <v>352</v>
      </c>
      <c r="F15" s="7" t="s">
        <v>182</v>
      </c>
      <c r="G15" s="20" t="s">
        <v>19</v>
      </c>
      <c r="H15" s="20" t="s">
        <v>52</v>
      </c>
      <c r="I15" s="21" t="s">
        <v>152</v>
      </c>
      <c r="J15" s="22"/>
      <c r="K15" s="9" t="str">
        <f>"200,0"</f>
        <v>200,0</v>
      </c>
      <c r="L15" s="9" t="str">
        <f>"142,7800"</f>
        <v>142,7800</v>
      </c>
      <c r="M15" s="7" t="s">
        <v>181</v>
      </c>
    </row>
    <row r="17" spans="1:13" ht="16">
      <c r="A17" s="60" t="s">
        <v>31</v>
      </c>
      <c r="B17" s="60"/>
      <c r="C17" s="61"/>
      <c r="D17" s="61"/>
      <c r="E17" s="61"/>
      <c r="F17" s="61"/>
      <c r="G17" s="61"/>
      <c r="H17" s="61"/>
      <c r="I17" s="61"/>
      <c r="J17" s="61"/>
    </row>
    <row r="18" spans="1:13">
      <c r="A18" s="22" t="s">
        <v>30</v>
      </c>
      <c r="B18" s="7" t="s">
        <v>209</v>
      </c>
      <c r="C18" s="7" t="s">
        <v>210</v>
      </c>
      <c r="D18" s="7" t="s">
        <v>211</v>
      </c>
      <c r="E18" s="8" t="s">
        <v>352</v>
      </c>
      <c r="F18" s="7" t="s">
        <v>35</v>
      </c>
      <c r="G18" s="20" t="s">
        <v>17</v>
      </c>
      <c r="H18" s="20" t="s">
        <v>18</v>
      </c>
      <c r="I18" s="20" t="s">
        <v>147</v>
      </c>
      <c r="J18" s="22"/>
      <c r="K18" s="9" t="str">
        <f>"192,5"</f>
        <v>192,5</v>
      </c>
      <c r="L18" s="9" t="str">
        <f>"136,6558"</f>
        <v>136,6558</v>
      </c>
      <c r="M18" s="7" t="s">
        <v>212</v>
      </c>
    </row>
    <row r="20" spans="1:13" ht="16">
      <c r="A20" s="60" t="s">
        <v>59</v>
      </c>
      <c r="B20" s="60"/>
      <c r="C20" s="61"/>
      <c r="D20" s="61"/>
      <c r="E20" s="61"/>
      <c r="F20" s="61"/>
      <c r="G20" s="61"/>
      <c r="H20" s="61"/>
      <c r="I20" s="61"/>
      <c r="J20" s="61"/>
    </row>
    <row r="21" spans="1:13">
      <c r="A21" s="33" t="s">
        <v>30</v>
      </c>
      <c r="B21" s="23" t="s">
        <v>213</v>
      </c>
      <c r="C21" s="23" t="s">
        <v>214</v>
      </c>
      <c r="D21" s="23" t="s">
        <v>215</v>
      </c>
      <c r="E21" s="24" t="s">
        <v>354</v>
      </c>
      <c r="F21" s="23" t="s">
        <v>35</v>
      </c>
      <c r="G21" s="32" t="s">
        <v>53</v>
      </c>
      <c r="H21" s="32" t="s">
        <v>129</v>
      </c>
      <c r="I21" s="32" t="s">
        <v>68</v>
      </c>
      <c r="J21" s="33"/>
      <c r="K21" s="25" t="str">
        <f>"240,0"</f>
        <v>240,0</v>
      </c>
      <c r="L21" s="25" t="str">
        <f>"153,8400"</f>
        <v>153,8400</v>
      </c>
      <c r="M21" s="23" t="s">
        <v>346</v>
      </c>
    </row>
    <row r="22" spans="1:13">
      <c r="A22" s="39" t="s">
        <v>30</v>
      </c>
      <c r="B22" s="29" t="s">
        <v>213</v>
      </c>
      <c r="C22" s="29" t="s">
        <v>216</v>
      </c>
      <c r="D22" s="29" t="s">
        <v>215</v>
      </c>
      <c r="E22" s="30" t="s">
        <v>352</v>
      </c>
      <c r="F22" s="29" t="s">
        <v>35</v>
      </c>
      <c r="G22" s="37" t="s">
        <v>53</v>
      </c>
      <c r="H22" s="37" t="s">
        <v>129</v>
      </c>
      <c r="I22" s="37" t="s">
        <v>68</v>
      </c>
      <c r="J22" s="39"/>
      <c r="K22" s="31" t="str">
        <f>"240,0"</f>
        <v>240,0</v>
      </c>
      <c r="L22" s="31" t="str">
        <f>"153,8400"</f>
        <v>153,8400</v>
      </c>
      <c r="M22" s="29"/>
    </row>
    <row r="24" spans="1:13" ht="16">
      <c r="A24" s="60" t="s">
        <v>69</v>
      </c>
      <c r="B24" s="60"/>
      <c r="C24" s="61"/>
      <c r="D24" s="61"/>
      <c r="E24" s="61"/>
      <c r="F24" s="61"/>
      <c r="G24" s="61"/>
      <c r="H24" s="61"/>
      <c r="I24" s="61"/>
      <c r="J24" s="61"/>
    </row>
    <row r="25" spans="1:13">
      <c r="A25" s="22" t="s">
        <v>30</v>
      </c>
      <c r="B25" s="7" t="s">
        <v>217</v>
      </c>
      <c r="C25" s="7" t="s">
        <v>218</v>
      </c>
      <c r="D25" s="7" t="s">
        <v>219</v>
      </c>
      <c r="E25" s="8" t="s">
        <v>351</v>
      </c>
      <c r="F25" s="7" t="s">
        <v>35</v>
      </c>
      <c r="G25" s="20" t="s">
        <v>53</v>
      </c>
      <c r="H25" s="20" t="s">
        <v>220</v>
      </c>
      <c r="I25" s="21" t="s">
        <v>221</v>
      </c>
      <c r="J25" s="22"/>
      <c r="K25" s="9" t="str">
        <f>"217,5"</f>
        <v>217,5</v>
      </c>
      <c r="L25" s="9" t="str">
        <f>"140,8515"</f>
        <v>140,8515</v>
      </c>
      <c r="M25" s="7" t="s">
        <v>347</v>
      </c>
    </row>
    <row r="27" spans="1:13" ht="16">
      <c r="A27" s="60" t="s">
        <v>10</v>
      </c>
      <c r="B27" s="60"/>
      <c r="C27" s="61"/>
      <c r="D27" s="61"/>
      <c r="E27" s="61"/>
      <c r="F27" s="61"/>
      <c r="G27" s="61"/>
      <c r="H27" s="61"/>
      <c r="I27" s="61"/>
      <c r="J27" s="61"/>
    </row>
    <row r="28" spans="1:13">
      <c r="A28" s="33" t="s">
        <v>30</v>
      </c>
      <c r="B28" s="23" t="s">
        <v>222</v>
      </c>
      <c r="C28" s="23" t="s">
        <v>223</v>
      </c>
      <c r="D28" s="23" t="s">
        <v>224</v>
      </c>
      <c r="E28" s="24" t="s">
        <v>352</v>
      </c>
      <c r="F28" s="23" t="s">
        <v>242</v>
      </c>
      <c r="G28" s="32" t="s">
        <v>84</v>
      </c>
      <c r="H28" s="32" t="s">
        <v>225</v>
      </c>
      <c r="I28" s="33"/>
      <c r="J28" s="33"/>
      <c r="K28" s="25" t="str">
        <f>"282,5"</f>
        <v>282,5</v>
      </c>
      <c r="L28" s="25" t="str">
        <f>"167,2117"</f>
        <v>167,2117</v>
      </c>
      <c r="M28" s="23" t="s">
        <v>346</v>
      </c>
    </row>
    <row r="29" spans="1:13">
      <c r="A29" s="39" t="s">
        <v>88</v>
      </c>
      <c r="B29" s="29" t="s">
        <v>226</v>
      </c>
      <c r="C29" s="29" t="s">
        <v>227</v>
      </c>
      <c r="D29" s="29" t="s">
        <v>228</v>
      </c>
      <c r="E29" s="30" t="s">
        <v>352</v>
      </c>
      <c r="F29" s="29" t="s">
        <v>190</v>
      </c>
      <c r="G29" s="37" t="s">
        <v>64</v>
      </c>
      <c r="H29" s="38" t="s">
        <v>229</v>
      </c>
      <c r="I29" s="38" t="s">
        <v>230</v>
      </c>
      <c r="J29" s="39"/>
      <c r="K29" s="31" t="str">
        <f>"220,0"</f>
        <v>220,0</v>
      </c>
      <c r="L29" s="31" t="str">
        <f>"130,1520"</f>
        <v>130,1520</v>
      </c>
      <c r="M29" s="29" t="s">
        <v>306</v>
      </c>
    </row>
    <row r="31" spans="1:13">
      <c r="E31" s="5"/>
      <c r="F31" s="10"/>
      <c r="G31" s="5"/>
      <c r="K31" s="18"/>
      <c r="M31" s="6"/>
    </row>
  </sheetData>
  <mergeCells count="18">
    <mergeCell ref="A1:M2"/>
    <mergeCell ref="A3:A4"/>
    <mergeCell ref="C3:C4"/>
    <mergeCell ref="D3:D4"/>
    <mergeCell ref="E3:E4"/>
    <mergeCell ref="F3:F4"/>
    <mergeCell ref="G3:J3"/>
    <mergeCell ref="A27:J27"/>
    <mergeCell ref="K3:K4"/>
    <mergeCell ref="L3:L4"/>
    <mergeCell ref="M3:M4"/>
    <mergeCell ref="A5:J5"/>
    <mergeCell ref="B3:B4"/>
    <mergeCell ref="A11:J11"/>
    <mergeCell ref="A14:J14"/>
    <mergeCell ref="A17:J17"/>
    <mergeCell ref="A20:J20"/>
    <mergeCell ref="A24:J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9D6CE-434D-4410-942E-4F9A5816E93B}">
  <dimension ref="A1:M12"/>
  <sheetViews>
    <sheetView workbookViewId="0">
      <selection activeCell="E11" sqref="E11"/>
    </sheetView>
  </sheetViews>
  <sheetFormatPr baseColWidth="10" defaultColWidth="9.1640625" defaultRowHeight="13"/>
  <cols>
    <col min="1" max="1" width="7.5" style="5" bestFit="1" customWidth="1"/>
    <col min="2" max="2" width="21.1640625" style="5" bestFit="1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31.33203125" style="5" bestFit="1" customWidth="1"/>
    <col min="7" max="9" width="5.5" style="18" customWidth="1"/>
    <col min="10" max="10" width="4.83203125" style="18" customWidth="1"/>
    <col min="11" max="11" width="10.5" style="6" bestFit="1" customWidth="1"/>
    <col min="12" max="12" width="8.5" style="6" bestFit="1" customWidth="1"/>
    <col min="13" max="13" width="19.5" style="5" customWidth="1"/>
    <col min="14" max="16384" width="9.1640625" style="3"/>
  </cols>
  <sheetData>
    <row r="1" spans="1:13" s="2" customFormat="1" ht="29" customHeight="1">
      <c r="A1" s="64" t="s">
        <v>321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348</v>
      </c>
      <c r="B3" s="79" t="s">
        <v>0</v>
      </c>
      <c r="C3" s="74" t="s">
        <v>349</v>
      </c>
      <c r="D3" s="74" t="s">
        <v>6</v>
      </c>
      <c r="E3" s="76" t="s">
        <v>350</v>
      </c>
      <c r="F3" s="78" t="s">
        <v>5</v>
      </c>
      <c r="G3" s="78" t="s">
        <v>9</v>
      </c>
      <c r="H3" s="78"/>
      <c r="I3" s="78"/>
      <c r="J3" s="78"/>
      <c r="K3" s="76" t="s">
        <v>130</v>
      </c>
      <c r="L3" s="76" t="s">
        <v>3</v>
      </c>
      <c r="M3" s="83" t="s">
        <v>2</v>
      </c>
    </row>
    <row r="4" spans="1:13" s="1" customFormat="1" ht="21" customHeight="1" thickBot="1">
      <c r="A4" s="73"/>
      <c r="B4" s="80"/>
      <c r="C4" s="75"/>
      <c r="D4" s="75"/>
      <c r="E4" s="77"/>
      <c r="F4" s="75"/>
      <c r="G4" s="4">
        <v>1</v>
      </c>
      <c r="H4" s="4">
        <v>2</v>
      </c>
      <c r="I4" s="4">
        <v>3</v>
      </c>
      <c r="J4" s="4" t="s">
        <v>4</v>
      </c>
      <c r="K4" s="77"/>
      <c r="L4" s="77"/>
      <c r="M4" s="84"/>
    </row>
    <row r="5" spans="1:13" ht="16">
      <c r="A5" s="60" t="s">
        <v>59</v>
      </c>
      <c r="B5" s="60"/>
      <c r="C5" s="61"/>
      <c r="D5" s="61"/>
      <c r="E5" s="61"/>
      <c r="F5" s="61"/>
      <c r="G5" s="61"/>
      <c r="H5" s="61"/>
      <c r="I5" s="61"/>
      <c r="J5" s="61"/>
    </row>
    <row r="6" spans="1:13">
      <c r="A6" s="22" t="s">
        <v>30</v>
      </c>
      <c r="B6" s="7" t="s">
        <v>184</v>
      </c>
      <c r="C6" s="7" t="s">
        <v>185</v>
      </c>
      <c r="D6" s="7" t="s">
        <v>139</v>
      </c>
      <c r="E6" s="8" t="s">
        <v>351</v>
      </c>
      <c r="F6" s="7" t="s">
        <v>325</v>
      </c>
      <c r="G6" s="20" t="s">
        <v>66</v>
      </c>
      <c r="H6" s="20" t="s">
        <v>68</v>
      </c>
      <c r="I6" s="21" t="s">
        <v>186</v>
      </c>
      <c r="J6" s="22"/>
      <c r="K6" s="9" t="str">
        <f>"240,0"</f>
        <v>240,0</v>
      </c>
      <c r="L6" s="9" t="str">
        <f>"155,3610"</f>
        <v>155,3610</v>
      </c>
      <c r="M6" s="7" t="s">
        <v>346</v>
      </c>
    </row>
    <row r="8" spans="1:13" ht="16">
      <c r="A8" s="60" t="s">
        <v>69</v>
      </c>
      <c r="B8" s="60"/>
      <c r="C8" s="61"/>
      <c r="D8" s="61"/>
      <c r="E8" s="61"/>
      <c r="F8" s="61"/>
      <c r="G8" s="61"/>
      <c r="H8" s="61"/>
      <c r="I8" s="61"/>
      <c r="J8" s="61"/>
    </row>
    <row r="9" spans="1:13">
      <c r="A9" s="33" t="s">
        <v>30</v>
      </c>
      <c r="B9" s="23" t="s">
        <v>187</v>
      </c>
      <c r="C9" s="23" t="s">
        <v>188</v>
      </c>
      <c r="D9" s="23" t="s">
        <v>189</v>
      </c>
      <c r="E9" s="24" t="s">
        <v>352</v>
      </c>
      <c r="F9" s="23" t="s">
        <v>190</v>
      </c>
      <c r="G9" s="32" t="s">
        <v>68</v>
      </c>
      <c r="H9" s="32" t="s">
        <v>14</v>
      </c>
      <c r="I9" s="33"/>
      <c r="J9" s="33"/>
      <c r="K9" s="25" t="str">
        <f>"250,0"</f>
        <v>250,0</v>
      </c>
      <c r="L9" s="25" t="str">
        <f>"152,1500"</f>
        <v>152,1500</v>
      </c>
      <c r="M9" s="23" t="s">
        <v>347</v>
      </c>
    </row>
    <row r="10" spans="1:13">
      <c r="A10" s="39" t="s">
        <v>30</v>
      </c>
      <c r="B10" s="29" t="s">
        <v>187</v>
      </c>
      <c r="C10" s="29" t="s">
        <v>191</v>
      </c>
      <c r="D10" s="29" t="s">
        <v>189</v>
      </c>
      <c r="E10" s="30" t="s">
        <v>351</v>
      </c>
      <c r="F10" s="29" t="s">
        <v>190</v>
      </c>
      <c r="G10" s="37" t="s">
        <v>68</v>
      </c>
      <c r="H10" s="37" t="s">
        <v>14</v>
      </c>
      <c r="I10" s="39"/>
      <c r="J10" s="39"/>
      <c r="K10" s="31" t="str">
        <f>"250,0"</f>
        <v>250,0</v>
      </c>
      <c r="L10" s="31" t="str">
        <f>"169,4951"</f>
        <v>169,4951</v>
      </c>
      <c r="M10" s="29" t="s">
        <v>347</v>
      </c>
    </row>
    <row r="12" spans="1:13">
      <c r="E12" s="5"/>
      <c r="F12" s="10"/>
      <c r="G12" s="5"/>
      <c r="K12" s="18"/>
      <c r="M12" s="6"/>
    </row>
  </sheetData>
  <mergeCells count="13">
    <mergeCell ref="M3:M4"/>
    <mergeCell ref="A1:M2"/>
    <mergeCell ref="A3:A4"/>
    <mergeCell ref="C3:C4"/>
    <mergeCell ref="D3:D4"/>
    <mergeCell ref="E3:E4"/>
    <mergeCell ref="F3:F4"/>
    <mergeCell ref="G3:J3"/>
    <mergeCell ref="A5:J5"/>
    <mergeCell ref="A8:J8"/>
    <mergeCell ref="B3:B4"/>
    <mergeCell ref="K3:K4"/>
    <mergeCell ref="L3:L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74729-AD09-4D1D-BD7E-BCFBED9D4D85}">
  <dimension ref="A1:Q11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9.5" style="5" customWidth="1"/>
    <col min="3" max="3" width="27.6640625" style="5" bestFit="1" customWidth="1"/>
    <col min="4" max="4" width="21.5" style="5" bestFit="1" customWidth="1"/>
    <col min="5" max="5" width="10.5" style="10" bestFit="1" customWidth="1"/>
    <col min="6" max="6" width="31.33203125" style="5" bestFit="1" customWidth="1"/>
    <col min="7" max="9" width="5.5" style="18" customWidth="1"/>
    <col min="10" max="10" width="4.83203125" style="18" customWidth="1"/>
    <col min="11" max="13" width="5.5" style="18" customWidth="1"/>
    <col min="14" max="14" width="4.83203125" style="18" customWidth="1"/>
    <col min="15" max="15" width="7.83203125" style="6" bestFit="1" customWidth="1"/>
    <col min="16" max="16" width="7.5" style="6" bestFit="1" customWidth="1"/>
    <col min="17" max="17" width="18.83203125" style="5" customWidth="1"/>
    <col min="18" max="16384" width="9.1640625" style="3"/>
  </cols>
  <sheetData>
    <row r="1" spans="1:17" s="2" customFormat="1" ht="29" customHeight="1">
      <c r="A1" s="64" t="s">
        <v>327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</row>
    <row r="2" spans="1:17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</row>
    <row r="3" spans="1:17" s="1" customFormat="1" ht="12.75" customHeight="1">
      <c r="A3" s="72" t="s">
        <v>348</v>
      </c>
      <c r="B3" s="79" t="s">
        <v>0</v>
      </c>
      <c r="C3" s="74" t="s">
        <v>349</v>
      </c>
      <c r="D3" s="74" t="s">
        <v>6</v>
      </c>
      <c r="E3" s="76" t="s">
        <v>350</v>
      </c>
      <c r="F3" s="78" t="s">
        <v>5</v>
      </c>
      <c r="G3" s="78" t="s">
        <v>344</v>
      </c>
      <c r="H3" s="78"/>
      <c r="I3" s="78"/>
      <c r="J3" s="78"/>
      <c r="K3" s="78" t="s">
        <v>345</v>
      </c>
      <c r="L3" s="78"/>
      <c r="M3" s="78"/>
      <c r="N3" s="78"/>
      <c r="O3" s="76" t="s">
        <v>1</v>
      </c>
      <c r="P3" s="76" t="s">
        <v>3</v>
      </c>
      <c r="Q3" s="83" t="s">
        <v>2</v>
      </c>
    </row>
    <row r="4" spans="1:17" s="1" customFormat="1" ht="21" customHeight="1" thickBot="1">
      <c r="A4" s="73"/>
      <c r="B4" s="80"/>
      <c r="C4" s="75"/>
      <c r="D4" s="75"/>
      <c r="E4" s="77"/>
      <c r="F4" s="7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77"/>
      <c r="P4" s="77"/>
      <c r="Q4" s="84"/>
    </row>
    <row r="5" spans="1:17" ht="16">
      <c r="A5" s="62" t="s">
        <v>96</v>
      </c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7">
      <c r="A6" s="22" t="s">
        <v>30</v>
      </c>
      <c r="B6" s="7" t="s">
        <v>299</v>
      </c>
      <c r="C6" s="7" t="s">
        <v>332</v>
      </c>
      <c r="D6" s="7" t="s">
        <v>99</v>
      </c>
      <c r="E6" s="8" t="s">
        <v>356</v>
      </c>
      <c r="F6" s="7" t="s">
        <v>182</v>
      </c>
      <c r="G6" s="20" t="s">
        <v>101</v>
      </c>
      <c r="H6" s="20" t="s">
        <v>156</v>
      </c>
      <c r="I6" s="21" t="s">
        <v>95</v>
      </c>
      <c r="J6" s="22"/>
      <c r="K6" s="20" t="s">
        <v>286</v>
      </c>
      <c r="L6" s="20" t="s">
        <v>268</v>
      </c>
      <c r="M6" s="21" t="s">
        <v>100</v>
      </c>
      <c r="N6" s="22"/>
      <c r="O6" s="9" t="str">
        <f>"95,0"</f>
        <v>95,0</v>
      </c>
      <c r="P6" s="9" t="str">
        <f>"79,1207"</f>
        <v>79,1207</v>
      </c>
      <c r="Q6" s="7"/>
    </row>
    <row r="8" spans="1:17" ht="16">
      <c r="A8" s="60" t="s">
        <v>59</v>
      </c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</row>
    <row r="9" spans="1:17">
      <c r="A9" s="22" t="s">
        <v>30</v>
      </c>
      <c r="B9" s="7" t="s">
        <v>300</v>
      </c>
      <c r="C9" s="7" t="s">
        <v>301</v>
      </c>
      <c r="D9" s="7" t="s">
        <v>302</v>
      </c>
      <c r="E9" s="8" t="s">
        <v>352</v>
      </c>
      <c r="F9" s="7" t="s">
        <v>35</v>
      </c>
      <c r="G9" s="20" t="s">
        <v>303</v>
      </c>
      <c r="H9" s="21" t="s">
        <v>40</v>
      </c>
      <c r="I9" s="21" t="s">
        <v>40</v>
      </c>
      <c r="J9" s="22"/>
      <c r="K9" s="20" t="s">
        <v>263</v>
      </c>
      <c r="L9" s="21" t="s">
        <v>264</v>
      </c>
      <c r="M9" s="21" t="s">
        <v>264</v>
      </c>
      <c r="N9" s="22"/>
      <c r="O9" s="9" t="str">
        <f>"142,5"</f>
        <v>142,5</v>
      </c>
      <c r="P9" s="9" t="str">
        <f>"88,3073"</f>
        <v>88,3073</v>
      </c>
      <c r="Q9" s="7" t="s">
        <v>346</v>
      </c>
    </row>
    <row r="11" spans="1:17">
      <c r="E11" s="5"/>
      <c r="F11" s="10"/>
      <c r="G11" s="5"/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4F72F-C98F-4019-8BB5-1C88B63D85FB}">
  <dimension ref="A1:Q20"/>
  <sheetViews>
    <sheetView workbookViewId="0">
      <selection activeCell="E21" sqref="E21"/>
    </sheetView>
  </sheetViews>
  <sheetFormatPr baseColWidth="10" defaultColWidth="9.1640625" defaultRowHeight="13"/>
  <cols>
    <col min="1" max="1" width="7.5" style="5" bestFit="1" customWidth="1"/>
    <col min="2" max="2" width="23.6640625" style="5" bestFit="1" customWidth="1"/>
    <col min="3" max="3" width="29" style="5" bestFit="1" customWidth="1"/>
    <col min="4" max="4" width="21.5" style="5" bestFit="1" customWidth="1"/>
    <col min="5" max="5" width="10.5" style="10" bestFit="1" customWidth="1"/>
    <col min="6" max="6" width="35.5" style="5" bestFit="1" customWidth="1"/>
    <col min="7" max="9" width="5.5" style="18" customWidth="1"/>
    <col min="10" max="10" width="4.83203125" style="18" customWidth="1"/>
    <col min="11" max="13" width="5.5" style="18" customWidth="1"/>
    <col min="14" max="14" width="4.83203125" style="18" customWidth="1"/>
    <col min="15" max="15" width="7.83203125" style="6" bestFit="1" customWidth="1"/>
    <col min="16" max="16" width="8.5" style="6" bestFit="1" customWidth="1"/>
    <col min="17" max="17" width="27.33203125" style="5" bestFit="1" customWidth="1"/>
    <col min="18" max="16384" width="9.1640625" style="3"/>
  </cols>
  <sheetData>
    <row r="1" spans="1:17" s="2" customFormat="1" ht="29" customHeight="1">
      <c r="A1" s="64" t="s">
        <v>328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</row>
    <row r="2" spans="1:17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</row>
    <row r="3" spans="1:17" s="1" customFormat="1" ht="12.75" customHeight="1">
      <c r="A3" s="72" t="s">
        <v>348</v>
      </c>
      <c r="B3" s="79" t="s">
        <v>0</v>
      </c>
      <c r="C3" s="74" t="s">
        <v>349</v>
      </c>
      <c r="D3" s="74" t="s">
        <v>6</v>
      </c>
      <c r="E3" s="76" t="s">
        <v>350</v>
      </c>
      <c r="F3" s="78" t="s">
        <v>5</v>
      </c>
      <c r="G3" s="78" t="s">
        <v>344</v>
      </c>
      <c r="H3" s="78"/>
      <c r="I3" s="78"/>
      <c r="J3" s="78"/>
      <c r="K3" s="78" t="s">
        <v>345</v>
      </c>
      <c r="L3" s="78"/>
      <c r="M3" s="78"/>
      <c r="N3" s="78"/>
      <c r="O3" s="76" t="s">
        <v>1</v>
      </c>
      <c r="P3" s="76" t="s">
        <v>3</v>
      </c>
      <c r="Q3" s="83" t="s">
        <v>2</v>
      </c>
    </row>
    <row r="4" spans="1:17" s="1" customFormat="1" ht="21" customHeight="1" thickBot="1">
      <c r="A4" s="73"/>
      <c r="B4" s="80"/>
      <c r="C4" s="75"/>
      <c r="D4" s="75"/>
      <c r="E4" s="77"/>
      <c r="F4" s="7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77"/>
      <c r="P4" s="77"/>
      <c r="Q4" s="84"/>
    </row>
    <row r="5" spans="1:17" ht="16">
      <c r="A5" s="62" t="s">
        <v>243</v>
      </c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7">
      <c r="A6" s="22" t="s">
        <v>30</v>
      </c>
      <c r="B6" s="7" t="s">
        <v>244</v>
      </c>
      <c r="C6" s="7" t="s">
        <v>333</v>
      </c>
      <c r="D6" s="7" t="s">
        <v>245</v>
      </c>
      <c r="E6" s="8" t="s">
        <v>354</v>
      </c>
      <c r="F6" s="7" t="s">
        <v>246</v>
      </c>
      <c r="G6" s="20" t="s">
        <v>247</v>
      </c>
      <c r="H6" s="20" t="s">
        <v>248</v>
      </c>
      <c r="I6" s="21" t="s">
        <v>249</v>
      </c>
      <c r="J6" s="22"/>
      <c r="K6" s="20" t="s">
        <v>250</v>
      </c>
      <c r="L6" s="20" t="s">
        <v>251</v>
      </c>
      <c r="M6" s="20" t="s">
        <v>248</v>
      </c>
      <c r="N6" s="22"/>
      <c r="O6" s="9" t="str">
        <f>"60,0"</f>
        <v>60,0</v>
      </c>
      <c r="P6" s="9" t="str">
        <f>"72,6960"</f>
        <v>72,6960</v>
      </c>
      <c r="Q6" s="7" t="s">
        <v>346</v>
      </c>
    </row>
    <row r="8" spans="1:17" ht="16">
      <c r="A8" s="60" t="s">
        <v>96</v>
      </c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</row>
    <row r="9" spans="1:17">
      <c r="A9" s="22" t="s">
        <v>30</v>
      </c>
      <c r="B9" s="7" t="s">
        <v>252</v>
      </c>
      <c r="C9" s="7" t="s">
        <v>334</v>
      </c>
      <c r="D9" s="7" t="s">
        <v>99</v>
      </c>
      <c r="E9" s="8" t="s">
        <v>354</v>
      </c>
      <c r="F9" s="7" t="s">
        <v>35</v>
      </c>
      <c r="G9" s="20" t="s">
        <v>250</v>
      </c>
      <c r="H9" s="20" t="s">
        <v>247</v>
      </c>
      <c r="I9" s="20" t="s">
        <v>248</v>
      </c>
      <c r="J9" s="22"/>
      <c r="K9" s="20" t="s">
        <v>250</v>
      </c>
      <c r="L9" s="20" t="s">
        <v>247</v>
      </c>
      <c r="M9" s="20" t="s">
        <v>248</v>
      </c>
      <c r="N9" s="22"/>
      <c r="O9" s="9" t="str">
        <f>"60,0"</f>
        <v>60,0</v>
      </c>
      <c r="P9" s="9" t="str">
        <f>"59,2560"</f>
        <v>59,2560</v>
      </c>
      <c r="Q9" s="7" t="s">
        <v>304</v>
      </c>
    </row>
    <row r="11" spans="1:17" ht="16">
      <c r="A11" s="60" t="s">
        <v>31</v>
      </c>
      <c r="B11" s="60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</row>
    <row r="12" spans="1:17">
      <c r="A12" s="22" t="s">
        <v>30</v>
      </c>
      <c r="B12" s="7" t="s">
        <v>258</v>
      </c>
      <c r="C12" s="7" t="s">
        <v>335</v>
      </c>
      <c r="D12" s="7" t="s">
        <v>259</v>
      </c>
      <c r="E12" s="8" t="s">
        <v>354</v>
      </c>
      <c r="F12" s="7" t="s">
        <v>35</v>
      </c>
      <c r="G12" s="20" t="s">
        <v>250</v>
      </c>
      <c r="H12" s="20" t="s">
        <v>247</v>
      </c>
      <c r="I12" s="20" t="s">
        <v>248</v>
      </c>
      <c r="J12" s="22"/>
      <c r="K12" s="20" t="s">
        <v>250</v>
      </c>
      <c r="L12" s="20" t="s">
        <v>247</v>
      </c>
      <c r="M12" s="20" t="s">
        <v>248</v>
      </c>
      <c r="N12" s="22"/>
      <c r="O12" s="9" t="str">
        <f>"60,0"</f>
        <v>60,0</v>
      </c>
      <c r="P12" s="9" t="str">
        <f>"48,8100"</f>
        <v>48,8100</v>
      </c>
      <c r="Q12" s="7" t="s">
        <v>346</v>
      </c>
    </row>
    <row r="14" spans="1:17" ht="16">
      <c r="A14" s="60" t="s">
        <v>59</v>
      </c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</row>
    <row r="15" spans="1:17">
      <c r="A15" s="33" t="s">
        <v>30</v>
      </c>
      <c r="B15" s="23" t="s">
        <v>291</v>
      </c>
      <c r="C15" s="23" t="s">
        <v>336</v>
      </c>
      <c r="D15" s="23" t="s">
        <v>292</v>
      </c>
      <c r="E15" s="24" t="s">
        <v>356</v>
      </c>
      <c r="F15" s="23" t="s">
        <v>35</v>
      </c>
      <c r="G15" s="32" t="s">
        <v>74</v>
      </c>
      <c r="H15" s="32" t="s">
        <v>293</v>
      </c>
      <c r="I15" s="32" t="s">
        <v>58</v>
      </c>
      <c r="J15" s="33"/>
      <c r="K15" s="32" t="s">
        <v>263</v>
      </c>
      <c r="L15" s="32" t="s">
        <v>264</v>
      </c>
      <c r="M15" s="34" t="s">
        <v>119</v>
      </c>
      <c r="N15" s="33"/>
      <c r="O15" s="25" t="str">
        <f>"170,0"</f>
        <v>170,0</v>
      </c>
      <c r="P15" s="25" t="str">
        <f>"104,9410"</f>
        <v>104,9410</v>
      </c>
      <c r="Q15" s="23" t="s">
        <v>346</v>
      </c>
    </row>
    <row r="16" spans="1:17">
      <c r="A16" s="39" t="s">
        <v>30</v>
      </c>
      <c r="B16" s="29" t="s">
        <v>266</v>
      </c>
      <c r="C16" s="29" t="s">
        <v>337</v>
      </c>
      <c r="D16" s="29" t="s">
        <v>267</v>
      </c>
      <c r="E16" s="30" t="s">
        <v>354</v>
      </c>
      <c r="F16" s="29" t="s">
        <v>35</v>
      </c>
      <c r="G16" s="37" t="s">
        <v>268</v>
      </c>
      <c r="H16" s="37" t="s">
        <v>100</v>
      </c>
      <c r="I16" s="38" t="s">
        <v>94</v>
      </c>
      <c r="J16" s="39"/>
      <c r="K16" s="37" t="s">
        <v>268</v>
      </c>
      <c r="L16" s="37" t="s">
        <v>100</v>
      </c>
      <c r="M16" s="38" t="s">
        <v>101</v>
      </c>
      <c r="N16" s="39"/>
      <c r="O16" s="31" t="str">
        <f>"90,0"</f>
        <v>90,0</v>
      </c>
      <c r="P16" s="31" t="str">
        <f>"57,4830"</f>
        <v>57,4830</v>
      </c>
      <c r="Q16" s="29" t="s">
        <v>305</v>
      </c>
    </row>
    <row r="18" spans="1:17" ht="16">
      <c r="A18" s="60" t="s">
        <v>69</v>
      </c>
      <c r="B18" s="60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</row>
    <row r="19" spans="1:17">
      <c r="A19" s="33" t="s">
        <v>30</v>
      </c>
      <c r="B19" s="23" t="s">
        <v>294</v>
      </c>
      <c r="C19" s="23" t="s">
        <v>338</v>
      </c>
      <c r="D19" s="23" t="s">
        <v>295</v>
      </c>
      <c r="E19" s="24" t="s">
        <v>356</v>
      </c>
      <c r="F19" s="23" t="s">
        <v>35</v>
      </c>
      <c r="G19" s="32" t="s">
        <v>95</v>
      </c>
      <c r="H19" s="32" t="s">
        <v>158</v>
      </c>
      <c r="I19" s="32" t="s">
        <v>296</v>
      </c>
      <c r="J19" s="33"/>
      <c r="K19" s="32" t="s">
        <v>100</v>
      </c>
      <c r="L19" s="32" t="s">
        <v>101</v>
      </c>
      <c r="M19" s="34" t="s">
        <v>94</v>
      </c>
      <c r="N19" s="33"/>
      <c r="O19" s="25" t="str">
        <f>"113,0"</f>
        <v>113,0</v>
      </c>
      <c r="P19" s="25" t="str">
        <f>"67,2915"</f>
        <v>67,2915</v>
      </c>
      <c r="Q19" s="23" t="s">
        <v>305</v>
      </c>
    </row>
    <row r="20" spans="1:17">
      <c r="A20" s="39" t="s">
        <v>30</v>
      </c>
      <c r="B20" s="29" t="s">
        <v>297</v>
      </c>
      <c r="C20" s="29" t="s">
        <v>339</v>
      </c>
      <c r="D20" s="29" t="s">
        <v>298</v>
      </c>
      <c r="E20" s="30" t="s">
        <v>351</v>
      </c>
      <c r="F20" s="29" t="s">
        <v>35</v>
      </c>
      <c r="G20" s="37" t="s">
        <v>58</v>
      </c>
      <c r="H20" s="37" t="s">
        <v>37</v>
      </c>
      <c r="I20" s="37" t="s">
        <v>38</v>
      </c>
      <c r="J20" s="39"/>
      <c r="K20" s="37" t="s">
        <v>264</v>
      </c>
      <c r="L20" s="37" t="s">
        <v>119</v>
      </c>
      <c r="M20" s="38" t="s">
        <v>124</v>
      </c>
      <c r="N20" s="39"/>
      <c r="O20" s="31" t="str">
        <f>"185,0"</f>
        <v>185,0</v>
      </c>
      <c r="P20" s="31" t="str">
        <f>"112,1840"</f>
        <v>112,1840</v>
      </c>
      <c r="Q20" s="29" t="s">
        <v>346</v>
      </c>
    </row>
  </sheetData>
  <mergeCells count="17"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A14:N14"/>
    <mergeCell ref="A18:N18"/>
    <mergeCell ref="B3:B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F896-7B6D-45E3-8730-CC6F48D28B37}">
  <dimension ref="A1:M8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33203125" style="5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3" style="5" bestFit="1" customWidth="1"/>
    <col min="7" max="9" width="5.5" style="18" customWidth="1"/>
    <col min="10" max="10" width="4.83203125" style="18" customWidth="1"/>
    <col min="11" max="11" width="10.5" style="6" bestFit="1" customWidth="1"/>
    <col min="12" max="12" width="7.5" style="6" bestFit="1" customWidth="1"/>
    <col min="13" max="13" width="17.83203125" style="5" customWidth="1"/>
    <col min="14" max="16384" width="9.1640625" style="3"/>
  </cols>
  <sheetData>
    <row r="1" spans="1:13" s="2" customFormat="1" ht="29" customHeight="1">
      <c r="A1" s="64" t="s">
        <v>329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348</v>
      </c>
      <c r="B3" s="79" t="s">
        <v>0</v>
      </c>
      <c r="C3" s="74" t="s">
        <v>349</v>
      </c>
      <c r="D3" s="74" t="s">
        <v>6</v>
      </c>
      <c r="E3" s="76" t="s">
        <v>350</v>
      </c>
      <c r="F3" s="78" t="s">
        <v>5</v>
      </c>
      <c r="G3" s="78" t="s">
        <v>344</v>
      </c>
      <c r="H3" s="78"/>
      <c r="I3" s="78"/>
      <c r="J3" s="78"/>
      <c r="K3" s="76" t="s">
        <v>130</v>
      </c>
      <c r="L3" s="76" t="s">
        <v>3</v>
      </c>
      <c r="M3" s="83" t="s">
        <v>2</v>
      </c>
    </row>
    <row r="4" spans="1:13" s="1" customFormat="1" ht="21" customHeight="1" thickBot="1">
      <c r="A4" s="73"/>
      <c r="B4" s="80"/>
      <c r="C4" s="75"/>
      <c r="D4" s="75"/>
      <c r="E4" s="77"/>
      <c r="F4" s="75"/>
      <c r="G4" s="4">
        <v>1</v>
      </c>
      <c r="H4" s="4">
        <v>2</v>
      </c>
      <c r="I4" s="4">
        <v>3</v>
      </c>
      <c r="J4" s="4" t="s">
        <v>4</v>
      </c>
      <c r="K4" s="77"/>
      <c r="L4" s="77"/>
      <c r="M4" s="84"/>
    </row>
    <row r="5" spans="1:13" ht="16">
      <c r="A5" s="62" t="s">
        <v>10</v>
      </c>
      <c r="B5" s="62"/>
      <c r="C5" s="63"/>
      <c r="D5" s="63"/>
      <c r="E5" s="63"/>
      <c r="F5" s="63"/>
      <c r="G5" s="63"/>
      <c r="H5" s="63"/>
      <c r="I5" s="63"/>
      <c r="J5" s="63"/>
    </row>
    <row r="6" spans="1:13">
      <c r="A6" s="22" t="s">
        <v>30</v>
      </c>
      <c r="B6" s="7" t="s">
        <v>239</v>
      </c>
      <c r="C6" s="7" t="s">
        <v>240</v>
      </c>
      <c r="D6" s="7" t="s">
        <v>241</v>
      </c>
      <c r="E6" s="8" t="s">
        <v>352</v>
      </c>
      <c r="F6" s="7" t="s">
        <v>242</v>
      </c>
      <c r="G6" s="21" t="s">
        <v>39</v>
      </c>
      <c r="H6" s="20" t="s">
        <v>39</v>
      </c>
      <c r="I6" s="21" t="s">
        <v>40</v>
      </c>
      <c r="J6" s="22"/>
      <c r="K6" s="9" t="str">
        <f>"80,0"</f>
        <v>80,0</v>
      </c>
      <c r="L6" s="9" t="str">
        <f>"45,6240"</f>
        <v>45,6240</v>
      </c>
      <c r="M6" s="7"/>
    </row>
    <row r="8" spans="1:13">
      <c r="E8" s="5"/>
      <c r="F8" s="10"/>
      <c r="G8" s="5"/>
      <c r="K8" s="18"/>
      <c r="M8" s="6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1BB02-922D-4B4B-A4D8-ED3905A030F0}">
  <dimension ref="A1:M18"/>
  <sheetViews>
    <sheetView workbookViewId="0">
      <selection activeCell="E17" sqref="E17"/>
    </sheetView>
  </sheetViews>
  <sheetFormatPr baseColWidth="10" defaultColWidth="9.1640625" defaultRowHeight="13"/>
  <cols>
    <col min="1" max="1" width="7.5" style="5" bestFit="1" customWidth="1"/>
    <col min="2" max="2" width="19.33203125" style="5" bestFit="1" customWidth="1"/>
    <col min="3" max="3" width="27.6640625" style="5" bestFit="1" customWidth="1"/>
    <col min="4" max="4" width="21.5" style="5" bestFit="1" customWidth="1"/>
    <col min="5" max="5" width="10.5" style="10" bestFit="1" customWidth="1"/>
    <col min="6" max="6" width="31.6640625" style="5" bestFit="1" customWidth="1"/>
    <col min="7" max="9" width="5.5" style="18" customWidth="1"/>
    <col min="10" max="10" width="4.83203125" style="18" customWidth="1"/>
    <col min="11" max="11" width="10.5" style="6" bestFit="1" customWidth="1"/>
    <col min="12" max="12" width="7.5" style="6" bestFit="1" customWidth="1"/>
    <col min="13" max="13" width="19.1640625" style="5" customWidth="1"/>
    <col min="14" max="16384" width="9.1640625" style="3"/>
  </cols>
  <sheetData>
    <row r="1" spans="1:13" s="2" customFormat="1" ht="29" customHeight="1">
      <c r="A1" s="64" t="s">
        <v>330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348</v>
      </c>
      <c r="B3" s="79" t="s">
        <v>0</v>
      </c>
      <c r="C3" s="74" t="s">
        <v>349</v>
      </c>
      <c r="D3" s="74" t="s">
        <v>6</v>
      </c>
      <c r="E3" s="76" t="s">
        <v>350</v>
      </c>
      <c r="F3" s="78" t="s">
        <v>5</v>
      </c>
      <c r="G3" s="78" t="s">
        <v>344</v>
      </c>
      <c r="H3" s="78"/>
      <c r="I3" s="78"/>
      <c r="J3" s="78"/>
      <c r="K3" s="76" t="s">
        <v>130</v>
      </c>
      <c r="L3" s="76" t="s">
        <v>3</v>
      </c>
      <c r="M3" s="83" t="s">
        <v>2</v>
      </c>
    </row>
    <row r="4" spans="1:13" s="1" customFormat="1" ht="21" customHeight="1" thickBot="1">
      <c r="A4" s="73"/>
      <c r="B4" s="80"/>
      <c r="C4" s="75"/>
      <c r="D4" s="75"/>
      <c r="E4" s="77"/>
      <c r="F4" s="75"/>
      <c r="G4" s="4">
        <v>1</v>
      </c>
      <c r="H4" s="4">
        <v>2</v>
      </c>
      <c r="I4" s="4">
        <v>3</v>
      </c>
      <c r="J4" s="4" t="s">
        <v>4</v>
      </c>
      <c r="K4" s="77"/>
      <c r="L4" s="77"/>
      <c r="M4" s="84"/>
    </row>
    <row r="5" spans="1:13" ht="16">
      <c r="A5" s="62" t="s">
        <v>243</v>
      </c>
      <c r="B5" s="62"/>
      <c r="C5" s="63"/>
      <c r="D5" s="63"/>
      <c r="E5" s="63"/>
      <c r="F5" s="63"/>
      <c r="G5" s="63"/>
      <c r="H5" s="63"/>
      <c r="I5" s="63"/>
      <c r="J5" s="63"/>
    </row>
    <row r="6" spans="1:13">
      <c r="A6" s="22" t="s">
        <v>30</v>
      </c>
      <c r="B6" s="7" t="s">
        <v>279</v>
      </c>
      <c r="C6" s="7" t="s">
        <v>280</v>
      </c>
      <c r="D6" s="7" t="s">
        <v>281</v>
      </c>
      <c r="E6" s="8" t="s">
        <v>352</v>
      </c>
      <c r="F6" s="7" t="s">
        <v>182</v>
      </c>
      <c r="G6" s="20" t="s">
        <v>250</v>
      </c>
      <c r="H6" s="20" t="s">
        <v>247</v>
      </c>
      <c r="I6" s="21" t="s">
        <v>248</v>
      </c>
      <c r="J6" s="22"/>
      <c r="K6" s="9" t="str">
        <f>"27,5"</f>
        <v>27,5</v>
      </c>
      <c r="L6" s="9" t="str">
        <f>"32,7360"</f>
        <v>32,7360</v>
      </c>
      <c r="M6" s="7"/>
    </row>
    <row r="8" spans="1:13" ht="16">
      <c r="A8" s="60" t="s">
        <v>103</v>
      </c>
      <c r="B8" s="60"/>
      <c r="C8" s="61"/>
      <c r="D8" s="61"/>
      <c r="E8" s="61"/>
      <c r="F8" s="61"/>
      <c r="G8" s="61"/>
      <c r="H8" s="61"/>
      <c r="I8" s="61"/>
      <c r="J8" s="61"/>
    </row>
    <row r="9" spans="1:13">
      <c r="A9" s="22" t="s">
        <v>30</v>
      </c>
      <c r="B9" s="7" t="s">
        <v>282</v>
      </c>
      <c r="C9" s="7" t="s">
        <v>340</v>
      </c>
      <c r="D9" s="7" t="s">
        <v>283</v>
      </c>
      <c r="E9" s="8" t="s">
        <v>356</v>
      </c>
      <c r="F9" s="7" t="s">
        <v>35</v>
      </c>
      <c r="G9" s="20" t="s">
        <v>284</v>
      </c>
      <c r="H9" s="20" t="s">
        <v>285</v>
      </c>
      <c r="I9" s="21" t="s">
        <v>286</v>
      </c>
      <c r="J9" s="22"/>
      <c r="K9" s="9" t="str">
        <f>"37,5"</f>
        <v>37,5</v>
      </c>
      <c r="L9" s="9" t="str">
        <f>"28,0650"</f>
        <v>28,0650</v>
      </c>
      <c r="M9" s="7"/>
    </row>
    <row r="11" spans="1:13" ht="16">
      <c r="A11" s="60" t="s">
        <v>31</v>
      </c>
      <c r="B11" s="60"/>
      <c r="C11" s="61"/>
      <c r="D11" s="61"/>
      <c r="E11" s="61"/>
      <c r="F11" s="61"/>
      <c r="G11" s="61"/>
      <c r="H11" s="61"/>
      <c r="I11" s="61"/>
      <c r="J11" s="61"/>
    </row>
    <row r="12" spans="1:13">
      <c r="A12" s="33" t="s">
        <v>30</v>
      </c>
      <c r="B12" s="23" t="s">
        <v>287</v>
      </c>
      <c r="C12" s="23" t="s">
        <v>288</v>
      </c>
      <c r="D12" s="23" t="s">
        <v>289</v>
      </c>
      <c r="E12" s="24" t="s">
        <v>352</v>
      </c>
      <c r="F12" s="23" t="s">
        <v>35</v>
      </c>
      <c r="G12" s="34" t="s">
        <v>272</v>
      </c>
      <c r="H12" s="32" t="s">
        <v>263</v>
      </c>
      <c r="I12" s="34" t="s">
        <v>264</v>
      </c>
      <c r="J12" s="33"/>
      <c r="K12" s="25" t="str">
        <f>"65,0"</f>
        <v>65,0</v>
      </c>
      <c r="L12" s="25" t="str">
        <f>"42,7245"</f>
        <v>42,7245</v>
      </c>
      <c r="M12" s="23" t="s">
        <v>346</v>
      </c>
    </row>
    <row r="13" spans="1:13">
      <c r="A13" s="39" t="s">
        <v>88</v>
      </c>
      <c r="B13" s="29" t="s">
        <v>235</v>
      </c>
      <c r="C13" s="29" t="s">
        <v>236</v>
      </c>
      <c r="D13" s="29" t="s">
        <v>290</v>
      </c>
      <c r="E13" s="30" t="s">
        <v>352</v>
      </c>
      <c r="F13" s="29" t="s">
        <v>238</v>
      </c>
      <c r="G13" s="37" t="s">
        <v>95</v>
      </c>
      <c r="H13" s="37" t="s">
        <v>157</v>
      </c>
      <c r="I13" s="37" t="s">
        <v>158</v>
      </c>
      <c r="J13" s="39"/>
      <c r="K13" s="31" t="str">
        <f>"60,0"</f>
        <v>60,0</v>
      </c>
      <c r="L13" s="31" t="str">
        <f>"41,0310"</f>
        <v>41,0310</v>
      </c>
      <c r="M13" s="29" t="s">
        <v>183</v>
      </c>
    </row>
    <row r="15" spans="1:13" ht="16">
      <c r="A15" s="60" t="s">
        <v>59</v>
      </c>
      <c r="B15" s="60"/>
      <c r="C15" s="61"/>
      <c r="D15" s="61"/>
      <c r="E15" s="61"/>
      <c r="F15" s="61"/>
      <c r="G15" s="61"/>
      <c r="H15" s="61"/>
      <c r="I15" s="61"/>
      <c r="J15" s="61"/>
    </row>
    <row r="16" spans="1:13">
      <c r="A16" s="22" t="s">
        <v>30</v>
      </c>
      <c r="B16" s="7" t="s">
        <v>178</v>
      </c>
      <c r="C16" s="7" t="s">
        <v>179</v>
      </c>
      <c r="D16" s="7" t="s">
        <v>180</v>
      </c>
      <c r="E16" s="8" t="s">
        <v>352</v>
      </c>
      <c r="F16" s="7" t="s">
        <v>35</v>
      </c>
      <c r="G16" s="20" t="s">
        <v>156</v>
      </c>
      <c r="H16" s="20" t="s">
        <v>157</v>
      </c>
      <c r="I16" s="20" t="s">
        <v>158</v>
      </c>
      <c r="J16" s="22"/>
      <c r="K16" s="9" t="str">
        <f>"60,0"</f>
        <v>60,0</v>
      </c>
      <c r="L16" s="9" t="str">
        <f>"37,4310"</f>
        <v>37,4310</v>
      </c>
      <c r="M16" s="7"/>
    </row>
    <row r="18" spans="5:13">
      <c r="E18" s="5"/>
      <c r="F18" s="10"/>
      <c r="G18" s="5"/>
      <c r="K18" s="18"/>
      <c r="M18" s="6"/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5:J15"/>
    <mergeCell ref="B3:B4"/>
    <mergeCell ref="K3:K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CEEF2-2A70-4D62-B69C-513921A6AAAD}">
  <dimension ref="A1:M29"/>
  <sheetViews>
    <sheetView tabSelected="1" workbookViewId="0">
      <selection activeCell="E28" sqref="E28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9" style="5" bestFit="1" customWidth="1"/>
    <col min="4" max="4" width="21.5" style="5" bestFit="1" customWidth="1"/>
    <col min="5" max="5" width="10.5" style="10" bestFit="1" customWidth="1"/>
    <col min="6" max="6" width="37.1640625" style="5" bestFit="1" customWidth="1"/>
    <col min="7" max="9" width="5.5" style="18" customWidth="1"/>
    <col min="10" max="10" width="4.83203125" style="18" customWidth="1"/>
    <col min="11" max="11" width="10.5" style="6" bestFit="1" customWidth="1"/>
    <col min="12" max="12" width="7.5" style="6" bestFit="1" customWidth="1"/>
    <col min="13" max="13" width="27.33203125" style="5" bestFit="1" customWidth="1"/>
    <col min="14" max="16384" width="9.1640625" style="3"/>
  </cols>
  <sheetData>
    <row r="1" spans="1:13" s="2" customFormat="1" ht="29" customHeight="1">
      <c r="A1" s="64" t="s">
        <v>331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348</v>
      </c>
      <c r="B3" s="79" t="s">
        <v>0</v>
      </c>
      <c r="C3" s="74" t="s">
        <v>349</v>
      </c>
      <c r="D3" s="74" t="s">
        <v>6</v>
      </c>
      <c r="E3" s="76" t="s">
        <v>350</v>
      </c>
      <c r="F3" s="78" t="s">
        <v>5</v>
      </c>
      <c r="G3" s="78" t="s">
        <v>344</v>
      </c>
      <c r="H3" s="78"/>
      <c r="I3" s="78"/>
      <c r="J3" s="78"/>
      <c r="K3" s="76" t="s">
        <v>130</v>
      </c>
      <c r="L3" s="76" t="s">
        <v>3</v>
      </c>
      <c r="M3" s="83" t="s">
        <v>2</v>
      </c>
    </row>
    <row r="4" spans="1:13" s="1" customFormat="1" ht="21" customHeight="1" thickBot="1">
      <c r="A4" s="73"/>
      <c r="B4" s="80"/>
      <c r="C4" s="75"/>
      <c r="D4" s="75"/>
      <c r="E4" s="77"/>
      <c r="F4" s="75"/>
      <c r="G4" s="4">
        <v>1</v>
      </c>
      <c r="H4" s="4">
        <v>2</v>
      </c>
      <c r="I4" s="4">
        <v>3</v>
      </c>
      <c r="J4" s="4" t="s">
        <v>4</v>
      </c>
      <c r="K4" s="77"/>
      <c r="L4" s="77"/>
      <c r="M4" s="84"/>
    </row>
    <row r="5" spans="1:13" ht="16">
      <c r="A5" s="62" t="s">
        <v>243</v>
      </c>
      <c r="B5" s="62"/>
      <c r="C5" s="63"/>
      <c r="D5" s="63"/>
      <c r="E5" s="63"/>
      <c r="F5" s="63"/>
      <c r="G5" s="63"/>
      <c r="H5" s="63"/>
      <c r="I5" s="63"/>
      <c r="J5" s="63"/>
    </row>
    <row r="6" spans="1:13">
      <c r="A6" s="22" t="s">
        <v>30</v>
      </c>
      <c r="B6" s="7" t="s">
        <v>244</v>
      </c>
      <c r="C6" s="7" t="s">
        <v>333</v>
      </c>
      <c r="D6" s="7" t="s">
        <v>245</v>
      </c>
      <c r="E6" s="8" t="s">
        <v>354</v>
      </c>
      <c r="F6" s="7" t="s">
        <v>246</v>
      </c>
      <c r="G6" s="20" t="s">
        <v>250</v>
      </c>
      <c r="H6" s="20" t="s">
        <v>251</v>
      </c>
      <c r="I6" s="20" t="s">
        <v>248</v>
      </c>
      <c r="J6" s="22"/>
      <c r="K6" s="9" t="str">
        <f>"30,0"</f>
        <v>30,0</v>
      </c>
      <c r="L6" s="9" t="str">
        <f>"36,3480"</f>
        <v>36,3480</v>
      </c>
      <c r="M6" s="7" t="s">
        <v>346</v>
      </c>
    </row>
    <row r="8" spans="1:13" ht="16">
      <c r="A8" s="60" t="s">
        <v>96</v>
      </c>
      <c r="B8" s="60"/>
      <c r="C8" s="61"/>
      <c r="D8" s="61"/>
      <c r="E8" s="61"/>
      <c r="F8" s="61"/>
      <c r="G8" s="61"/>
      <c r="H8" s="61"/>
      <c r="I8" s="61"/>
      <c r="J8" s="61"/>
    </row>
    <row r="9" spans="1:13">
      <c r="A9" s="42" t="s">
        <v>30</v>
      </c>
      <c r="B9" s="50" t="s">
        <v>253</v>
      </c>
      <c r="C9" s="50" t="s">
        <v>343</v>
      </c>
      <c r="D9" s="23" t="s">
        <v>254</v>
      </c>
      <c r="E9" s="43" t="s">
        <v>356</v>
      </c>
      <c r="F9" s="23" t="s">
        <v>35</v>
      </c>
      <c r="G9" s="52" t="s">
        <v>255</v>
      </c>
      <c r="H9" s="44" t="s">
        <v>256</v>
      </c>
      <c r="I9" s="55" t="s">
        <v>257</v>
      </c>
      <c r="J9" s="33"/>
      <c r="K9" s="53" t="str">
        <f>"22,5"</f>
        <v>22,5</v>
      </c>
      <c r="L9" s="53" t="str">
        <f>"23,2537"</f>
        <v>23,2537</v>
      </c>
      <c r="M9" s="45"/>
    </row>
    <row r="10" spans="1:13">
      <c r="A10" s="46" t="s">
        <v>30</v>
      </c>
      <c r="B10" s="51" t="s">
        <v>252</v>
      </c>
      <c r="C10" s="51" t="s">
        <v>334</v>
      </c>
      <c r="D10" s="29" t="s">
        <v>99</v>
      </c>
      <c r="E10" s="47" t="s">
        <v>354</v>
      </c>
      <c r="F10" s="29" t="s">
        <v>35</v>
      </c>
      <c r="G10" s="59" t="s">
        <v>250</v>
      </c>
      <c r="H10" s="48" t="s">
        <v>247</v>
      </c>
      <c r="I10" s="56" t="s">
        <v>248</v>
      </c>
      <c r="J10" s="39"/>
      <c r="K10" s="54" t="str">
        <f>"30,0"</f>
        <v>30,0</v>
      </c>
      <c r="L10" s="54" t="str">
        <f>"29,6280"</f>
        <v>29,6280</v>
      </c>
      <c r="M10" s="49" t="s">
        <v>305</v>
      </c>
    </row>
    <row r="12" spans="1:13" ht="16">
      <c r="A12" s="60" t="s">
        <v>31</v>
      </c>
      <c r="B12" s="60"/>
      <c r="C12" s="61"/>
      <c r="D12" s="61"/>
      <c r="E12" s="61"/>
      <c r="F12" s="61"/>
      <c r="G12" s="61"/>
      <c r="H12" s="61"/>
      <c r="I12" s="61"/>
      <c r="J12" s="61"/>
    </row>
    <row r="13" spans="1:13">
      <c r="A13" s="22" t="s">
        <v>30</v>
      </c>
      <c r="B13" s="7" t="s">
        <v>258</v>
      </c>
      <c r="C13" s="7" t="s">
        <v>335</v>
      </c>
      <c r="D13" s="7" t="s">
        <v>259</v>
      </c>
      <c r="E13" s="8" t="s">
        <v>354</v>
      </c>
      <c r="F13" s="7" t="s">
        <v>35</v>
      </c>
      <c r="G13" s="20" t="s">
        <v>250</v>
      </c>
      <c r="H13" s="20" t="s">
        <v>247</v>
      </c>
      <c r="I13" s="20" t="s">
        <v>248</v>
      </c>
      <c r="J13" s="22"/>
      <c r="K13" s="9" t="str">
        <f>"30,0"</f>
        <v>30,0</v>
      </c>
      <c r="L13" s="9" t="str">
        <f>"24,4050"</f>
        <v>24,4050</v>
      </c>
      <c r="M13" s="7" t="s">
        <v>346</v>
      </c>
    </row>
    <row r="15" spans="1:13" ht="16">
      <c r="A15" s="60" t="s">
        <v>103</v>
      </c>
      <c r="B15" s="60"/>
      <c r="C15" s="61"/>
      <c r="D15" s="61"/>
      <c r="E15" s="61"/>
      <c r="F15" s="61"/>
      <c r="G15" s="61"/>
      <c r="H15" s="61"/>
      <c r="I15" s="61"/>
      <c r="J15" s="61"/>
    </row>
    <row r="16" spans="1:13">
      <c r="A16" s="22" t="s">
        <v>30</v>
      </c>
      <c r="B16" s="7" t="s">
        <v>260</v>
      </c>
      <c r="C16" s="7" t="s">
        <v>341</v>
      </c>
      <c r="D16" s="7" t="s">
        <v>261</v>
      </c>
      <c r="E16" s="8" t="s">
        <v>356</v>
      </c>
      <c r="F16" s="7" t="s">
        <v>262</v>
      </c>
      <c r="G16" s="20" t="s">
        <v>257</v>
      </c>
      <c r="H16" s="20" t="s">
        <v>250</v>
      </c>
      <c r="I16" s="21" t="s">
        <v>247</v>
      </c>
      <c r="J16" s="22"/>
      <c r="K16" s="9" t="str">
        <f>"25,0"</f>
        <v>25,0</v>
      </c>
      <c r="L16" s="9" t="str">
        <f>"20,2425"</f>
        <v>20,2425</v>
      </c>
      <c r="M16" s="7" t="s">
        <v>305</v>
      </c>
    </row>
    <row r="18" spans="1:13" ht="16">
      <c r="A18" s="60" t="s">
        <v>31</v>
      </c>
      <c r="B18" s="60"/>
      <c r="C18" s="61"/>
      <c r="D18" s="61"/>
      <c r="E18" s="61"/>
      <c r="F18" s="61"/>
      <c r="G18" s="61"/>
      <c r="H18" s="61"/>
      <c r="I18" s="61"/>
      <c r="J18" s="61"/>
    </row>
    <row r="19" spans="1:13">
      <c r="A19" s="22" t="s">
        <v>30</v>
      </c>
      <c r="B19" s="7" t="s">
        <v>135</v>
      </c>
      <c r="C19" s="7" t="s">
        <v>136</v>
      </c>
      <c r="D19" s="7" t="s">
        <v>34</v>
      </c>
      <c r="E19" s="8" t="s">
        <v>351</v>
      </c>
      <c r="F19" s="7" t="s">
        <v>134</v>
      </c>
      <c r="G19" s="20" t="s">
        <v>263</v>
      </c>
      <c r="H19" s="20" t="s">
        <v>264</v>
      </c>
      <c r="I19" s="20" t="s">
        <v>265</v>
      </c>
      <c r="J19" s="22"/>
      <c r="K19" s="9" t="str">
        <f>"72,5"</f>
        <v>72,5</v>
      </c>
      <c r="L19" s="9" t="str">
        <f>"51,1736"</f>
        <v>51,1736</v>
      </c>
      <c r="M19" s="7"/>
    </row>
    <row r="21" spans="1:13" ht="16">
      <c r="A21" s="60" t="s">
        <v>59</v>
      </c>
      <c r="B21" s="60"/>
      <c r="C21" s="61"/>
      <c r="D21" s="61"/>
      <c r="E21" s="61"/>
      <c r="F21" s="61"/>
      <c r="G21" s="61"/>
      <c r="H21" s="61"/>
      <c r="I21" s="61"/>
      <c r="J21" s="61"/>
    </row>
    <row r="22" spans="1:13">
      <c r="A22" s="33" t="s">
        <v>30</v>
      </c>
      <c r="B22" s="23" t="s">
        <v>266</v>
      </c>
      <c r="C22" s="23" t="s">
        <v>337</v>
      </c>
      <c r="D22" s="23" t="s">
        <v>267</v>
      </c>
      <c r="E22" s="24" t="s">
        <v>354</v>
      </c>
      <c r="F22" s="23" t="s">
        <v>35</v>
      </c>
      <c r="G22" s="32" t="s">
        <v>268</v>
      </c>
      <c r="H22" s="32" t="s">
        <v>100</v>
      </c>
      <c r="I22" s="34" t="s">
        <v>101</v>
      </c>
      <c r="J22" s="33"/>
      <c r="K22" s="25" t="str">
        <f>"45,0"</f>
        <v>45,0</v>
      </c>
      <c r="L22" s="25" t="str">
        <f>"28,7415"</f>
        <v>28,7415</v>
      </c>
      <c r="M22" s="23" t="s">
        <v>304</v>
      </c>
    </row>
    <row r="23" spans="1:13">
      <c r="A23" s="39" t="s">
        <v>30</v>
      </c>
      <c r="B23" s="29" t="s">
        <v>269</v>
      </c>
      <c r="C23" s="29" t="s">
        <v>270</v>
      </c>
      <c r="D23" s="29" t="s">
        <v>271</v>
      </c>
      <c r="E23" s="30" t="s">
        <v>352</v>
      </c>
      <c r="F23" s="29" t="s">
        <v>134</v>
      </c>
      <c r="G23" s="37" t="s">
        <v>272</v>
      </c>
      <c r="H23" s="38" t="s">
        <v>273</v>
      </c>
      <c r="I23" s="38" t="s">
        <v>273</v>
      </c>
      <c r="J23" s="39"/>
      <c r="K23" s="31" t="str">
        <f>"62,5"</f>
        <v>62,5</v>
      </c>
      <c r="L23" s="31" t="str">
        <f>"39,4250"</f>
        <v>39,4250</v>
      </c>
      <c r="M23" s="29"/>
    </row>
    <row r="25" spans="1:13" ht="16">
      <c r="A25" s="60" t="s">
        <v>69</v>
      </c>
      <c r="B25" s="60"/>
      <c r="C25" s="61"/>
      <c r="D25" s="61"/>
      <c r="E25" s="61"/>
      <c r="F25" s="61"/>
      <c r="G25" s="61"/>
      <c r="H25" s="61"/>
      <c r="I25" s="61"/>
      <c r="J25" s="61"/>
    </row>
    <row r="26" spans="1:13">
      <c r="A26" s="33" t="s">
        <v>30</v>
      </c>
      <c r="B26" s="23" t="s">
        <v>274</v>
      </c>
      <c r="C26" s="23" t="s">
        <v>342</v>
      </c>
      <c r="D26" s="23" t="s">
        <v>275</v>
      </c>
      <c r="E26" s="24" t="s">
        <v>356</v>
      </c>
      <c r="F26" s="23" t="s">
        <v>35</v>
      </c>
      <c r="G26" s="32" t="s">
        <v>268</v>
      </c>
      <c r="H26" s="32" t="s">
        <v>101</v>
      </c>
      <c r="I26" s="34" t="s">
        <v>94</v>
      </c>
      <c r="J26" s="33"/>
      <c r="K26" s="25" t="str">
        <f>"47,5"</f>
        <v>47,5</v>
      </c>
      <c r="L26" s="25" t="str">
        <f>"27,9300"</f>
        <v>27,9300</v>
      </c>
      <c r="M26" s="23"/>
    </row>
    <row r="27" spans="1:13">
      <c r="A27" s="39" t="s">
        <v>30</v>
      </c>
      <c r="B27" s="29" t="s">
        <v>276</v>
      </c>
      <c r="C27" s="29" t="s">
        <v>277</v>
      </c>
      <c r="D27" s="29" t="s">
        <v>278</v>
      </c>
      <c r="E27" s="30" t="s">
        <v>352</v>
      </c>
      <c r="F27" s="29" t="s">
        <v>35</v>
      </c>
      <c r="G27" s="37" t="s">
        <v>74</v>
      </c>
      <c r="H27" s="38" t="s">
        <v>58</v>
      </c>
      <c r="I27" s="37" t="s">
        <v>58</v>
      </c>
      <c r="J27" s="39"/>
      <c r="K27" s="31" t="str">
        <f>"100,0"</f>
        <v>100,0</v>
      </c>
      <c r="L27" s="31" t="str">
        <f>"58,4800"</f>
        <v>58,4800</v>
      </c>
      <c r="M27" s="29"/>
    </row>
    <row r="29" spans="1:13">
      <c r="E29" s="5"/>
      <c r="F29" s="10"/>
      <c r="G29" s="5"/>
      <c r="K29" s="18"/>
      <c r="M29" s="6"/>
    </row>
  </sheetData>
  <mergeCells count="18">
    <mergeCell ref="A1:M2"/>
    <mergeCell ref="A3:A4"/>
    <mergeCell ref="C3:C4"/>
    <mergeCell ref="D3:D4"/>
    <mergeCell ref="E3:E4"/>
    <mergeCell ref="F3:F4"/>
    <mergeCell ref="G3:J3"/>
    <mergeCell ref="A25:J25"/>
    <mergeCell ref="K3:K4"/>
    <mergeCell ref="L3:L4"/>
    <mergeCell ref="M3:M4"/>
    <mergeCell ref="A5:J5"/>
    <mergeCell ref="B3:B4"/>
    <mergeCell ref="A8:J8"/>
    <mergeCell ref="A12:J12"/>
    <mergeCell ref="A15:J15"/>
    <mergeCell ref="A18:J18"/>
    <mergeCell ref="A21:J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2D782-D99B-439E-AEED-204538742E64}">
  <dimension ref="A1:U28"/>
  <sheetViews>
    <sheetView workbookViewId="0">
      <selection activeCell="E19" sqref="E19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31.6640625" style="5" bestFit="1" customWidth="1"/>
    <col min="7" max="9" width="5.5" style="18" customWidth="1"/>
    <col min="10" max="10" width="4.83203125" style="18" customWidth="1"/>
    <col min="11" max="13" width="5.5" style="18" customWidth="1"/>
    <col min="14" max="14" width="4.83203125" style="18" customWidth="1"/>
    <col min="15" max="17" width="5.5" style="18" customWidth="1"/>
    <col min="18" max="18" width="4.83203125" style="18" customWidth="1"/>
    <col min="19" max="19" width="7.83203125" style="6" bestFit="1" customWidth="1"/>
    <col min="20" max="20" width="8.5" style="6" bestFit="1" customWidth="1"/>
    <col min="21" max="21" width="19.83203125" style="5" customWidth="1"/>
    <col min="22" max="16384" width="9.1640625" style="3"/>
  </cols>
  <sheetData>
    <row r="1" spans="1:21" s="2" customFormat="1" ht="29" customHeight="1">
      <c r="A1" s="64" t="s">
        <v>311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7"/>
    </row>
    <row r="2" spans="1:21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s="1" customFormat="1" ht="12.75" customHeight="1">
      <c r="A3" s="72" t="s">
        <v>348</v>
      </c>
      <c r="B3" s="79" t="s">
        <v>0</v>
      </c>
      <c r="C3" s="74" t="s">
        <v>349</v>
      </c>
      <c r="D3" s="74" t="s">
        <v>6</v>
      </c>
      <c r="E3" s="76" t="s">
        <v>350</v>
      </c>
      <c r="F3" s="78" t="s">
        <v>5</v>
      </c>
      <c r="G3" s="78" t="s">
        <v>7</v>
      </c>
      <c r="H3" s="78"/>
      <c r="I3" s="78"/>
      <c r="J3" s="78"/>
      <c r="K3" s="78" t="s">
        <v>8</v>
      </c>
      <c r="L3" s="78"/>
      <c r="M3" s="78"/>
      <c r="N3" s="78"/>
      <c r="O3" s="78" t="s">
        <v>9</v>
      </c>
      <c r="P3" s="78"/>
      <c r="Q3" s="78"/>
      <c r="R3" s="78"/>
      <c r="S3" s="76" t="s">
        <v>1</v>
      </c>
      <c r="T3" s="76" t="s">
        <v>3</v>
      </c>
      <c r="U3" s="83" t="s">
        <v>2</v>
      </c>
    </row>
    <row r="4" spans="1:21" s="1" customFormat="1" ht="21" customHeight="1" thickBot="1">
      <c r="A4" s="73"/>
      <c r="B4" s="80"/>
      <c r="C4" s="75"/>
      <c r="D4" s="75"/>
      <c r="E4" s="77"/>
      <c r="F4" s="7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7"/>
      <c r="T4" s="77"/>
      <c r="U4" s="84"/>
    </row>
    <row r="5" spans="1:21" ht="16">
      <c r="A5" s="62" t="s">
        <v>31</v>
      </c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1:21">
      <c r="A6" s="33" t="s">
        <v>30</v>
      </c>
      <c r="B6" s="23" t="s">
        <v>32</v>
      </c>
      <c r="C6" s="23" t="s">
        <v>33</v>
      </c>
      <c r="D6" s="23" t="s">
        <v>34</v>
      </c>
      <c r="E6" s="24" t="s">
        <v>354</v>
      </c>
      <c r="F6" s="23" t="s">
        <v>35</v>
      </c>
      <c r="G6" s="32" t="s">
        <v>36</v>
      </c>
      <c r="H6" s="32" t="s">
        <v>37</v>
      </c>
      <c r="I6" s="32" t="s">
        <v>38</v>
      </c>
      <c r="J6" s="33"/>
      <c r="K6" s="32" t="s">
        <v>39</v>
      </c>
      <c r="L6" s="32" t="s">
        <v>40</v>
      </c>
      <c r="M6" s="34" t="s">
        <v>41</v>
      </c>
      <c r="N6" s="33"/>
      <c r="O6" s="32" t="s">
        <v>38</v>
      </c>
      <c r="P6" s="32" t="s">
        <v>42</v>
      </c>
      <c r="Q6" s="32" t="s">
        <v>43</v>
      </c>
      <c r="R6" s="33"/>
      <c r="S6" s="25" t="str">
        <f>"317,5"</f>
        <v>317,5</v>
      </c>
      <c r="T6" s="25" t="str">
        <f>"215,0745"</f>
        <v>215,0745</v>
      </c>
      <c r="U6" s="23" t="s">
        <v>347</v>
      </c>
    </row>
    <row r="7" spans="1:21">
      <c r="A7" s="36" t="s">
        <v>30</v>
      </c>
      <c r="B7" s="26" t="s">
        <v>44</v>
      </c>
      <c r="C7" s="26" t="s">
        <v>45</v>
      </c>
      <c r="D7" s="26" t="s">
        <v>46</v>
      </c>
      <c r="E7" s="27" t="s">
        <v>352</v>
      </c>
      <c r="F7" s="26" t="s">
        <v>35</v>
      </c>
      <c r="G7" s="35" t="s">
        <v>47</v>
      </c>
      <c r="H7" s="35" t="s">
        <v>48</v>
      </c>
      <c r="I7" s="35" t="s">
        <v>17</v>
      </c>
      <c r="J7" s="36"/>
      <c r="K7" s="35" t="s">
        <v>49</v>
      </c>
      <c r="L7" s="35" t="s">
        <v>50</v>
      </c>
      <c r="M7" s="35" t="s">
        <v>51</v>
      </c>
      <c r="N7" s="36"/>
      <c r="O7" s="35" t="s">
        <v>19</v>
      </c>
      <c r="P7" s="35" t="s">
        <v>52</v>
      </c>
      <c r="Q7" s="35" t="s">
        <v>53</v>
      </c>
      <c r="R7" s="36"/>
      <c r="S7" s="28" t="str">
        <f>"525,0"</f>
        <v>525,0</v>
      </c>
      <c r="T7" s="28" t="str">
        <f>"370,7025"</f>
        <v>370,7025</v>
      </c>
      <c r="U7" s="26" t="s">
        <v>346</v>
      </c>
    </row>
    <row r="8" spans="1:21">
      <c r="A8" s="39" t="s">
        <v>88</v>
      </c>
      <c r="B8" s="29" t="s">
        <v>54</v>
      </c>
      <c r="C8" s="29" t="s">
        <v>55</v>
      </c>
      <c r="D8" s="29" t="s">
        <v>56</v>
      </c>
      <c r="E8" s="30" t="s">
        <v>352</v>
      </c>
      <c r="F8" s="29" t="s">
        <v>35</v>
      </c>
      <c r="G8" s="37" t="s">
        <v>57</v>
      </c>
      <c r="H8" s="37" t="s">
        <v>47</v>
      </c>
      <c r="I8" s="38" t="s">
        <v>48</v>
      </c>
      <c r="J8" s="39"/>
      <c r="K8" s="37" t="s">
        <v>40</v>
      </c>
      <c r="L8" s="37" t="s">
        <v>36</v>
      </c>
      <c r="M8" s="38" t="s">
        <v>58</v>
      </c>
      <c r="N8" s="39"/>
      <c r="O8" s="37" t="s">
        <v>17</v>
      </c>
      <c r="P8" s="37" t="s">
        <v>18</v>
      </c>
      <c r="Q8" s="38" t="s">
        <v>19</v>
      </c>
      <c r="R8" s="39"/>
      <c r="S8" s="31" t="str">
        <f>"425,0"</f>
        <v>425,0</v>
      </c>
      <c r="T8" s="31" t="str">
        <f>"299,0300"</f>
        <v>299,0300</v>
      </c>
      <c r="U8" s="29" t="s">
        <v>347</v>
      </c>
    </row>
    <row r="10" spans="1:21" ht="16">
      <c r="A10" s="60" t="s">
        <v>59</v>
      </c>
      <c r="B10" s="60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</row>
    <row r="11" spans="1:21">
      <c r="A11" s="22" t="s">
        <v>30</v>
      </c>
      <c r="B11" s="7" t="s">
        <v>60</v>
      </c>
      <c r="C11" s="7" t="s">
        <v>61</v>
      </c>
      <c r="D11" s="7" t="s">
        <v>62</v>
      </c>
      <c r="E11" s="8" t="s">
        <v>352</v>
      </c>
      <c r="F11" s="7" t="s">
        <v>35</v>
      </c>
      <c r="G11" s="20" t="s">
        <v>53</v>
      </c>
      <c r="H11" s="20" t="s">
        <v>63</v>
      </c>
      <c r="I11" s="20" t="s">
        <v>64</v>
      </c>
      <c r="J11" s="22"/>
      <c r="K11" s="20" t="s">
        <v>47</v>
      </c>
      <c r="L11" s="20" t="s">
        <v>65</v>
      </c>
      <c r="M11" s="21" t="s">
        <v>48</v>
      </c>
      <c r="N11" s="22"/>
      <c r="O11" s="20" t="s">
        <v>66</v>
      </c>
      <c r="P11" s="20" t="s">
        <v>67</v>
      </c>
      <c r="Q11" s="20" t="s">
        <v>68</v>
      </c>
      <c r="R11" s="22"/>
      <c r="S11" s="9" t="str">
        <f>"617,5"</f>
        <v>617,5</v>
      </c>
      <c r="T11" s="9" t="str">
        <f>"397,1760"</f>
        <v>397,1760</v>
      </c>
      <c r="U11" s="7" t="s">
        <v>347</v>
      </c>
    </row>
    <row r="13" spans="1:21" ht="16">
      <c r="A13" s="60" t="s">
        <v>69</v>
      </c>
      <c r="B13" s="60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</row>
    <row r="14" spans="1:21">
      <c r="A14" s="33" t="s">
        <v>30</v>
      </c>
      <c r="B14" s="23" t="s">
        <v>70</v>
      </c>
      <c r="C14" s="23" t="s">
        <v>71</v>
      </c>
      <c r="D14" s="23" t="s">
        <v>72</v>
      </c>
      <c r="E14" s="24" t="s">
        <v>354</v>
      </c>
      <c r="F14" s="23" t="s">
        <v>35</v>
      </c>
      <c r="G14" s="32" t="s">
        <v>51</v>
      </c>
      <c r="H14" s="32" t="s">
        <v>73</v>
      </c>
      <c r="I14" s="32" t="s">
        <v>48</v>
      </c>
      <c r="J14" s="33"/>
      <c r="K14" s="32" t="s">
        <v>74</v>
      </c>
      <c r="L14" s="32" t="s">
        <v>58</v>
      </c>
      <c r="M14" s="34" t="s">
        <v>37</v>
      </c>
      <c r="N14" s="33"/>
      <c r="O14" s="32" t="s">
        <v>18</v>
      </c>
      <c r="P14" s="32" t="s">
        <v>19</v>
      </c>
      <c r="Q14" s="32" t="s">
        <v>52</v>
      </c>
      <c r="R14" s="33"/>
      <c r="S14" s="25" t="str">
        <f>"460,0"</f>
        <v>460,0</v>
      </c>
      <c r="T14" s="25" t="str">
        <f>"293,8379"</f>
        <v>293,8379</v>
      </c>
      <c r="U14" s="23" t="s">
        <v>347</v>
      </c>
    </row>
    <row r="15" spans="1:21">
      <c r="A15" s="39" t="s">
        <v>30</v>
      </c>
      <c r="B15" s="29" t="s">
        <v>75</v>
      </c>
      <c r="C15" s="29" t="s">
        <v>76</v>
      </c>
      <c r="D15" s="29" t="s">
        <v>77</v>
      </c>
      <c r="E15" s="30" t="s">
        <v>352</v>
      </c>
      <c r="F15" s="29" t="s">
        <v>35</v>
      </c>
      <c r="G15" s="37" t="s">
        <v>17</v>
      </c>
      <c r="H15" s="37" t="s">
        <v>78</v>
      </c>
      <c r="I15" s="37" t="s">
        <v>52</v>
      </c>
      <c r="J15" s="39"/>
      <c r="K15" s="37" t="s">
        <v>38</v>
      </c>
      <c r="L15" s="37" t="s">
        <v>79</v>
      </c>
      <c r="M15" s="38" t="s">
        <v>80</v>
      </c>
      <c r="N15" s="39"/>
      <c r="O15" s="38" t="s">
        <v>17</v>
      </c>
      <c r="P15" s="37" t="s">
        <v>17</v>
      </c>
      <c r="Q15" s="37" t="s">
        <v>19</v>
      </c>
      <c r="R15" s="39"/>
      <c r="S15" s="31" t="str">
        <f>"510,0"</f>
        <v>510,0</v>
      </c>
      <c r="T15" s="31" t="str">
        <f>"312,0180"</f>
        <v>312,0180</v>
      </c>
      <c r="U15" s="29" t="s">
        <v>347</v>
      </c>
    </row>
    <row r="17" spans="1:21" ht="16">
      <c r="A17" s="60" t="s">
        <v>10</v>
      </c>
      <c r="B17" s="60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</row>
    <row r="18" spans="1:21">
      <c r="A18" s="22" t="s">
        <v>30</v>
      </c>
      <c r="B18" s="7" t="s">
        <v>81</v>
      </c>
      <c r="C18" s="7" t="s">
        <v>82</v>
      </c>
      <c r="D18" s="7" t="s">
        <v>83</v>
      </c>
      <c r="E18" s="8" t="s">
        <v>352</v>
      </c>
      <c r="F18" s="7" t="s">
        <v>35</v>
      </c>
      <c r="G18" s="20" t="s">
        <v>67</v>
      </c>
      <c r="H18" s="20" t="s">
        <v>14</v>
      </c>
      <c r="I18" s="21" t="s">
        <v>84</v>
      </c>
      <c r="J18" s="22"/>
      <c r="K18" s="20" t="s">
        <v>78</v>
      </c>
      <c r="L18" s="20" t="s">
        <v>85</v>
      </c>
      <c r="M18" s="21" t="s">
        <v>52</v>
      </c>
      <c r="N18" s="22"/>
      <c r="O18" s="20" t="s">
        <v>20</v>
      </c>
      <c r="P18" s="20" t="s">
        <v>16</v>
      </c>
      <c r="Q18" s="21" t="s">
        <v>21</v>
      </c>
      <c r="R18" s="22"/>
      <c r="S18" s="9" t="str">
        <f>"735,0"</f>
        <v>735,0</v>
      </c>
      <c r="T18" s="9" t="str">
        <f>"436,3695"</f>
        <v>436,3695</v>
      </c>
      <c r="U18" s="7" t="s">
        <v>346</v>
      </c>
    </row>
    <row r="20" spans="1:21">
      <c r="G20" s="5"/>
    </row>
    <row r="22" spans="1:21" ht="18">
      <c r="B22" s="11" t="s">
        <v>22</v>
      </c>
      <c r="C22" s="11"/>
    </row>
    <row r="23" spans="1:21" ht="16">
      <c r="B23" s="12" t="s">
        <v>23</v>
      </c>
      <c r="C23" s="12"/>
    </row>
    <row r="24" spans="1:21" ht="14">
      <c r="B24" s="13"/>
      <c r="C24" s="14" t="s">
        <v>24</v>
      </c>
    </row>
    <row r="25" spans="1:21" ht="14">
      <c r="B25" s="15" t="s">
        <v>25</v>
      </c>
      <c r="C25" s="15" t="s">
        <v>26</v>
      </c>
      <c r="D25" s="15" t="s">
        <v>324</v>
      </c>
      <c r="E25" s="16" t="s">
        <v>27</v>
      </c>
      <c r="F25" s="15" t="s">
        <v>28</v>
      </c>
    </row>
    <row r="26" spans="1:21">
      <c r="B26" s="5" t="s">
        <v>81</v>
      </c>
      <c r="C26" s="5" t="s">
        <v>24</v>
      </c>
      <c r="D26" s="18" t="s">
        <v>29</v>
      </c>
      <c r="E26" s="19">
        <v>735</v>
      </c>
      <c r="F26" s="17">
        <v>436.36949390172998</v>
      </c>
    </row>
    <row r="27" spans="1:21">
      <c r="B27" s="5" t="s">
        <v>60</v>
      </c>
      <c r="C27" s="5" t="s">
        <v>24</v>
      </c>
      <c r="D27" s="18" t="s">
        <v>87</v>
      </c>
      <c r="E27" s="19">
        <v>617.5</v>
      </c>
      <c r="F27" s="17">
        <v>397.17598780989601</v>
      </c>
    </row>
    <row r="28" spans="1:21">
      <c r="B28" s="5" t="s">
        <v>44</v>
      </c>
      <c r="C28" s="5" t="s">
        <v>24</v>
      </c>
      <c r="D28" s="18" t="s">
        <v>86</v>
      </c>
      <c r="E28" s="19">
        <v>525</v>
      </c>
      <c r="F28" s="17">
        <v>370.70249319076498</v>
      </c>
      <c r="G28" s="5"/>
    </row>
  </sheetData>
  <mergeCells count="17"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10:R10"/>
    <mergeCell ref="A13:R13"/>
    <mergeCell ref="A17:R17"/>
    <mergeCell ref="B3:B4"/>
    <mergeCell ref="S3:S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28" style="5" bestFit="1" customWidth="1"/>
    <col min="7" max="9" width="5.5" style="18" customWidth="1"/>
    <col min="10" max="10" width="4.83203125" style="18" customWidth="1"/>
    <col min="11" max="13" width="5.5" style="18" customWidth="1"/>
    <col min="14" max="14" width="4.83203125" style="18" customWidth="1"/>
    <col min="15" max="17" width="5.5" style="18" customWidth="1"/>
    <col min="18" max="18" width="4.83203125" style="18" customWidth="1"/>
    <col min="19" max="19" width="7.83203125" style="6" bestFit="1" customWidth="1"/>
    <col min="20" max="20" width="8.5" style="6" bestFit="1" customWidth="1"/>
    <col min="21" max="21" width="18.33203125" style="5" customWidth="1"/>
    <col min="22" max="16384" width="9.1640625" style="3"/>
  </cols>
  <sheetData>
    <row r="1" spans="1:21" s="2" customFormat="1" ht="29" customHeight="1">
      <c r="A1" s="64" t="s">
        <v>312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7"/>
    </row>
    <row r="2" spans="1:21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s="1" customFormat="1" ht="12.75" customHeight="1">
      <c r="A3" s="72" t="s">
        <v>348</v>
      </c>
      <c r="B3" s="79" t="s">
        <v>0</v>
      </c>
      <c r="C3" s="74" t="s">
        <v>349</v>
      </c>
      <c r="D3" s="74" t="s">
        <v>6</v>
      </c>
      <c r="E3" s="76" t="s">
        <v>350</v>
      </c>
      <c r="F3" s="78" t="s">
        <v>5</v>
      </c>
      <c r="G3" s="78" t="s">
        <v>7</v>
      </c>
      <c r="H3" s="78"/>
      <c r="I3" s="78"/>
      <c r="J3" s="78"/>
      <c r="K3" s="78" t="s">
        <v>8</v>
      </c>
      <c r="L3" s="78"/>
      <c r="M3" s="78"/>
      <c r="N3" s="78"/>
      <c r="O3" s="78" t="s">
        <v>9</v>
      </c>
      <c r="P3" s="78"/>
      <c r="Q3" s="78"/>
      <c r="R3" s="78"/>
      <c r="S3" s="76" t="s">
        <v>1</v>
      </c>
      <c r="T3" s="76" t="s">
        <v>3</v>
      </c>
      <c r="U3" s="83" t="s">
        <v>2</v>
      </c>
    </row>
    <row r="4" spans="1:21" s="1" customFormat="1" ht="21" customHeight="1" thickBot="1">
      <c r="A4" s="73"/>
      <c r="B4" s="80"/>
      <c r="C4" s="75"/>
      <c r="D4" s="75"/>
      <c r="E4" s="77"/>
      <c r="F4" s="7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77"/>
      <c r="T4" s="77"/>
      <c r="U4" s="84"/>
    </row>
    <row r="5" spans="1:21" ht="16">
      <c r="A5" s="62" t="s">
        <v>10</v>
      </c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1:21">
      <c r="A6" s="22" t="s">
        <v>30</v>
      </c>
      <c r="B6" s="7" t="s">
        <v>11</v>
      </c>
      <c r="C6" s="7" t="s">
        <v>12</v>
      </c>
      <c r="D6" s="7" t="s">
        <v>13</v>
      </c>
      <c r="E6" s="8" t="s">
        <v>352</v>
      </c>
      <c r="F6" s="7" t="s">
        <v>190</v>
      </c>
      <c r="G6" s="20" t="s">
        <v>14</v>
      </c>
      <c r="H6" s="20" t="s">
        <v>15</v>
      </c>
      <c r="I6" s="21" t="s">
        <v>16</v>
      </c>
      <c r="J6" s="22"/>
      <c r="K6" s="20" t="s">
        <v>17</v>
      </c>
      <c r="L6" s="20" t="s">
        <v>18</v>
      </c>
      <c r="M6" s="20" t="s">
        <v>19</v>
      </c>
      <c r="N6" s="22"/>
      <c r="O6" s="20" t="s">
        <v>20</v>
      </c>
      <c r="P6" s="21" t="s">
        <v>16</v>
      </c>
      <c r="Q6" s="21" t="s">
        <v>21</v>
      </c>
      <c r="R6" s="22"/>
      <c r="S6" s="9" t="str">
        <f>"735,0"</f>
        <v>735,0</v>
      </c>
      <c r="T6" s="9" t="str">
        <f>"432,5475"</f>
        <v>432,5475</v>
      </c>
      <c r="U6" s="7" t="s">
        <v>347</v>
      </c>
    </row>
  </sheetData>
  <mergeCells count="14"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5:R5"/>
    <mergeCell ref="B3:B4"/>
    <mergeCell ref="E3:E4"/>
    <mergeCell ref="S3:S4"/>
    <mergeCell ref="T3:T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4BFD3-FBA8-41F0-82B6-4BCAC9130C66}">
  <dimension ref="A1:Q12"/>
  <sheetViews>
    <sheetView workbookViewId="0">
      <selection activeCell="E11" sqref="E11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6.5" style="5" bestFit="1" customWidth="1"/>
    <col min="4" max="4" width="21.5" style="5" bestFit="1" customWidth="1"/>
    <col min="5" max="5" width="10.5" style="10" bestFit="1" customWidth="1"/>
    <col min="6" max="6" width="31" style="5" bestFit="1" customWidth="1"/>
    <col min="7" max="9" width="5.5" style="18" customWidth="1"/>
    <col min="10" max="10" width="4.83203125" style="18" customWidth="1"/>
    <col min="11" max="13" width="5.5" style="18" customWidth="1"/>
    <col min="14" max="14" width="4.83203125" style="18" customWidth="1"/>
    <col min="15" max="15" width="7.83203125" style="6" bestFit="1" customWidth="1"/>
    <col min="16" max="16" width="8.5" style="6" bestFit="1" customWidth="1"/>
    <col min="17" max="17" width="18.1640625" style="5" customWidth="1"/>
    <col min="18" max="16384" width="9.1640625" style="3"/>
  </cols>
  <sheetData>
    <row r="1" spans="1:17" s="2" customFormat="1" ht="29" customHeight="1">
      <c r="A1" s="64" t="s">
        <v>313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</row>
    <row r="2" spans="1:17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</row>
    <row r="3" spans="1:17" s="1" customFormat="1" ht="12.75" customHeight="1">
      <c r="A3" s="72" t="s">
        <v>348</v>
      </c>
      <c r="B3" s="79" t="s">
        <v>0</v>
      </c>
      <c r="C3" s="74" t="s">
        <v>349</v>
      </c>
      <c r="D3" s="74" t="s">
        <v>6</v>
      </c>
      <c r="E3" s="76" t="s">
        <v>350</v>
      </c>
      <c r="F3" s="78" t="s">
        <v>5</v>
      </c>
      <c r="G3" s="78" t="s">
        <v>8</v>
      </c>
      <c r="H3" s="78"/>
      <c r="I3" s="78"/>
      <c r="J3" s="78"/>
      <c r="K3" s="78" t="s">
        <v>9</v>
      </c>
      <c r="L3" s="78"/>
      <c r="M3" s="78"/>
      <c r="N3" s="78"/>
      <c r="O3" s="76" t="s">
        <v>1</v>
      </c>
      <c r="P3" s="76" t="s">
        <v>3</v>
      </c>
      <c r="Q3" s="83" t="s">
        <v>2</v>
      </c>
    </row>
    <row r="4" spans="1:17" s="1" customFormat="1" ht="21" customHeight="1" thickBot="1">
      <c r="A4" s="73"/>
      <c r="B4" s="80"/>
      <c r="C4" s="75"/>
      <c r="D4" s="75"/>
      <c r="E4" s="77"/>
      <c r="F4" s="7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77"/>
      <c r="P4" s="77"/>
      <c r="Q4" s="84"/>
    </row>
    <row r="5" spans="1:17" ht="16">
      <c r="A5" s="62" t="s">
        <v>96</v>
      </c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7">
      <c r="A6" s="33" t="s">
        <v>30</v>
      </c>
      <c r="B6" s="23" t="s">
        <v>192</v>
      </c>
      <c r="C6" s="23" t="s">
        <v>193</v>
      </c>
      <c r="D6" s="23" t="s">
        <v>194</v>
      </c>
      <c r="E6" s="24" t="s">
        <v>354</v>
      </c>
      <c r="F6" s="23" t="s">
        <v>325</v>
      </c>
      <c r="G6" s="32" t="s">
        <v>100</v>
      </c>
      <c r="H6" s="32" t="s">
        <v>94</v>
      </c>
      <c r="I6" s="34" t="s">
        <v>95</v>
      </c>
      <c r="J6" s="33"/>
      <c r="K6" s="32" t="s">
        <v>195</v>
      </c>
      <c r="L6" s="32" t="s">
        <v>102</v>
      </c>
      <c r="M6" s="34" t="s">
        <v>43</v>
      </c>
      <c r="N6" s="33"/>
      <c r="O6" s="25" t="str">
        <f>"165,0"</f>
        <v>165,0</v>
      </c>
      <c r="P6" s="25" t="str">
        <f>"186,3675"</f>
        <v>186,3675</v>
      </c>
      <c r="Q6" s="23" t="s">
        <v>346</v>
      </c>
    </row>
    <row r="7" spans="1:17">
      <c r="A7" s="39" t="s">
        <v>30</v>
      </c>
      <c r="B7" s="29" t="s">
        <v>199</v>
      </c>
      <c r="C7" s="29" t="s">
        <v>200</v>
      </c>
      <c r="D7" s="29" t="s">
        <v>201</v>
      </c>
      <c r="E7" s="30" t="s">
        <v>352</v>
      </c>
      <c r="F7" s="29" t="s">
        <v>325</v>
      </c>
      <c r="G7" s="37" t="s">
        <v>101</v>
      </c>
      <c r="H7" s="37" t="s">
        <v>156</v>
      </c>
      <c r="I7" s="38" t="s">
        <v>157</v>
      </c>
      <c r="J7" s="39"/>
      <c r="K7" s="37" t="s">
        <v>102</v>
      </c>
      <c r="L7" s="37" t="s">
        <v>43</v>
      </c>
      <c r="M7" s="38" t="s">
        <v>202</v>
      </c>
      <c r="N7" s="39"/>
      <c r="O7" s="31" t="str">
        <f>"175,0"</f>
        <v>175,0</v>
      </c>
      <c r="P7" s="31" t="str">
        <f>"198,9925"</f>
        <v>198,9925</v>
      </c>
      <c r="Q7" s="29" t="s">
        <v>347</v>
      </c>
    </row>
    <row r="9" spans="1:17" ht="16">
      <c r="A9" s="60" t="s">
        <v>103</v>
      </c>
      <c r="B9" s="60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</row>
    <row r="10" spans="1:17">
      <c r="A10" s="22" t="s">
        <v>30</v>
      </c>
      <c r="B10" s="7" t="s">
        <v>232</v>
      </c>
      <c r="C10" s="7" t="s">
        <v>233</v>
      </c>
      <c r="D10" s="7" t="s">
        <v>234</v>
      </c>
      <c r="E10" s="8" t="s">
        <v>355</v>
      </c>
      <c r="F10" s="7" t="s">
        <v>190</v>
      </c>
      <c r="G10" s="20" t="s">
        <v>40</v>
      </c>
      <c r="H10" s="20" t="s">
        <v>74</v>
      </c>
      <c r="I10" s="20" t="s">
        <v>36</v>
      </c>
      <c r="J10" s="22"/>
      <c r="K10" s="20" t="s">
        <v>47</v>
      </c>
      <c r="L10" s="20" t="s">
        <v>140</v>
      </c>
      <c r="M10" s="20" t="s">
        <v>177</v>
      </c>
      <c r="N10" s="22"/>
      <c r="O10" s="9" t="str">
        <f>"272,5"</f>
        <v>272,5</v>
      </c>
      <c r="P10" s="9" t="str">
        <f>"211,6235"</f>
        <v>211,6235</v>
      </c>
      <c r="Q10" s="7" t="s">
        <v>346</v>
      </c>
    </row>
    <row r="12" spans="1:17">
      <c r="E12" s="5"/>
      <c r="F12" s="10"/>
      <c r="G12" s="5"/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9:N9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50C7A-C617-48E9-BC96-8768C3104D9B}">
  <dimension ref="A1:Q7"/>
  <sheetViews>
    <sheetView workbookViewId="0">
      <selection activeCell="E8" sqref="E8"/>
    </sheetView>
  </sheetViews>
  <sheetFormatPr baseColWidth="10" defaultColWidth="9.1640625" defaultRowHeight="13"/>
  <cols>
    <col min="1" max="1" width="7.5" style="5" bestFit="1" customWidth="1"/>
    <col min="2" max="2" width="17.83203125" style="5" bestFit="1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30.5" style="5" bestFit="1" customWidth="1"/>
    <col min="7" max="9" width="5.5" style="18" customWidth="1"/>
    <col min="10" max="10" width="4.83203125" style="18" customWidth="1"/>
    <col min="11" max="13" width="5.5" style="18" customWidth="1"/>
    <col min="14" max="14" width="4.83203125" style="18" customWidth="1"/>
    <col min="15" max="15" width="7.83203125" style="6" bestFit="1" customWidth="1"/>
    <col min="16" max="16" width="8.5" style="6" bestFit="1" customWidth="1"/>
    <col min="17" max="17" width="18" style="5" customWidth="1"/>
    <col min="18" max="16384" width="9.1640625" style="3"/>
  </cols>
  <sheetData>
    <row r="1" spans="1:17" s="2" customFormat="1" ht="29" customHeight="1">
      <c r="A1" s="64" t="s">
        <v>314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</row>
    <row r="2" spans="1:17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</row>
    <row r="3" spans="1:17" s="1" customFormat="1" ht="12.75" customHeight="1">
      <c r="A3" s="72" t="s">
        <v>348</v>
      </c>
      <c r="B3" s="79" t="s">
        <v>0</v>
      </c>
      <c r="C3" s="74" t="s">
        <v>349</v>
      </c>
      <c r="D3" s="74" t="s">
        <v>6</v>
      </c>
      <c r="E3" s="76" t="s">
        <v>350</v>
      </c>
      <c r="F3" s="78" t="s">
        <v>5</v>
      </c>
      <c r="G3" s="78" t="s">
        <v>8</v>
      </c>
      <c r="H3" s="78"/>
      <c r="I3" s="78"/>
      <c r="J3" s="78"/>
      <c r="K3" s="78" t="s">
        <v>9</v>
      </c>
      <c r="L3" s="78"/>
      <c r="M3" s="78"/>
      <c r="N3" s="78"/>
      <c r="O3" s="76" t="s">
        <v>1</v>
      </c>
      <c r="P3" s="76" t="s">
        <v>3</v>
      </c>
      <c r="Q3" s="83" t="s">
        <v>2</v>
      </c>
    </row>
    <row r="4" spans="1:17" s="1" customFormat="1" ht="21" customHeight="1" thickBot="1">
      <c r="A4" s="73"/>
      <c r="B4" s="80"/>
      <c r="C4" s="75"/>
      <c r="D4" s="75"/>
      <c r="E4" s="77"/>
      <c r="F4" s="7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77"/>
      <c r="P4" s="77"/>
      <c r="Q4" s="84"/>
    </row>
    <row r="5" spans="1:17" ht="16">
      <c r="A5" s="62" t="s">
        <v>59</v>
      </c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7">
      <c r="A6" s="33" t="s">
        <v>30</v>
      </c>
      <c r="B6" s="23" t="s">
        <v>137</v>
      </c>
      <c r="C6" s="23" t="s">
        <v>138</v>
      </c>
      <c r="D6" s="23" t="s">
        <v>139</v>
      </c>
      <c r="E6" s="24" t="s">
        <v>352</v>
      </c>
      <c r="F6" s="23" t="s">
        <v>325</v>
      </c>
      <c r="G6" s="32" t="s">
        <v>48</v>
      </c>
      <c r="H6" s="34" t="s">
        <v>140</v>
      </c>
      <c r="I6" s="34" t="s">
        <v>141</v>
      </c>
      <c r="J6" s="33"/>
      <c r="K6" s="32" t="s">
        <v>129</v>
      </c>
      <c r="L6" s="32" t="s">
        <v>68</v>
      </c>
      <c r="M6" s="34" t="s">
        <v>14</v>
      </c>
      <c r="N6" s="33"/>
      <c r="O6" s="25" t="str">
        <f>"400,0"</f>
        <v>400,0</v>
      </c>
      <c r="P6" s="25" t="str">
        <f>"255,3600"</f>
        <v>255,3600</v>
      </c>
      <c r="Q6" s="23" t="s">
        <v>347</v>
      </c>
    </row>
    <row r="7" spans="1:17">
      <c r="A7" s="39" t="s">
        <v>30</v>
      </c>
      <c r="B7" s="29" t="s">
        <v>184</v>
      </c>
      <c r="C7" s="29" t="s">
        <v>185</v>
      </c>
      <c r="D7" s="29" t="s">
        <v>139</v>
      </c>
      <c r="E7" s="30" t="s">
        <v>351</v>
      </c>
      <c r="F7" s="29" t="s">
        <v>325</v>
      </c>
      <c r="G7" s="37" t="s">
        <v>73</v>
      </c>
      <c r="H7" s="38" t="s">
        <v>140</v>
      </c>
      <c r="I7" s="38" t="s">
        <v>140</v>
      </c>
      <c r="J7" s="39"/>
      <c r="K7" s="37" t="s">
        <v>66</v>
      </c>
      <c r="L7" s="37" t="s">
        <v>68</v>
      </c>
      <c r="M7" s="38" t="s">
        <v>186</v>
      </c>
      <c r="N7" s="39"/>
      <c r="O7" s="31" t="str">
        <f>"395,0"</f>
        <v>395,0</v>
      </c>
      <c r="P7" s="31" t="str">
        <f>"255,6984"</f>
        <v>255,6984</v>
      </c>
      <c r="Q7" s="29" t="s">
        <v>347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0DE1D-C880-4DB4-8091-D8F504A4011F}">
  <dimension ref="A1:Q8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29.1640625" style="5" bestFit="1" customWidth="1"/>
    <col min="7" max="9" width="5.5" style="18" customWidth="1"/>
    <col min="10" max="10" width="4.83203125" style="18" customWidth="1"/>
    <col min="11" max="13" width="5.5" style="18" customWidth="1"/>
    <col min="14" max="14" width="4.83203125" style="18" customWidth="1"/>
    <col min="15" max="15" width="7.83203125" style="6" bestFit="1" customWidth="1"/>
    <col min="16" max="16" width="8.5" style="6" bestFit="1" customWidth="1"/>
    <col min="17" max="17" width="18.33203125" style="5" customWidth="1"/>
    <col min="18" max="16384" width="9.1640625" style="3"/>
  </cols>
  <sheetData>
    <row r="1" spans="1:17" s="2" customFormat="1" ht="29" customHeight="1">
      <c r="A1" s="64" t="s">
        <v>315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</row>
    <row r="2" spans="1:17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</row>
    <row r="3" spans="1:17" s="1" customFormat="1" ht="12.75" customHeight="1">
      <c r="A3" s="72" t="s">
        <v>348</v>
      </c>
      <c r="B3" s="79" t="s">
        <v>0</v>
      </c>
      <c r="C3" s="74" t="s">
        <v>349</v>
      </c>
      <c r="D3" s="74" t="s">
        <v>6</v>
      </c>
      <c r="E3" s="76" t="s">
        <v>350</v>
      </c>
      <c r="F3" s="78" t="s">
        <v>5</v>
      </c>
      <c r="G3" s="78" t="s">
        <v>8</v>
      </c>
      <c r="H3" s="78"/>
      <c r="I3" s="78"/>
      <c r="J3" s="78"/>
      <c r="K3" s="78" t="s">
        <v>9</v>
      </c>
      <c r="L3" s="78"/>
      <c r="M3" s="78"/>
      <c r="N3" s="78"/>
      <c r="O3" s="76" t="s">
        <v>1</v>
      </c>
      <c r="P3" s="76" t="s">
        <v>3</v>
      </c>
      <c r="Q3" s="83" t="s">
        <v>2</v>
      </c>
    </row>
    <row r="4" spans="1:17" s="1" customFormat="1" ht="21" customHeight="1" thickBot="1">
      <c r="A4" s="73"/>
      <c r="B4" s="80"/>
      <c r="C4" s="75"/>
      <c r="D4" s="75"/>
      <c r="E4" s="77"/>
      <c r="F4" s="7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77"/>
      <c r="P4" s="77"/>
      <c r="Q4" s="84"/>
    </row>
    <row r="5" spans="1:17" ht="16">
      <c r="A5" s="62" t="s">
        <v>31</v>
      </c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7">
      <c r="A6" s="22" t="s">
        <v>30</v>
      </c>
      <c r="B6" s="7" t="s">
        <v>235</v>
      </c>
      <c r="C6" s="7" t="s">
        <v>236</v>
      </c>
      <c r="D6" s="7" t="s">
        <v>237</v>
      </c>
      <c r="E6" s="8" t="s">
        <v>352</v>
      </c>
      <c r="F6" s="7" t="s">
        <v>238</v>
      </c>
      <c r="G6" s="21" t="s">
        <v>50</v>
      </c>
      <c r="H6" s="21" t="s">
        <v>50</v>
      </c>
      <c r="I6" s="20" t="s">
        <v>50</v>
      </c>
      <c r="J6" s="22"/>
      <c r="K6" s="20" t="s">
        <v>147</v>
      </c>
      <c r="L6" s="21" t="s">
        <v>152</v>
      </c>
      <c r="M6" s="21" t="s">
        <v>221</v>
      </c>
      <c r="N6" s="22"/>
      <c r="O6" s="9" t="str">
        <f>"327,5"</f>
        <v>327,5</v>
      </c>
      <c r="P6" s="9" t="str">
        <f>"232,2957"</f>
        <v>232,2957</v>
      </c>
      <c r="Q6" s="7" t="s">
        <v>183</v>
      </c>
    </row>
    <row r="8" spans="1:17">
      <c r="E8" s="5"/>
      <c r="F8" s="10"/>
      <c r="G8" s="5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BB3A5-E274-4957-BA59-06F33FD1F736}">
  <dimension ref="A1:M21"/>
  <sheetViews>
    <sheetView workbookViewId="0">
      <selection activeCell="E20" sqref="E20"/>
    </sheetView>
  </sheetViews>
  <sheetFormatPr baseColWidth="10" defaultColWidth="9.1640625" defaultRowHeight="13"/>
  <cols>
    <col min="1" max="1" width="7.5" style="5" bestFit="1" customWidth="1"/>
    <col min="2" max="2" width="19.1640625" style="5" customWidth="1"/>
    <col min="3" max="3" width="26.5" style="5" bestFit="1" customWidth="1"/>
    <col min="4" max="4" width="21.5" style="5" bestFit="1" customWidth="1"/>
    <col min="5" max="5" width="10.5" style="10" bestFit="1" customWidth="1"/>
    <col min="6" max="6" width="31.6640625" style="5" bestFit="1" customWidth="1"/>
    <col min="7" max="9" width="5.5" style="18" customWidth="1"/>
    <col min="10" max="10" width="4.83203125" style="18" customWidth="1"/>
    <col min="11" max="11" width="10.5" style="6" bestFit="1" customWidth="1"/>
    <col min="12" max="12" width="7.5" style="6" bestFit="1" customWidth="1"/>
    <col min="13" max="13" width="25.6640625" style="5" bestFit="1" customWidth="1"/>
    <col min="14" max="16384" width="9.1640625" style="3"/>
  </cols>
  <sheetData>
    <row r="1" spans="1:13" s="2" customFormat="1" ht="29" customHeight="1">
      <c r="A1" s="64" t="s">
        <v>316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348</v>
      </c>
      <c r="B3" s="79" t="s">
        <v>0</v>
      </c>
      <c r="C3" s="74" t="s">
        <v>349</v>
      </c>
      <c r="D3" s="74" t="s">
        <v>6</v>
      </c>
      <c r="E3" s="76" t="s">
        <v>350</v>
      </c>
      <c r="F3" s="78" t="s">
        <v>5</v>
      </c>
      <c r="G3" s="78" t="s">
        <v>8</v>
      </c>
      <c r="H3" s="78"/>
      <c r="I3" s="78"/>
      <c r="J3" s="78"/>
      <c r="K3" s="76" t="s">
        <v>130</v>
      </c>
      <c r="L3" s="76" t="s">
        <v>3</v>
      </c>
      <c r="M3" s="83" t="s">
        <v>2</v>
      </c>
    </row>
    <row r="4" spans="1:13" s="1" customFormat="1" ht="21" customHeight="1" thickBot="1">
      <c r="A4" s="73"/>
      <c r="B4" s="80"/>
      <c r="C4" s="75"/>
      <c r="D4" s="75"/>
      <c r="E4" s="77"/>
      <c r="F4" s="75"/>
      <c r="G4" s="4">
        <v>1</v>
      </c>
      <c r="H4" s="4">
        <v>2</v>
      </c>
      <c r="I4" s="4">
        <v>3</v>
      </c>
      <c r="J4" s="4" t="s">
        <v>4</v>
      </c>
      <c r="K4" s="77"/>
      <c r="L4" s="77"/>
      <c r="M4" s="84"/>
    </row>
    <row r="5" spans="1:13" ht="16">
      <c r="A5" s="62" t="s">
        <v>96</v>
      </c>
      <c r="B5" s="62"/>
      <c r="C5" s="63"/>
      <c r="D5" s="63"/>
      <c r="E5" s="63"/>
      <c r="F5" s="63"/>
      <c r="G5" s="63"/>
      <c r="H5" s="63"/>
      <c r="I5" s="63"/>
      <c r="J5" s="63"/>
    </row>
    <row r="6" spans="1:13">
      <c r="A6" s="22" t="s">
        <v>30</v>
      </c>
      <c r="B6" s="7" t="s">
        <v>153</v>
      </c>
      <c r="C6" s="7" t="s">
        <v>154</v>
      </c>
      <c r="D6" s="7" t="s">
        <v>155</v>
      </c>
      <c r="E6" s="8" t="s">
        <v>352</v>
      </c>
      <c r="F6" s="7" t="s">
        <v>35</v>
      </c>
      <c r="G6" s="20" t="s">
        <v>156</v>
      </c>
      <c r="H6" s="20" t="s">
        <v>157</v>
      </c>
      <c r="I6" s="21" t="s">
        <v>158</v>
      </c>
      <c r="J6" s="22"/>
      <c r="K6" s="9" t="str">
        <f>"57,5"</f>
        <v>57,5</v>
      </c>
      <c r="L6" s="9" t="str">
        <f>"64,6070"</f>
        <v>64,6070</v>
      </c>
      <c r="M6" s="7" t="s">
        <v>326</v>
      </c>
    </row>
    <row r="8" spans="1:13" ht="16">
      <c r="A8" s="60" t="s">
        <v>31</v>
      </c>
      <c r="B8" s="60"/>
      <c r="C8" s="61"/>
      <c r="D8" s="61"/>
      <c r="E8" s="61"/>
      <c r="F8" s="61"/>
      <c r="G8" s="61"/>
      <c r="H8" s="61"/>
      <c r="I8" s="61"/>
      <c r="J8" s="61"/>
    </row>
    <row r="9" spans="1:13">
      <c r="A9" s="22" t="s">
        <v>30</v>
      </c>
      <c r="B9" s="7" t="s">
        <v>159</v>
      </c>
      <c r="C9" s="7" t="s">
        <v>160</v>
      </c>
      <c r="D9" s="7" t="s">
        <v>161</v>
      </c>
      <c r="E9" s="8" t="s">
        <v>355</v>
      </c>
      <c r="F9" s="7" t="s">
        <v>35</v>
      </c>
      <c r="G9" s="20" t="s">
        <v>102</v>
      </c>
      <c r="H9" s="20" t="s">
        <v>79</v>
      </c>
      <c r="I9" s="21" t="s">
        <v>49</v>
      </c>
      <c r="J9" s="22"/>
      <c r="K9" s="9" t="str">
        <f>"120,0"</f>
        <v>120,0</v>
      </c>
      <c r="L9" s="9" t="str">
        <f>"80,9880"</f>
        <v>80,9880</v>
      </c>
      <c r="M9" s="7" t="s">
        <v>346</v>
      </c>
    </row>
    <row r="11" spans="1:13" ht="16">
      <c r="A11" s="60" t="s">
        <v>69</v>
      </c>
      <c r="B11" s="60"/>
      <c r="C11" s="61"/>
      <c r="D11" s="61"/>
      <c r="E11" s="61"/>
      <c r="F11" s="61"/>
      <c r="G11" s="61"/>
      <c r="H11" s="61"/>
      <c r="I11" s="61"/>
      <c r="J11" s="61"/>
    </row>
    <row r="12" spans="1:13">
      <c r="A12" s="42" t="s">
        <v>30</v>
      </c>
      <c r="B12" s="50" t="s">
        <v>164</v>
      </c>
      <c r="C12" s="50" t="s">
        <v>165</v>
      </c>
      <c r="D12" s="23" t="s">
        <v>166</v>
      </c>
      <c r="E12" s="43" t="s">
        <v>352</v>
      </c>
      <c r="F12" s="23" t="s">
        <v>35</v>
      </c>
      <c r="G12" s="44" t="s">
        <v>50</v>
      </c>
      <c r="H12" s="55" t="s">
        <v>57</v>
      </c>
      <c r="I12" s="32" t="s">
        <v>51</v>
      </c>
      <c r="J12" s="57"/>
      <c r="K12" s="53" t="str">
        <f>"145,0"</f>
        <v>145,0</v>
      </c>
      <c r="L12" s="53" t="str">
        <f>"90,2335"</f>
        <v>90,2335</v>
      </c>
      <c r="M12" s="45" t="s">
        <v>167</v>
      </c>
    </row>
    <row r="13" spans="1:13">
      <c r="A13" s="46" t="s">
        <v>88</v>
      </c>
      <c r="B13" s="51" t="s">
        <v>162</v>
      </c>
      <c r="C13" s="51" t="s">
        <v>309</v>
      </c>
      <c r="D13" s="29" t="s">
        <v>163</v>
      </c>
      <c r="E13" s="47" t="s">
        <v>352</v>
      </c>
      <c r="F13" s="29" t="s">
        <v>35</v>
      </c>
      <c r="G13" s="48" t="s">
        <v>57</v>
      </c>
      <c r="H13" s="56" t="s">
        <v>112</v>
      </c>
      <c r="I13" s="38" t="s">
        <v>51</v>
      </c>
      <c r="J13" s="58"/>
      <c r="K13" s="54" t="str">
        <f>"142,5"</f>
        <v>142,5</v>
      </c>
      <c r="L13" s="54" t="str">
        <f>"86,8680"</f>
        <v>86,8680</v>
      </c>
      <c r="M13" s="49" t="s">
        <v>347</v>
      </c>
    </row>
    <row r="15" spans="1:13" ht="16">
      <c r="A15" s="60" t="s">
        <v>148</v>
      </c>
      <c r="B15" s="60"/>
      <c r="C15" s="61"/>
      <c r="D15" s="61"/>
      <c r="E15" s="61"/>
      <c r="F15" s="61"/>
      <c r="G15" s="61"/>
      <c r="H15" s="61"/>
      <c r="I15" s="61"/>
      <c r="J15" s="61"/>
    </row>
    <row r="16" spans="1:13">
      <c r="A16" s="22" t="s">
        <v>30</v>
      </c>
      <c r="B16" s="7" t="s">
        <v>168</v>
      </c>
      <c r="C16" s="7" t="s">
        <v>169</v>
      </c>
      <c r="D16" s="7" t="s">
        <v>170</v>
      </c>
      <c r="E16" s="8" t="s">
        <v>352</v>
      </c>
      <c r="F16" s="7" t="s">
        <v>35</v>
      </c>
      <c r="G16" s="20" t="s">
        <v>50</v>
      </c>
      <c r="H16" s="20" t="s">
        <v>51</v>
      </c>
      <c r="I16" s="21" t="s">
        <v>171</v>
      </c>
      <c r="J16" s="22"/>
      <c r="K16" s="9" t="str">
        <f>"145,0"</f>
        <v>145,0</v>
      </c>
      <c r="L16" s="9" t="str">
        <f>"84,8540"</f>
        <v>84,8540</v>
      </c>
      <c r="M16" s="7" t="s">
        <v>307</v>
      </c>
    </row>
    <row r="18" spans="1:13" ht="16">
      <c r="A18" s="60" t="s">
        <v>172</v>
      </c>
      <c r="B18" s="60"/>
      <c r="C18" s="61"/>
      <c r="D18" s="61"/>
      <c r="E18" s="61"/>
      <c r="F18" s="61"/>
      <c r="G18" s="61"/>
      <c r="H18" s="61"/>
      <c r="I18" s="61"/>
      <c r="J18" s="61"/>
    </row>
    <row r="19" spans="1:13">
      <c r="A19" s="22" t="s">
        <v>30</v>
      </c>
      <c r="B19" s="7" t="s">
        <v>173</v>
      </c>
      <c r="C19" s="7" t="s">
        <v>174</v>
      </c>
      <c r="D19" s="7" t="s">
        <v>175</v>
      </c>
      <c r="E19" s="8" t="s">
        <v>352</v>
      </c>
      <c r="F19" s="7" t="s">
        <v>176</v>
      </c>
      <c r="G19" s="20" t="s">
        <v>177</v>
      </c>
      <c r="H19" s="21" t="s">
        <v>145</v>
      </c>
      <c r="I19" s="21" t="s">
        <v>145</v>
      </c>
      <c r="J19" s="22"/>
      <c r="K19" s="9" t="str">
        <f>"177,5"</f>
        <v>177,5</v>
      </c>
      <c r="L19" s="9" t="str">
        <f>"99,3822"</f>
        <v>99,3822</v>
      </c>
      <c r="M19" s="7" t="s">
        <v>346</v>
      </c>
    </row>
    <row r="21" spans="1:13">
      <c r="E21" s="5"/>
      <c r="F21" s="10"/>
      <c r="G21" s="5"/>
      <c r="K21" s="18"/>
      <c r="M21" s="6"/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5:J15"/>
    <mergeCell ref="A18:J18"/>
    <mergeCell ref="B3:B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B4A79-6DA7-466E-9E84-776785ABFCE8}">
  <dimension ref="A1:M18"/>
  <sheetViews>
    <sheetView workbookViewId="0">
      <selection activeCell="E17" sqref="E17"/>
    </sheetView>
  </sheetViews>
  <sheetFormatPr baseColWidth="10" defaultColWidth="9.1640625" defaultRowHeight="13"/>
  <cols>
    <col min="1" max="1" width="7.5" style="5" bestFit="1" customWidth="1"/>
    <col min="2" max="2" width="19.83203125" style="5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31.6640625" style="5" bestFit="1" customWidth="1"/>
    <col min="7" max="9" width="5.5" style="18" customWidth="1"/>
    <col min="10" max="10" width="4.83203125" style="18" customWidth="1"/>
    <col min="11" max="11" width="10.5" style="6" bestFit="1" customWidth="1"/>
    <col min="12" max="12" width="8.5" style="6" bestFit="1" customWidth="1"/>
    <col min="13" max="13" width="20.33203125" style="5" customWidth="1"/>
    <col min="14" max="16384" width="9.1640625" style="3"/>
  </cols>
  <sheetData>
    <row r="1" spans="1:13" s="2" customFormat="1" ht="29" customHeight="1">
      <c r="A1" s="64" t="s">
        <v>317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348</v>
      </c>
      <c r="B3" s="79" t="s">
        <v>0</v>
      </c>
      <c r="C3" s="74" t="s">
        <v>349</v>
      </c>
      <c r="D3" s="74" t="s">
        <v>6</v>
      </c>
      <c r="E3" s="76" t="s">
        <v>350</v>
      </c>
      <c r="F3" s="78" t="s">
        <v>5</v>
      </c>
      <c r="G3" s="78" t="s">
        <v>8</v>
      </c>
      <c r="H3" s="78"/>
      <c r="I3" s="78"/>
      <c r="J3" s="78"/>
      <c r="K3" s="76" t="s">
        <v>130</v>
      </c>
      <c r="L3" s="76" t="s">
        <v>3</v>
      </c>
      <c r="M3" s="83" t="s">
        <v>2</v>
      </c>
    </row>
    <row r="4" spans="1:13" s="1" customFormat="1" ht="21" customHeight="1" thickBot="1">
      <c r="A4" s="73"/>
      <c r="B4" s="80"/>
      <c r="C4" s="75"/>
      <c r="D4" s="75"/>
      <c r="E4" s="77"/>
      <c r="F4" s="75"/>
      <c r="G4" s="4">
        <v>1</v>
      </c>
      <c r="H4" s="4">
        <v>2</v>
      </c>
      <c r="I4" s="4">
        <v>3</v>
      </c>
      <c r="J4" s="4" t="s">
        <v>4</v>
      </c>
      <c r="K4" s="77"/>
      <c r="L4" s="77"/>
      <c r="M4" s="84"/>
    </row>
    <row r="5" spans="1:13" ht="16">
      <c r="A5" s="62" t="s">
        <v>31</v>
      </c>
      <c r="B5" s="62"/>
      <c r="C5" s="63"/>
      <c r="D5" s="63"/>
      <c r="E5" s="63"/>
      <c r="F5" s="63"/>
      <c r="G5" s="63"/>
      <c r="H5" s="63"/>
      <c r="I5" s="63"/>
      <c r="J5" s="63"/>
    </row>
    <row r="6" spans="1:13">
      <c r="A6" s="33" t="s">
        <v>30</v>
      </c>
      <c r="B6" s="23" t="s">
        <v>131</v>
      </c>
      <c r="C6" s="23" t="s">
        <v>132</v>
      </c>
      <c r="D6" s="23" t="s">
        <v>133</v>
      </c>
      <c r="E6" s="24" t="s">
        <v>352</v>
      </c>
      <c r="F6" s="23" t="s">
        <v>134</v>
      </c>
      <c r="G6" s="32" t="s">
        <v>50</v>
      </c>
      <c r="H6" s="32" t="s">
        <v>112</v>
      </c>
      <c r="I6" s="34" t="s">
        <v>51</v>
      </c>
      <c r="J6" s="33"/>
      <c r="K6" s="25" t="str">
        <f>"142,5"</f>
        <v>142,5</v>
      </c>
      <c r="L6" s="25" t="str">
        <f>"95,8883"</f>
        <v>95,8883</v>
      </c>
      <c r="M6" s="23" t="s">
        <v>347</v>
      </c>
    </row>
    <row r="7" spans="1:13">
      <c r="A7" s="39" t="s">
        <v>30</v>
      </c>
      <c r="B7" s="29" t="s">
        <v>135</v>
      </c>
      <c r="C7" s="29" t="s">
        <v>136</v>
      </c>
      <c r="D7" s="29" t="s">
        <v>34</v>
      </c>
      <c r="E7" s="30" t="s">
        <v>351</v>
      </c>
      <c r="F7" s="29" t="s">
        <v>134</v>
      </c>
      <c r="G7" s="38" t="s">
        <v>110</v>
      </c>
      <c r="H7" s="38" t="s">
        <v>110</v>
      </c>
      <c r="I7" s="37" t="s">
        <v>110</v>
      </c>
      <c r="J7" s="39"/>
      <c r="K7" s="31" t="str">
        <f>"127,5"</f>
        <v>127,5</v>
      </c>
      <c r="L7" s="31" t="str">
        <f>"94,6599"</f>
        <v>94,6599</v>
      </c>
      <c r="M7" s="29" t="s">
        <v>346</v>
      </c>
    </row>
    <row r="9" spans="1:13" ht="16">
      <c r="A9" s="60" t="s">
        <v>59</v>
      </c>
      <c r="B9" s="60"/>
      <c r="C9" s="61"/>
      <c r="D9" s="61"/>
      <c r="E9" s="61"/>
      <c r="F9" s="61"/>
      <c r="G9" s="61"/>
      <c r="H9" s="61"/>
      <c r="I9" s="61"/>
      <c r="J9" s="61"/>
    </row>
    <row r="10" spans="1:13">
      <c r="A10" s="22" t="s">
        <v>30</v>
      </c>
      <c r="B10" s="7" t="s">
        <v>137</v>
      </c>
      <c r="C10" s="7" t="s">
        <v>138</v>
      </c>
      <c r="D10" s="7" t="s">
        <v>139</v>
      </c>
      <c r="E10" s="8" t="s">
        <v>352</v>
      </c>
      <c r="F10" s="7" t="s">
        <v>325</v>
      </c>
      <c r="G10" s="20" t="s">
        <v>48</v>
      </c>
      <c r="H10" s="21" t="s">
        <v>140</v>
      </c>
      <c r="I10" s="21" t="s">
        <v>141</v>
      </c>
      <c r="J10" s="22"/>
      <c r="K10" s="9" t="str">
        <f>"160,0"</f>
        <v>160,0</v>
      </c>
      <c r="L10" s="9" t="str">
        <f>"102,1440"</f>
        <v>102,1440</v>
      </c>
      <c r="M10" s="7" t="s">
        <v>346</v>
      </c>
    </row>
    <row r="12" spans="1:13" ht="16">
      <c r="A12" s="60" t="s">
        <v>69</v>
      </c>
      <c r="B12" s="60"/>
      <c r="C12" s="61"/>
      <c r="D12" s="61"/>
      <c r="E12" s="61"/>
      <c r="F12" s="61"/>
      <c r="G12" s="61"/>
      <c r="H12" s="61"/>
      <c r="I12" s="61"/>
      <c r="J12" s="61"/>
    </row>
    <row r="13" spans="1:13">
      <c r="A13" s="22" t="s">
        <v>30</v>
      </c>
      <c r="B13" s="7" t="s">
        <v>142</v>
      </c>
      <c r="C13" s="7" t="s">
        <v>143</v>
      </c>
      <c r="D13" s="7" t="s">
        <v>144</v>
      </c>
      <c r="E13" s="8" t="s">
        <v>352</v>
      </c>
      <c r="F13" s="7" t="s">
        <v>35</v>
      </c>
      <c r="G13" s="20" t="s">
        <v>145</v>
      </c>
      <c r="H13" s="20" t="s">
        <v>146</v>
      </c>
      <c r="I13" s="20" t="s">
        <v>147</v>
      </c>
      <c r="J13" s="22"/>
      <c r="K13" s="9" t="str">
        <f>"192,5"</f>
        <v>192,5</v>
      </c>
      <c r="L13" s="9" t="str">
        <f>"117,4442"</f>
        <v>117,4442</v>
      </c>
      <c r="M13" s="7" t="s">
        <v>347</v>
      </c>
    </row>
    <row r="15" spans="1:13" ht="16">
      <c r="A15" s="60" t="s">
        <v>148</v>
      </c>
      <c r="B15" s="60"/>
      <c r="C15" s="61"/>
      <c r="D15" s="61"/>
      <c r="E15" s="61"/>
      <c r="F15" s="61"/>
      <c r="G15" s="61"/>
      <c r="H15" s="61"/>
      <c r="I15" s="61"/>
      <c r="J15" s="61"/>
    </row>
    <row r="16" spans="1:13">
      <c r="A16" s="22" t="s">
        <v>30</v>
      </c>
      <c r="B16" s="7" t="s">
        <v>149</v>
      </c>
      <c r="C16" s="7" t="s">
        <v>150</v>
      </c>
      <c r="D16" s="7" t="s">
        <v>151</v>
      </c>
      <c r="E16" s="8" t="s">
        <v>352</v>
      </c>
      <c r="F16" s="7" t="s">
        <v>35</v>
      </c>
      <c r="G16" s="20" t="s">
        <v>18</v>
      </c>
      <c r="H16" s="20" t="s">
        <v>52</v>
      </c>
      <c r="I16" s="20" t="s">
        <v>152</v>
      </c>
      <c r="J16" s="22"/>
      <c r="K16" s="9" t="str">
        <f>"207,5"</f>
        <v>207,5</v>
      </c>
      <c r="L16" s="9" t="str">
        <f>"121,4498"</f>
        <v>121,4498</v>
      </c>
      <c r="M16" s="7" t="s">
        <v>346</v>
      </c>
    </row>
    <row r="18" spans="5:13">
      <c r="E18" s="5"/>
      <c r="F18" s="10"/>
      <c r="G18" s="5"/>
      <c r="K18" s="18"/>
      <c r="M18" s="6"/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9:J9"/>
    <mergeCell ref="A12:J12"/>
    <mergeCell ref="A15:J15"/>
    <mergeCell ref="B3:B4"/>
    <mergeCell ref="K3:K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F627C-377D-4BA7-85C4-0EB1DED185BC}">
  <dimension ref="A1:M8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30.6640625" style="5" bestFit="1" customWidth="1"/>
    <col min="7" max="9" width="5.5" style="18" customWidth="1"/>
    <col min="10" max="10" width="4.83203125" style="18" customWidth="1"/>
    <col min="11" max="11" width="10.5" style="6" bestFit="1" customWidth="1"/>
    <col min="12" max="12" width="8.5" style="6" bestFit="1" customWidth="1"/>
    <col min="13" max="13" width="18.1640625" style="5" customWidth="1"/>
    <col min="14" max="16384" width="9.1640625" style="3"/>
  </cols>
  <sheetData>
    <row r="1" spans="1:13" s="2" customFormat="1" ht="29" customHeight="1">
      <c r="A1" s="64" t="s">
        <v>318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s="2" customFormat="1" ht="62" customHeight="1" thickBot="1">
      <c r="A2" s="68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1" customFormat="1" ht="12.75" customHeight="1">
      <c r="A3" s="72" t="s">
        <v>348</v>
      </c>
      <c r="B3" s="79" t="s">
        <v>0</v>
      </c>
      <c r="C3" s="74" t="s">
        <v>349</v>
      </c>
      <c r="D3" s="74" t="s">
        <v>6</v>
      </c>
      <c r="E3" s="76" t="s">
        <v>350</v>
      </c>
      <c r="F3" s="78" t="s">
        <v>5</v>
      </c>
      <c r="G3" s="78" t="s">
        <v>8</v>
      </c>
      <c r="H3" s="78"/>
      <c r="I3" s="78"/>
      <c r="J3" s="78"/>
      <c r="K3" s="76" t="s">
        <v>130</v>
      </c>
      <c r="L3" s="76" t="s">
        <v>3</v>
      </c>
      <c r="M3" s="83" t="s">
        <v>2</v>
      </c>
    </row>
    <row r="4" spans="1:13" s="1" customFormat="1" ht="21" customHeight="1" thickBot="1">
      <c r="A4" s="73"/>
      <c r="B4" s="80"/>
      <c r="C4" s="75"/>
      <c r="D4" s="75"/>
      <c r="E4" s="77"/>
      <c r="F4" s="75"/>
      <c r="G4" s="4">
        <v>1</v>
      </c>
      <c r="H4" s="4">
        <v>2</v>
      </c>
      <c r="I4" s="4">
        <v>3</v>
      </c>
      <c r="J4" s="4" t="s">
        <v>4</v>
      </c>
      <c r="K4" s="77"/>
      <c r="L4" s="77"/>
      <c r="M4" s="84"/>
    </row>
    <row r="5" spans="1:13" ht="16">
      <c r="A5" s="62" t="s">
        <v>10</v>
      </c>
      <c r="B5" s="62"/>
      <c r="C5" s="63"/>
      <c r="D5" s="63"/>
      <c r="E5" s="63"/>
      <c r="F5" s="63"/>
      <c r="G5" s="63"/>
      <c r="H5" s="63"/>
      <c r="I5" s="63"/>
      <c r="J5" s="63"/>
    </row>
    <row r="6" spans="1:13">
      <c r="A6" s="22" t="s">
        <v>30</v>
      </c>
      <c r="B6" s="7" t="s">
        <v>126</v>
      </c>
      <c r="C6" s="7" t="s">
        <v>127</v>
      </c>
      <c r="D6" s="7" t="s">
        <v>128</v>
      </c>
      <c r="E6" s="8" t="s">
        <v>351</v>
      </c>
      <c r="F6" s="7" t="s">
        <v>35</v>
      </c>
      <c r="G6" s="20" t="s">
        <v>53</v>
      </c>
      <c r="H6" s="20" t="s">
        <v>64</v>
      </c>
      <c r="I6" s="20" t="s">
        <v>129</v>
      </c>
      <c r="J6" s="22"/>
      <c r="K6" s="9" t="str">
        <f>"230,0"</f>
        <v>230,0</v>
      </c>
      <c r="L6" s="9" t="str">
        <f>"131,2955"</f>
        <v>131,2955</v>
      </c>
      <c r="M6" s="7" t="s">
        <v>308</v>
      </c>
    </row>
    <row r="8" spans="1:13">
      <c r="E8" s="5"/>
      <c r="F8" s="10"/>
      <c r="G8" s="5"/>
      <c r="K8" s="18"/>
      <c r="M8" s="6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WRPF ПЛ без экипировки ДК</vt:lpstr>
      <vt:lpstr>WRPF ПЛ без экипировки</vt:lpstr>
      <vt:lpstr>WRPF ПЛ в бинтах</vt:lpstr>
      <vt:lpstr>WRPF Двоеборье без экип ДК</vt:lpstr>
      <vt:lpstr>WRPF Двоеборье без экип</vt:lpstr>
      <vt:lpstr>WEPF Двоеборье экип ДК</vt:lpstr>
      <vt:lpstr>WRPF Жим лежа без экип ДК</vt:lpstr>
      <vt:lpstr>WRPF Жим лежа без экип</vt:lpstr>
      <vt:lpstr>WEPF Жим софт однопетельная</vt:lpstr>
      <vt:lpstr>WRPF Военный жим ДК</vt:lpstr>
      <vt:lpstr>WRPF Тяга без экипировки ДК</vt:lpstr>
      <vt:lpstr>WRPF Тяга без экипировки</vt:lpstr>
      <vt:lpstr>СПР Пауэрспорт ДК</vt:lpstr>
      <vt:lpstr>СПР Пауэрспорт</vt:lpstr>
      <vt:lpstr>СПР Жим стоя ДК</vt:lpstr>
      <vt:lpstr>СПР Подъем на бицепс ДК</vt:lpstr>
      <vt:lpstr>СПР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2022-11-29T18:33:00Z</dcterms:modified>
</cp:coreProperties>
</file>