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Декабрь/"/>
    </mc:Choice>
  </mc:AlternateContent>
  <xr:revisionPtr revIDLastSave="0" documentId="13_ncr:1_{CCB7F9AA-994A-5B4B-B7F4-F7F112916176}" xr6:coauthVersionLast="45" xr6:coauthVersionMax="47" xr10:uidLastSave="{00000000-0000-0000-0000-000000000000}"/>
  <bookViews>
    <workbookView xWindow="900" yWindow="500" windowWidth="27900" windowHeight="15740" firstSheet="9" activeTab="13" xr2:uid="{00000000-000D-0000-FFFF-FFFF00000000}"/>
  </bookViews>
  <sheets>
    <sheet name="WRPF ПЛ без экипировки ДК" sheetId="36" r:id="rId1"/>
    <sheet name="WRPF ПЛ без экипировки" sheetId="43" r:id="rId2"/>
    <sheet name="WRPF Двоеборье без экип ДК" sheetId="13" r:id="rId3"/>
    <sheet name="WRPF Двоеборье без экип" sheetId="12" r:id="rId4"/>
    <sheet name="WRPF Жим лежа без экип ДК" sheetId="35" r:id="rId5"/>
    <sheet name="WRPF Жим лежа без экип" sheetId="34" r:id="rId6"/>
    <sheet name="WRPF Военный жим" sheetId="8" r:id="rId7"/>
    <sheet name="WRPF Тяга без экипировки ДК" sheetId="38" r:id="rId8"/>
    <sheet name="WRPF Тяга без экипировки" sheetId="11" r:id="rId9"/>
    <sheet name="WRPF Подъем на бицепс ДК" sheetId="40" r:id="rId10"/>
    <sheet name="WRPF Подъем на бицепс" sheetId="39" r:id="rId11"/>
    <sheet name="ФЖД Любители двоеборье" sheetId="31" r:id="rId12"/>
    <sheet name="ФЖД Софт двоеборье однопет.ДК" sheetId="33" r:id="rId13"/>
    <sheet name="ФЖД Военный жим максимум" sheetId="32" r:id="rId14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13" l="1"/>
  <c r="T19" i="36"/>
  <c r="T9" i="43"/>
  <c r="S9" i="43"/>
  <c r="T6" i="43"/>
  <c r="S6" i="43"/>
  <c r="L34" i="40" l="1"/>
  <c r="K34" i="40"/>
  <c r="L31" i="40"/>
  <c r="K31" i="40"/>
  <c r="L30" i="40"/>
  <c r="K30" i="40"/>
  <c r="L27" i="40"/>
  <c r="K27" i="40"/>
  <c r="L24" i="40"/>
  <c r="K24" i="40"/>
  <c r="L23" i="40"/>
  <c r="K23" i="40"/>
  <c r="L22" i="40"/>
  <c r="K22" i="40"/>
  <c r="L19" i="40"/>
  <c r="K19" i="40"/>
  <c r="L18" i="40"/>
  <c r="K18" i="40"/>
  <c r="L17" i="40"/>
  <c r="K17" i="40"/>
  <c r="L16" i="40"/>
  <c r="K16" i="40"/>
  <c r="L15" i="40"/>
  <c r="K15" i="40"/>
  <c r="L12" i="40"/>
  <c r="K12" i="40"/>
  <c r="L9" i="40"/>
  <c r="K9" i="40"/>
  <c r="L6" i="40"/>
  <c r="K6" i="40"/>
  <c r="L15" i="39"/>
  <c r="K15" i="39"/>
  <c r="L12" i="39"/>
  <c r="K12" i="39"/>
  <c r="L11" i="39"/>
  <c r="K11" i="39"/>
  <c r="L10" i="39"/>
  <c r="K10" i="39"/>
  <c r="L7" i="39"/>
  <c r="K7" i="39"/>
  <c r="L6" i="39"/>
  <c r="K6" i="39"/>
  <c r="L9" i="38"/>
  <c r="K9" i="38"/>
  <c r="L6" i="38"/>
  <c r="K6" i="38"/>
  <c r="T25" i="36"/>
  <c r="S25" i="36"/>
  <c r="T22" i="36"/>
  <c r="S22" i="36"/>
  <c r="T13" i="36"/>
  <c r="T10" i="36"/>
  <c r="S10" i="36"/>
  <c r="T7" i="36"/>
  <c r="S7" i="36"/>
  <c r="T6" i="36"/>
  <c r="S6" i="36"/>
  <c r="L27" i="35"/>
  <c r="K27" i="35"/>
  <c r="L24" i="35"/>
  <c r="K24" i="35"/>
  <c r="L23" i="35"/>
  <c r="K23" i="35"/>
  <c r="L20" i="35"/>
  <c r="K20" i="35"/>
  <c r="L19" i="35"/>
  <c r="K19" i="35"/>
  <c r="L18" i="35"/>
  <c r="K18" i="35"/>
  <c r="L15" i="35"/>
  <c r="K15" i="35"/>
  <c r="L12" i="35"/>
  <c r="K12" i="35"/>
  <c r="L9" i="35"/>
  <c r="K9" i="35"/>
  <c r="L6" i="35"/>
  <c r="K6" i="35"/>
  <c r="L22" i="34"/>
  <c r="K22" i="34"/>
  <c r="L19" i="34"/>
  <c r="K19" i="34"/>
  <c r="L18" i="34"/>
  <c r="K18" i="34"/>
  <c r="L15" i="34"/>
  <c r="K15" i="34"/>
  <c r="L14" i="34"/>
  <c r="K14" i="34"/>
  <c r="L11" i="34"/>
  <c r="K11" i="34"/>
  <c r="L10" i="34"/>
  <c r="K10" i="34"/>
  <c r="L9" i="34"/>
  <c r="K9" i="34"/>
  <c r="L6" i="34"/>
  <c r="K6" i="34"/>
  <c r="N6" i="33"/>
  <c r="M6" i="33"/>
  <c r="L9" i="32"/>
  <c r="K9" i="32"/>
  <c r="L6" i="32"/>
  <c r="K6" i="32"/>
  <c r="N6" i="31"/>
  <c r="M6" i="31"/>
  <c r="P6" i="13"/>
  <c r="O6" i="13"/>
  <c r="P9" i="12"/>
  <c r="O9" i="12"/>
  <c r="P6" i="12"/>
  <c r="O6" i="12"/>
  <c r="L15" i="11"/>
  <c r="K15" i="11"/>
  <c r="L12" i="11"/>
  <c r="K12" i="11"/>
  <c r="L9" i="11"/>
  <c r="K9" i="11"/>
  <c r="L6" i="11"/>
  <c r="K6" i="11"/>
  <c r="L7" i="8"/>
  <c r="K7" i="8"/>
  <c r="L6" i="8"/>
  <c r="K6" i="8"/>
</calcChain>
</file>

<file path=xl/sharedStrings.xml><?xml version="1.0" encoding="utf-8"?>
<sst xmlns="http://schemas.openxmlformats.org/spreadsheetml/2006/main" count="919" uniqueCount="326">
  <si>
    <t>Открытый мастерский турнир «Русская зима»
WRPF Пауэрлифтинг без экипировки ДК
Гатчина/Ленинградская область, 03-04 декабря 2022 года</t>
  </si>
  <si>
    <t>ФИО</t>
  </si>
  <si>
    <t>Собственный 
вес</t>
  </si>
  <si>
    <t>Город/Область</t>
  </si>
  <si>
    <t>Приседание</t>
  </si>
  <si>
    <t>Жим лёжа</t>
  </si>
  <si>
    <t>Становая тяга</t>
  </si>
  <si>
    <t>Сумма</t>
  </si>
  <si>
    <t>Очки</t>
  </si>
  <si>
    <t>Тренер</t>
  </si>
  <si>
    <t>Рек</t>
  </si>
  <si>
    <t>ВЕСОВАЯ КАТЕГОРИЯ   56</t>
  </si>
  <si>
    <t>1</t>
  </si>
  <si>
    <t>Алексеева Ольга</t>
  </si>
  <si>
    <t>Открытая (25.01.1988)/34</t>
  </si>
  <si>
    <t>55,50</t>
  </si>
  <si>
    <t xml:space="preserve">Санкт-Петербург </t>
  </si>
  <si>
    <t>80,0</t>
  </si>
  <si>
    <t>85,0</t>
  </si>
  <si>
    <t>87,5</t>
  </si>
  <si>
    <t>45,0</t>
  </si>
  <si>
    <t>50,0</t>
  </si>
  <si>
    <t>52,5</t>
  </si>
  <si>
    <t>95,0</t>
  </si>
  <si>
    <t>102,5</t>
  </si>
  <si>
    <t>110,0</t>
  </si>
  <si>
    <t>2</t>
  </si>
  <si>
    <t>Пахмелкина Алина</t>
  </si>
  <si>
    <t>Открытая (26.04.1989)/33</t>
  </si>
  <si>
    <t>53,00</t>
  </si>
  <si>
    <t xml:space="preserve">Псков/Псковская область </t>
  </si>
  <si>
    <t>60,0</t>
  </si>
  <si>
    <t>65,0</t>
  </si>
  <si>
    <t>70,0</t>
  </si>
  <si>
    <t>37,5</t>
  </si>
  <si>
    <t>42,5</t>
  </si>
  <si>
    <t>100,0</t>
  </si>
  <si>
    <t>115,0</t>
  </si>
  <si>
    <t>ВЕСОВАЯ КАТЕГОРИЯ   60</t>
  </si>
  <si>
    <t>Артемьева Ксения</t>
  </si>
  <si>
    <t>Открытая (21.04.1988)/34</t>
  </si>
  <si>
    <t>57,50</t>
  </si>
  <si>
    <t>67,5</t>
  </si>
  <si>
    <t>47,5</t>
  </si>
  <si>
    <t>92,5</t>
  </si>
  <si>
    <t>97,5</t>
  </si>
  <si>
    <t>ВЕСОВАЯ КАТЕГОРИЯ   67.5</t>
  </si>
  <si>
    <t>-</t>
  </si>
  <si>
    <t>Фирсова Анастасия</t>
  </si>
  <si>
    <t>Открытая (14.09.1983)/39</t>
  </si>
  <si>
    <t>67,00</t>
  </si>
  <si>
    <t>ВЕСОВАЯ КАТЕГОРИЯ   82.5</t>
  </si>
  <si>
    <t>Иванов Эдуард</t>
  </si>
  <si>
    <t>Юноши 14-16 (19.01.2008)/14</t>
  </si>
  <si>
    <t>81,50</t>
  </si>
  <si>
    <t>77,5</t>
  </si>
  <si>
    <t>90,0</t>
  </si>
  <si>
    <t>ВЕСОВАЯ КАТЕГОРИЯ   90</t>
  </si>
  <si>
    <t>Григорьев Александр</t>
  </si>
  <si>
    <t>Мастера 40-49 (22.11.1980)/42</t>
  </si>
  <si>
    <t>89,00</t>
  </si>
  <si>
    <t>190,0</t>
  </si>
  <si>
    <t>195,0</t>
  </si>
  <si>
    <t>205,0</t>
  </si>
  <si>
    <t>152,5</t>
  </si>
  <si>
    <t>160,0</t>
  </si>
  <si>
    <t>242,5</t>
  </si>
  <si>
    <t>250,0</t>
  </si>
  <si>
    <t>260,5</t>
  </si>
  <si>
    <t>Кунц Дмитрий</t>
  </si>
  <si>
    <t>ВЕСОВАЯ КАТЕГОРИЯ   100</t>
  </si>
  <si>
    <t>Кордочкин Дмитрий</t>
  </si>
  <si>
    <t>Открытая (22.07.1989)/33</t>
  </si>
  <si>
    <t>95,60</t>
  </si>
  <si>
    <t xml:space="preserve">Пушкин/Санкт-Петербург </t>
  </si>
  <si>
    <t>180,0</t>
  </si>
  <si>
    <t>120,0</t>
  </si>
  <si>
    <t>130,0</t>
  </si>
  <si>
    <t>135,0</t>
  </si>
  <si>
    <t>215,0</t>
  </si>
  <si>
    <t>ВЕСОВАЯ КАТЕГОРИЯ   110</t>
  </si>
  <si>
    <t>Плаксин Илья</t>
  </si>
  <si>
    <t>Юноши 17-19 (05.12.2002)/19</t>
  </si>
  <si>
    <t>105,80</t>
  </si>
  <si>
    <t xml:space="preserve">Гатчина/Ленинградская область </t>
  </si>
  <si>
    <t>170,0</t>
  </si>
  <si>
    <t>185,0</t>
  </si>
  <si>
    <t>200,0</t>
  </si>
  <si>
    <t>105,0</t>
  </si>
  <si>
    <t>220,0</t>
  </si>
  <si>
    <t>Лаппалайнен Дмитрий</t>
  </si>
  <si>
    <t>Открытый мастерский турнир «Русская зима»
WRPF Пауэрлифтинг без экипировки
Гатчина/Ленинградская область, 03-04 декабря 2022 года</t>
  </si>
  <si>
    <t>Иванов Владимир</t>
  </si>
  <si>
    <t>Открытая (13.06.1990)/32</t>
  </si>
  <si>
    <t>90,00</t>
  </si>
  <si>
    <t>165,0</t>
  </si>
  <si>
    <t>175,0</t>
  </si>
  <si>
    <t>Полевой Михаил</t>
  </si>
  <si>
    <t>Мастера 40-49 (18.07.1980)/42</t>
  </si>
  <si>
    <t>97,20</t>
  </si>
  <si>
    <t>210,0</t>
  </si>
  <si>
    <t>217,5</t>
  </si>
  <si>
    <t>167,5</t>
  </si>
  <si>
    <t>230,0</t>
  </si>
  <si>
    <t>Открытый мастерский турнир «Русская зима»
WRPF Силовое двоеборье без экипировки ДК
Гатчина/Ленинградская область, 03-04 декабря 2022 года</t>
  </si>
  <si>
    <t>Титова Елена</t>
  </si>
  <si>
    <t>Открытая (28.12.1985)/36</t>
  </si>
  <si>
    <t>59,20</t>
  </si>
  <si>
    <t>40,0</t>
  </si>
  <si>
    <t>Открытый мастерский турнир «Русская зима»
WRPF Силовое двоеборье без экипировки
Гатчина/Ленинградская область, 03-04 декабря 2022 года</t>
  </si>
  <si>
    <t>Крылова Ольга</t>
  </si>
  <si>
    <t>Открытая (04.11.1987)/35</t>
  </si>
  <si>
    <t>58,90</t>
  </si>
  <si>
    <t>Островская Ксения</t>
  </si>
  <si>
    <t>Открытая (06.11.1990)/32</t>
  </si>
  <si>
    <t>77,90</t>
  </si>
  <si>
    <t>Открытый мастерский турнир «Русская зима»
WRPF Жим лежа без экипировки ДК
Гатчина/Ленинградская область, 03-04 декабря 2022 года</t>
  </si>
  <si>
    <t>Результат</t>
  </si>
  <si>
    <t>Бачо Ирина</t>
  </si>
  <si>
    <t>Открытая (01.10.1996)/26</t>
  </si>
  <si>
    <t>55,80</t>
  </si>
  <si>
    <t>Савенко Владислав</t>
  </si>
  <si>
    <t>Юноши 14-16 (08.01.2009)/13</t>
  </si>
  <si>
    <t>54,30</t>
  </si>
  <si>
    <t xml:space="preserve">Сосновый Бор/Ленинградская область </t>
  </si>
  <si>
    <t>57,5</t>
  </si>
  <si>
    <t>ВЕСОВАЯ КАТЕГОРИЯ   75</t>
  </si>
  <si>
    <t>Жидков Геннадий</t>
  </si>
  <si>
    <t>Открытая (28.05.1986)/36</t>
  </si>
  <si>
    <t>69,00</t>
  </si>
  <si>
    <t>117,5</t>
  </si>
  <si>
    <t>Шербоев Шавкат</t>
  </si>
  <si>
    <t>Открытая (17.11.1997)/25</t>
  </si>
  <si>
    <t>81,20</t>
  </si>
  <si>
    <t>145,0</t>
  </si>
  <si>
    <t>Паншин Константин</t>
  </si>
  <si>
    <t>Открытая (22.01.1960)/62</t>
  </si>
  <si>
    <t>87,30</t>
  </si>
  <si>
    <t>Беляев Андрей</t>
  </si>
  <si>
    <t>Открытая (03.12.1991)/31</t>
  </si>
  <si>
    <t>89,90</t>
  </si>
  <si>
    <t>142,5</t>
  </si>
  <si>
    <t>147,5</t>
  </si>
  <si>
    <t>3</t>
  </si>
  <si>
    <t>Круглов Александр</t>
  </si>
  <si>
    <t>Открытая (17.11.1986)/36</t>
  </si>
  <si>
    <t>89,40</t>
  </si>
  <si>
    <t xml:space="preserve">Колпино/Санкт-Петербург </t>
  </si>
  <si>
    <t>Садовский Александр</t>
  </si>
  <si>
    <t>Открытая (22.07.1985)/37</t>
  </si>
  <si>
    <t>96,70</t>
  </si>
  <si>
    <t xml:space="preserve">Любань/Ленинградская область </t>
  </si>
  <si>
    <t>150,0</t>
  </si>
  <si>
    <t>162,5</t>
  </si>
  <si>
    <t>Веденский Виктор</t>
  </si>
  <si>
    <t>Открытая (01.04.1992)/30</t>
  </si>
  <si>
    <t>94,50</t>
  </si>
  <si>
    <t>125,0</t>
  </si>
  <si>
    <t>Элькин Андрей</t>
  </si>
  <si>
    <t>Открытая (13.12.1990)/31</t>
  </si>
  <si>
    <t>105,90</t>
  </si>
  <si>
    <t>157,5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</si>
  <si>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</si>
  <si>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</si>
  <si>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</si>
  <si>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</si>
  <si>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</si>
  <si>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>Весовая категория</t>
  </si>
  <si>
    <t xml:space="preserve">Результат </t>
  </si>
  <si>
    <t xml:space="preserve">Wilks </t>
  </si>
  <si>
    <t>100</t>
  </si>
  <si>
    <t>90</t>
  </si>
  <si>
    <t>82.5</t>
  </si>
  <si>
    <t>Открытый мастерский турнир «Русская зима»
WRPF Жим лежа без экипировки
Гатчина/Ленинградская область, 03-04 декабря 2022 года</t>
  </si>
  <si>
    <t>Бугаенко Алиса</t>
  </si>
  <si>
    <t>Открытая (18.03.1993)/29</t>
  </si>
  <si>
    <t>54,70</t>
  </si>
  <si>
    <t>Павлов Станислав</t>
  </si>
  <si>
    <t>Открытая (08.11.1996)/26</t>
  </si>
  <si>
    <t>89,60</t>
  </si>
  <si>
    <t>Мастера 60-69 (22.01.1960)/62</t>
  </si>
  <si>
    <t>Михайлов Александр</t>
  </si>
  <si>
    <t>Мастера 60-69 (09.12.1958)/63</t>
  </si>
  <si>
    <t>86,90</t>
  </si>
  <si>
    <t>107,5</t>
  </si>
  <si>
    <t xml:space="preserve">Грахов Юлий </t>
  </si>
  <si>
    <t>Коробов Илья</t>
  </si>
  <si>
    <t>Открытая (17.04.1980)/42</t>
  </si>
  <si>
    <t>97,80</t>
  </si>
  <si>
    <t>202,5</t>
  </si>
  <si>
    <t>Комаров Эдуард</t>
  </si>
  <si>
    <t>Открытая (28.10.1991)/31</t>
  </si>
  <si>
    <t>97,50</t>
  </si>
  <si>
    <t>172,5</t>
  </si>
  <si>
    <t>Тулин Александр</t>
  </si>
  <si>
    <t>Открытая (30.06.1998)/24</t>
  </si>
  <si>
    <t>107,70</t>
  </si>
  <si>
    <t>Козлов Николай</t>
  </si>
  <si>
    <t>Открытая (11.10.1990)/32</t>
  </si>
  <si>
    <t>109,70</t>
  </si>
  <si>
    <t xml:space="preserve">Мурманск/Мурманская область </t>
  </si>
  <si>
    <t>ВЕСОВАЯ КАТЕГОРИЯ   125</t>
  </si>
  <si>
    <t>Калининский илья</t>
  </si>
  <si>
    <t>Открытая (11.04.1989)/33</t>
  </si>
  <si>
    <t>114,80</t>
  </si>
  <si>
    <t xml:space="preserve">Великий Устюг/Вологодская область </t>
  </si>
  <si>
    <t>225,0</t>
  </si>
  <si>
    <t>Открытый мастерский турнир «Русская зима»
WRPF Военный жим лежа
Гатчина/Ленинградская область, 03-04 декабря 2022 года</t>
  </si>
  <si>
    <t>Открытая (18.07.1980)/42</t>
  </si>
  <si>
    <t>Данченков Павел</t>
  </si>
  <si>
    <t>Открытая (16.06.1988)/34</t>
  </si>
  <si>
    <t>98,70</t>
  </si>
  <si>
    <t>140,0</t>
  </si>
  <si>
    <t>Вес</t>
  </si>
  <si>
    <t>Повторы</t>
  </si>
  <si>
    <t>Открытый мастерский турнир «Русская зима»
WRPF Становая тяга без экипировки ДК
Гатчина/Ленинградская область, 03-04 декабря 2022 года</t>
  </si>
  <si>
    <t>Ковтун Евгений</t>
  </si>
  <si>
    <t>Мастера 40-49 (21.09.1982)/40</t>
  </si>
  <si>
    <t>82,80</t>
  </si>
  <si>
    <t>232,5</t>
  </si>
  <si>
    <t>Открытый мастерский турнир «Русская зима»
WRPF Становая тяга без экипировки
Гатчина/Ленинградская область, 03-04 декабря 2022 года</t>
  </si>
  <si>
    <t>ВЕСОВАЯ КАТЕГОРИЯ   44</t>
  </si>
  <si>
    <t>Белова Галина</t>
  </si>
  <si>
    <t>Открытая (02.07.1991)/31</t>
  </si>
  <si>
    <t>44,00</t>
  </si>
  <si>
    <t xml:space="preserve">Коммунар/Ленинградская область </t>
  </si>
  <si>
    <t>Тихонова Виктория</t>
  </si>
  <si>
    <t>Открытая (24.07.1987)/35</t>
  </si>
  <si>
    <t>66,70</t>
  </si>
  <si>
    <t>ВЕСОВАЯ КАТЕГОРИЯ   52</t>
  </si>
  <si>
    <t>Данилова Александра</t>
  </si>
  <si>
    <t>Открытая (29.05.1987)/35</t>
  </si>
  <si>
    <t>47,70</t>
  </si>
  <si>
    <t>Ударов Павел</t>
  </si>
  <si>
    <t>Мастера 40-49 (27.10.1978)/44</t>
  </si>
  <si>
    <t>74,80</t>
  </si>
  <si>
    <t>Открытый мастерский турнир «Русская зима»
WRPF Строгий подъем штанги на бицепс ДК
Гатчина/Ленинградская область, 03-04 декабря 2022 года</t>
  </si>
  <si>
    <t>30,0</t>
  </si>
  <si>
    <t>32,5</t>
  </si>
  <si>
    <t>35,0</t>
  </si>
  <si>
    <t>Кручина Светлана</t>
  </si>
  <si>
    <t>Открытая (19.02.1985)/37</t>
  </si>
  <si>
    <t>69,90</t>
  </si>
  <si>
    <t>27,5</t>
  </si>
  <si>
    <t>Комов Семен</t>
  </si>
  <si>
    <t>Юноши 13-19 (28.04.2004)/18</t>
  </si>
  <si>
    <t>78,65</t>
  </si>
  <si>
    <t xml:space="preserve">Старая Купавна/Московская область </t>
  </si>
  <si>
    <t>55,0</t>
  </si>
  <si>
    <t>Никитин Егор</t>
  </si>
  <si>
    <t>Юноши 13-19 (08.07.2005)/17</t>
  </si>
  <si>
    <t>81,00</t>
  </si>
  <si>
    <t>Степанов Николай</t>
  </si>
  <si>
    <t>Открытая (16.08.1988)/34</t>
  </si>
  <si>
    <t>81,80</t>
  </si>
  <si>
    <t>Гарчев Сергей</t>
  </si>
  <si>
    <t>Открытая (28.07.1983)/39</t>
  </si>
  <si>
    <t>80,00</t>
  </si>
  <si>
    <t>Горбачев Александр</t>
  </si>
  <si>
    <t>Мастера 50-59 (26.05.1971)/51</t>
  </si>
  <si>
    <t>82,00</t>
  </si>
  <si>
    <t>62,5</t>
  </si>
  <si>
    <t>Флоря Владислав</t>
  </si>
  <si>
    <t>Юноши 13-19 (20.01.2005)/17</t>
  </si>
  <si>
    <t>88,80</t>
  </si>
  <si>
    <t xml:space="preserve">Лаппалайнен Дмитрий </t>
  </si>
  <si>
    <t>Кудрявцев Никита</t>
  </si>
  <si>
    <t>Юниоры 20-23 (02.10.2000)/22</t>
  </si>
  <si>
    <t>86,10</t>
  </si>
  <si>
    <t>Ковалев Антон</t>
  </si>
  <si>
    <t>Открытая (19.04.1987)/35</t>
  </si>
  <si>
    <t>87,70</t>
  </si>
  <si>
    <t>Метленко Сергей</t>
  </si>
  <si>
    <t>Открытая (13.11.1989)/33</t>
  </si>
  <si>
    <t>97,00</t>
  </si>
  <si>
    <t>Петров Андрей</t>
  </si>
  <si>
    <t>Открытая (17.06.1982)/40</t>
  </si>
  <si>
    <t>103,20</t>
  </si>
  <si>
    <t xml:space="preserve">Петрозаводск/Республика Карелия </t>
  </si>
  <si>
    <t>82,5</t>
  </si>
  <si>
    <t>Мастера 40-49 (17.06.1982)/40</t>
  </si>
  <si>
    <t>103,30</t>
  </si>
  <si>
    <t>Введенский Константин</t>
  </si>
  <si>
    <t>Юниоры 20-23 (16.06.1999)/23</t>
  </si>
  <si>
    <t>115,70</t>
  </si>
  <si>
    <t>Открытый мастерский турнир «Русская зима»
WRPF Строгий подъем штанги на бицепс
Гатчина/Ленинградская область, 03-04 декабря 2022 года</t>
  </si>
  <si>
    <t>Огрызько Наталья</t>
  </si>
  <si>
    <t>Мастера 40-49 (12.07.1975)/47</t>
  </si>
  <si>
    <t>75,80</t>
  </si>
  <si>
    <t>Сорокин Евгений</t>
  </si>
  <si>
    <t>Открытая (11.02.1977)/45</t>
  </si>
  <si>
    <t>84,90</t>
  </si>
  <si>
    <t xml:space="preserve">Североморск/Мурманская область </t>
  </si>
  <si>
    <t>Серебренников Егор</t>
  </si>
  <si>
    <t>Открытая (08.04.1986)/36</t>
  </si>
  <si>
    <t>Нижневартовск/ХМАО</t>
  </si>
  <si>
    <t>Мастера 40-49 (11.02.1977)/45</t>
  </si>
  <si>
    <t>Открытый мастерский турнир «Русская зима»
ФЖД Любители двоеборье
Гатчина/Ленинградская область, 03-04 декабря 2022 года</t>
  </si>
  <si>
    <t>Многоповторный жим</t>
  </si>
  <si>
    <t>Остапенко Кирилл</t>
  </si>
  <si>
    <t>Мастера 45-49 (19.10.1977)/45</t>
  </si>
  <si>
    <t>97,60</t>
  </si>
  <si>
    <t>155,0</t>
  </si>
  <si>
    <t>Открытый мастерский турнир «Русская зима»
ФЖД Софт экипировка однопетельная двоеборье ДК
Гатчина/Ленинградская область, 03-04 декабря 2022 года</t>
  </si>
  <si>
    <t>Иванов Игорь</t>
  </si>
  <si>
    <t>Мастера 50-54 (05.08.1968)/54</t>
  </si>
  <si>
    <t>89,20</t>
  </si>
  <si>
    <t>240,0</t>
  </si>
  <si>
    <t>97,0</t>
  </si>
  <si>
    <t>Открытый мастерский турнир «Русская зима»
ФЖД Военный жим на максимум
Гатчина/Ленинградская область, 03-04 декабря 2022 года</t>
  </si>
  <si>
    <t>Герасинчук Игорь</t>
  </si>
  <si>
    <t>Мастера 40-44 (30.04.1982)/40</t>
  </si>
  <si>
    <t>100,00</t>
  </si>
  <si>
    <t>Жим</t>
  </si>
  <si>
    <t xml:space="preserve"> </t>
  </si>
  <si>
    <t>№</t>
  </si>
  <si>
    <t xml:space="preserve">
Дата рождения/Возраст</t>
  </si>
  <si>
    <t>Возрастная группа</t>
  </si>
  <si>
    <t>O</t>
  </si>
  <si>
    <t>T1</t>
  </si>
  <si>
    <t>M1</t>
  </si>
  <si>
    <t>T2</t>
  </si>
  <si>
    <t>M3</t>
  </si>
  <si>
    <t>T</t>
  </si>
  <si>
    <t>M2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</si>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</sst>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 indent="1"/>
    </xf>
    <xf numFmtId="49" fontId="7" fillId="0" borderId="0" xfId="0" applyNumberFormat="1" applyFont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165" fontId="1" fillId="0" borderId="26" xfId="0" applyNumberFormat="1" applyFont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5"/>
  <sheetViews>
    <sheetView workbookViewId="0">
      <selection activeCell="E26" sqref="E26"/>
    </sheetView>
  </sheetViews>
  <sheetFormatPr baseColWidth="10" defaultColWidth="9.1640625" defaultRowHeight="13"/>
  <cols>
    <col min="1" max="1" width="6.6640625" style="5" bestFit="1" customWidth="1"/>
    <col min="2" max="2" width="19" style="5" bestFit="1" customWidth="1"/>
    <col min="3" max="3" width="27.1640625" style="5" bestFit="1" customWidth="1"/>
    <col min="4" max="4" width="20" style="5" bestFit="1" customWidth="1"/>
    <col min="5" max="5" width="9.6640625" style="6" bestFit="1" customWidth="1"/>
    <col min="6" max="6" width="28.5" style="5" bestFit="1" customWidth="1"/>
    <col min="7" max="9" width="5.33203125" style="10" customWidth="1"/>
    <col min="10" max="10" width="4.33203125" style="10" customWidth="1"/>
    <col min="11" max="13" width="5.33203125" style="10" customWidth="1"/>
    <col min="14" max="14" width="4.33203125" style="10" customWidth="1"/>
    <col min="15" max="17" width="5.33203125" style="10" customWidth="1"/>
    <col min="18" max="18" width="5.83203125" style="10" bestFit="1" customWidth="1"/>
    <col min="19" max="19" width="7.1640625" style="66" bestFit="1" customWidth="1"/>
    <col min="20" max="20" width="9.1640625" style="66" bestFit="1" customWidth="1"/>
    <col min="21" max="21" width="23.1640625" style="5" customWidth="1"/>
    <col min="22" max="16384" width="9.1640625" style="3"/>
  </cols>
  <sheetData>
    <row r="1" spans="1:21" s="2" customFormat="1" ht="29" customHeight="1">
      <c r="A1" s="70" t="s">
        <v>0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3"/>
    </row>
    <row r="2" spans="1:21" s="2" customFormat="1" ht="62" customHeight="1" thickBot="1">
      <c r="A2" s="7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1:21" s="1" customFormat="1" ht="12.75" customHeight="1">
      <c r="A3" s="78" t="s">
        <v>315</v>
      </c>
      <c r="B3" s="93" t="s">
        <v>1</v>
      </c>
      <c r="C3" s="80" t="s">
        <v>316</v>
      </c>
      <c r="D3" s="80" t="s">
        <v>2</v>
      </c>
      <c r="E3" s="82" t="s">
        <v>317</v>
      </c>
      <c r="F3" s="84" t="s">
        <v>3</v>
      </c>
      <c r="G3" s="84" t="s">
        <v>4</v>
      </c>
      <c r="H3" s="84"/>
      <c r="I3" s="84"/>
      <c r="J3" s="84"/>
      <c r="K3" s="84" t="s">
        <v>5</v>
      </c>
      <c r="L3" s="84"/>
      <c r="M3" s="84"/>
      <c r="N3" s="84"/>
      <c r="O3" s="84" t="s">
        <v>6</v>
      </c>
      <c r="P3" s="84"/>
      <c r="Q3" s="84"/>
      <c r="R3" s="84"/>
      <c r="S3" s="87" t="s">
        <v>7</v>
      </c>
      <c r="T3" s="87" t="s">
        <v>8</v>
      </c>
      <c r="U3" s="89" t="s">
        <v>9</v>
      </c>
    </row>
    <row r="4" spans="1:21" s="1" customFormat="1" ht="21" customHeight="1" thickBot="1">
      <c r="A4" s="79"/>
      <c r="B4" s="94"/>
      <c r="C4" s="81"/>
      <c r="D4" s="81"/>
      <c r="E4" s="83"/>
      <c r="F4" s="81"/>
      <c r="G4" s="4">
        <v>1</v>
      </c>
      <c r="H4" s="4">
        <v>2</v>
      </c>
      <c r="I4" s="4">
        <v>3</v>
      </c>
      <c r="J4" s="4" t="s">
        <v>10</v>
      </c>
      <c r="K4" s="4">
        <v>1</v>
      </c>
      <c r="L4" s="4">
        <v>2</v>
      </c>
      <c r="M4" s="4">
        <v>3</v>
      </c>
      <c r="N4" s="4" t="s">
        <v>10</v>
      </c>
      <c r="O4" s="4">
        <v>1</v>
      </c>
      <c r="P4" s="4">
        <v>2</v>
      </c>
      <c r="Q4" s="4">
        <v>3</v>
      </c>
      <c r="R4" s="4" t="s">
        <v>10</v>
      </c>
      <c r="S4" s="88"/>
      <c r="T4" s="88"/>
      <c r="U4" s="90"/>
    </row>
    <row r="5" spans="1:21" ht="16">
      <c r="A5" s="91" t="s">
        <v>11</v>
      </c>
      <c r="B5" s="91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21">
      <c r="A6" s="22" t="s">
        <v>12</v>
      </c>
      <c r="B6" s="14" t="s">
        <v>13</v>
      </c>
      <c r="C6" s="14" t="s">
        <v>14</v>
      </c>
      <c r="D6" s="14" t="s">
        <v>15</v>
      </c>
      <c r="E6" s="15" t="s">
        <v>318</v>
      </c>
      <c r="F6" s="14" t="s">
        <v>16</v>
      </c>
      <c r="G6" s="31" t="s">
        <v>17</v>
      </c>
      <c r="H6" s="31" t="s">
        <v>18</v>
      </c>
      <c r="I6" s="31" t="s">
        <v>19</v>
      </c>
      <c r="J6" s="22"/>
      <c r="K6" s="31" t="s">
        <v>20</v>
      </c>
      <c r="L6" s="31" t="s">
        <v>21</v>
      </c>
      <c r="M6" s="32" t="s">
        <v>22</v>
      </c>
      <c r="N6" s="22"/>
      <c r="O6" s="31" t="s">
        <v>23</v>
      </c>
      <c r="P6" s="31" t="s">
        <v>24</v>
      </c>
      <c r="Q6" s="31" t="s">
        <v>25</v>
      </c>
      <c r="R6" s="22"/>
      <c r="S6" s="67" t="str">
        <f>"247,5"</f>
        <v>247,5</v>
      </c>
      <c r="T6" s="67" t="str">
        <f>"293,2628"</f>
        <v>293,2628</v>
      </c>
      <c r="U6" s="14"/>
    </row>
    <row r="7" spans="1:21">
      <c r="A7" s="23" t="s">
        <v>26</v>
      </c>
      <c r="B7" s="17" t="s">
        <v>27</v>
      </c>
      <c r="C7" s="17" t="s">
        <v>28</v>
      </c>
      <c r="D7" s="17" t="s">
        <v>29</v>
      </c>
      <c r="E7" s="18" t="s">
        <v>318</v>
      </c>
      <c r="F7" s="17" t="s">
        <v>30</v>
      </c>
      <c r="G7" s="34" t="s">
        <v>31</v>
      </c>
      <c r="H7" s="34" t="s">
        <v>32</v>
      </c>
      <c r="I7" s="34" t="s">
        <v>33</v>
      </c>
      <c r="J7" s="23"/>
      <c r="K7" s="34" t="s">
        <v>34</v>
      </c>
      <c r="L7" s="34" t="s">
        <v>35</v>
      </c>
      <c r="M7" s="33" t="s">
        <v>20</v>
      </c>
      <c r="N7" s="23"/>
      <c r="O7" s="34" t="s">
        <v>36</v>
      </c>
      <c r="P7" s="34" t="s">
        <v>25</v>
      </c>
      <c r="Q7" s="34" t="s">
        <v>37</v>
      </c>
      <c r="R7" s="23"/>
      <c r="S7" s="68" t="str">
        <f>"227,5"</f>
        <v>227,5</v>
      </c>
      <c r="T7" s="68" t="str">
        <f>"279,4610"</f>
        <v>279,4610</v>
      </c>
      <c r="U7" s="17"/>
    </row>
    <row r="9" spans="1:21" ht="16">
      <c r="A9" s="85" t="s">
        <v>38</v>
      </c>
      <c r="B9" s="85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spans="1:21">
      <c r="A10" s="21" t="s">
        <v>12</v>
      </c>
      <c r="B10" s="11" t="s">
        <v>39</v>
      </c>
      <c r="C10" s="11" t="s">
        <v>40</v>
      </c>
      <c r="D10" s="11" t="s">
        <v>41</v>
      </c>
      <c r="E10" s="12" t="s">
        <v>318</v>
      </c>
      <c r="F10" s="11" t="s">
        <v>16</v>
      </c>
      <c r="G10" s="20" t="s">
        <v>32</v>
      </c>
      <c r="H10" s="20" t="s">
        <v>42</v>
      </c>
      <c r="I10" s="35" t="s">
        <v>33</v>
      </c>
      <c r="J10" s="21"/>
      <c r="K10" s="20" t="s">
        <v>43</v>
      </c>
      <c r="L10" s="20" t="s">
        <v>21</v>
      </c>
      <c r="M10" s="20" t="s">
        <v>22</v>
      </c>
      <c r="N10" s="21"/>
      <c r="O10" s="20" t="s">
        <v>19</v>
      </c>
      <c r="P10" s="20" t="s">
        <v>44</v>
      </c>
      <c r="Q10" s="20" t="s">
        <v>45</v>
      </c>
      <c r="R10" s="21"/>
      <c r="S10" s="69" t="str">
        <f>"217,5"</f>
        <v>217,5</v>
      </c>
      <c r="T10" s="69" t="str">
        <f>"250,6688"</f>
        <v>250,6688</v>
      </c>
      <c r="U10" s="11"/>
    </row>
    <row r="12" spans="1:21" ht="16">
      <c r="A12" s="85" t="s">
        <v>46</v>
      </c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spans="1:21">
      <c r="A13" s="21" t="s">
        <v>47</v>
      </c>
      <c r="B13" s="11" t="s">
        <v>48</v>
      </c>
      <c r="C13" s="11" t="s">
        <v>49</v>
      </c>
      <c r="D13" s="11" t="s">
        <v>50</v>
      </c>
      <c r="E13" s="12" t="s">
        <v>318</v>
      </c>
      <c r="F13" s="11" t="s">
        <v>16</v>
      </c>
      <c r="G13" s="35" t="s">
        <v>23</v>
      </c>
      <c r="H13" s="20" t="s">
        <v>23</v>
      </c>
      <c r="I13" s="35" t="s">
        <v>24</v>
      </c>
      <c r="J13" s="21"/>
      <c r="K13" s="35" t="s">
        <v>32</v>
      </c>
      <c r="L13" s="35" t="s">
        <v>42</v>
      </c>
      <c r="M13" s="35" t="s">
        <v>42</v>
      </c>
      <c r="N13" s="21"/>
      <c r="O13" s="21"/>
      <c r="P13" s="21"/>
      <c r="Q13" s="21"/>
      <c r="R13" s="21"/>
      <c r="S13" s="69">
        <v>0</v>
      </c>
      <c r="T13" s="69" t="str">
        <f>"0,0000"</f>
        <v>0,0000</v>
      </c>
      <c r="U13" s="11"/>
    </row>
    <row r="15" spans="1:21" ht="16">
      <c r="A15" s="85" t="s">
        <v>51</v>
      </c>
      <c r="B15" s="85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spans="1:21">
      <c r="A16" s="21" t="s">
        <v>12</v>
      </c>
      <c r="B16" s="11" t="s">
        <v>52</v>
      </c>
      <c r="C16" s="11" t="s">
        <v>53</v>
      </c>
      <c r="D16" s="11" t="s">
        <v>54</v>
      </c>
      <c r="E16" s="12" t="s">
        <v>319</v>
      </c>
      <c r="F16" s="11" t="s">
        <v>16</v>
      </c>
      <c r="G16" s="20" t="s">
        <v>33</v>
      </c>
      <c r="H16" s="20" t="s">
        <v>17</v>
      </c>
      <c r="I16" s="20" t="s">
        <v>18</v>
      </c>
      <c r="J16" s="21"/>
      <c r="K16" s="20" t="s">
        <v>31</v>
      </c>
      <c r="L16" s="20" t="s">
        <v>33</v>
      </c>
      <c r="M16" s="35" t="s">
        <v>55</v>
      </c>
      <c r="N16" s="21"/>
      <c r="O16" s="20" t="s">
        <v>17</v>
      </c>
      <c r="P16" s="20" t="s">
        <v>56</v>
      </c>
      <c r="Q16" s="20" t="s">
        <v>23</v>
      </c>
      <c r="R16" s="21"/>
      <c r="S16" s="42">
        <v>250</v>
      </c>
      <c r="T16" s="44">
        <v>168.72499999999999</v>
      </c>
      <c r="U16" s="11"/>
    </row>
    <row r="18" spans="1:21" ht="16">
      <c r="A18" s="85" t="s">
        <v>57</v>
      </c>
      <c r="B18" s="85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spans="1:21">
      <c r="A19" s="53" t="s">
        <v>12</v>
      </c>
      <c r="B19" s="54" t="s">
        <v>58</v>
      </c>
      <c r="C19" s="54" t="s">
        <v>59</v>
      </c>
      <c r="D19" s="54" t="s">
        <v>60</v>
      </c>
      <c r="E19" s="55" t="s">
        <v>320</v>
      </c>
      <c r="F19" s="54" t="s">
        <v>16</v>
      </c>
      <c r="G19" s="56" t="s">
        <v>61</v>
      </c>
      <c r="H19" s="57" t="s">
        <v>62</v>
      </c>
      <c r="I19" s="57" t="s">
        <v>63</v>
      </c>
      <c r="J19" s="58"/>
      <c r="K19" s="57" t="s">
        <v>64</v>
      </c>
      <c r="L19" s="56" t="s">
        <v>65</v>
      </c>
      <c r="M19" s="57" t="s">
        <v>65</v>
      </c>
      <c r="N19" s="58"/>
      <c r="O19" s="57" t="s">
        <v>66</v>
      </c>
      <c r="P19" s="57" t="s">
        <v>67</v>
      </c>
      <c r="Q19" s="57" t="s">
        <v>68</v>
      </c>
      <c r="R19" s="65"/>
      <c r="S19" s="59">
        <v>625.5</v>
      </c>
      <c r="T19" s="61" t="e">
        <f>S19*E19</f>
        <v>#VALUE!</v>
      </c>
      <c r="U19" s="60" t="s">
        <v>69</v>
      </c>
    </row>
    <row r="21" spans="1:21" ht="16">
      <c r="A21" s="85" t="s">
        <v>70</v>
      </c>
      <c r="B21" s="85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spans="1:21">
      <c r="A22" s="21" t="s">
        <v>12</v>
      </c>
      <c r="B22" s="11" t="s">
        <v>71</v>
      </c>
      <c r="C22" s="11" t="s">
        <v>72</v>
      </c>
      <c r="D22" s="11" t="s">
        <v>73</v>
      </c>
      <c r="E22" s="12" t="s">
        <v>318</v>
      </c>
      <c r="F22" s="11" t="s">
        <v>74</v>
      </c>
      <c r="G22" s="20" t="s">
        <v>75</v>
      </c>
      <c r="H22" s="20" t="s">
        <v>61</v>
      </c>
      <c r="I22" s="20" t="s">
        <v>63</v>
      </c>
      <c r="J22" s="21"/>
      <c r="K22" s="20" t="s">
        <v>76</v>
      </c>
      <c r="L22" s="20" t="s">
        <v>77</v>
      </c>
      <c r="M22" s="20" t="s">
        <v>78</v>
      </c>
      <c r="N22" s="21"/>
      <c r="O22" s="20" t="s">
        <v>61</v>
      </c>
      <c r="P22" s="20" t="s">
        <v>63</v>
      </c>
      <c r="Q22" s="20" t="s">
        <v>79</v>
      </c>
      <c r="R22" s="21"/>
      <c r="S22" s="69" t="str">
        <f>"555,0"</f>
        <v>555,0</v>
      </c>
      <c r="T22" s="69" t="str">
        <f>"344,2665"</f>
        <v>344,2665</v>
      </c>
      <c r="U22" s="11"/>
    </row>
    <row r="24" spans="1:21" ht="16">
      <c r="A24" s="85" t="s">
        <v>80</v>
      </c>
      <c r="B24" s="85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</row>
    <row r="25" spans="1:21">
      <c r="A25" s="21" t="s">
        <v>12</v>
      </c>
      <c r="B25" s="11" t="s">
        <v>81</v>
      </c>
      <c r="C25" s="11" t="s">
        <v>82</v>
      </c>
      <c r="D25" s="11" t="s">
        <v>83</v>
      </c>
      <c r="E25" s="12" t="s">
        <v>321</v>
      </c>
      <c r="F25" s="11" t="s">
        <v>84</v>
      </c>
      <c r="G25" s="20" t="s">
        <v>85</v>
      </c>
      <c r="H25" s="20" t="s">
        <v>86</v>
      </c>
      <c r="I25" s="20" t="s">
        <v>87</v>
      </c>
      <c r="J25" s="21"/>
      <c r="K25" s="20" t="s">
        <v>56</v>
      </c>
      <c r="L25" s="20" t="s">
        <v>36</v>
      </c>
      <c r="M25" s="20" t="s">
        <v>88</v>
      </c>
      <c r="N25" s="21"/>
      <c r="O25" s="20" t="s">
        <v>61</v>
      </c>
      <c r="P25" s="20" t="s">
        <v>63</v>
      </c>
      <c r="Q25" s="20" t="s">
        <v>89</v>
      </c>
      <c r="R25" s="21"/>
      <c r="S25" s="69" t="str">
        <f>"525,0"</f>
        <v>525,0</v>
      </c>
      <c r="T25" s="69" t="str">
        <f>"312,9000"</f>
        <v>312,9000</v>
      </c>
      <c r="U25" s="11" t="s">
        <v>90</v>
      </c>
    </row>
  </sheetData>
  <mergeCells count="20">
    <mergeCell ref="A24:R24"/>
    <mergeCell ref="S3:S4"/>
    <mergeCell ref="T3:T4"/>
    <mergeCell ref="U3:U4"/>
    <mergeCell ref="A5:R5"/>
    <mergeCell ref="B3:B4"/>
    <mergeCell ref="A9:R9"/>
    <mergeCell ref="A12:R12"/>
    <mergeCell ref="A15:R15"/>
    <mergeCell ref="A21:R21"/>
    <mergeCell ref="A18:R18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workbookViewId="0">
      <selection activeCell="E35" sqref="E35"/>
    </sheetView>
  </sheetViews>
  <sheetFormatPr baseColWidth="10" defaultColWidth="9.1640625" defaultRowHeight="13"/>
  <cols>
    <col min="1" max="1" width="6.6640625" style="5" bestFit="1" customWidth="1"/>
    <col min="2" max="2" width="20.5" style="5" bestFit="1" customWidth="1"/>
    <col min="3" max="3" width="28.1640625" style="5" bestFit="1" customWidth="1"/>
    <col min="4" max="4" width="20" style="5" bestFit="1" customWidth="1"/>
    <col min="5" max="5" width="9.6640625" style="6" bestFit="1" customWidth="1"/>
    <col min="6" max="6" width="33.1640625" style="5" bestFit="1" customWidth="1"/>
    <col min="7" max="10" width="5.5" style="10" customWidth="1"/>
    <col min="11" max="11" width="10.5" style="7" bestFit="1" customWidth="1"/>
    <col min="12" max="12" width="9.33203125" style="7" customWidth="1"/>
    <col min="13" max="13" width="19.83203125" style="5" bestFit="1" customWidth="1"/>
    <col min="14" max="16384" width="9.1640625" style="3"/>
  </cols>
  <sheetData>
    <row r="1" spans="1:13" s="2" customFormat="1" ht="29" customHeight="1">
      <c r="A1" s="70" t="s">
        <v>236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s="2" customFormat="1" ht="62" customHeight="1" thickBot="1">
      <c r="A2" s="7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13" s="1" customFormat="1" ht="12.75" customHeight="1">
      <c r="A3" s="78" t="s">
        <v>315</v>
      </c>
      <c r="B3" s="93" t="s">
        <v>1</v>
      </c>
      <c r="C3" s="80" t="s">
        <v>316</v>
      </c>
      <c r="D3" s="80" t="s">
        <v>2</v>
      </c>
      <c r="E3" s="82" t="s">
        <v>317</v>
      </c>
      <c r="F3" s="84" t="s">
        <v>3</v>
      </c>
      <c r="G3" s="84" t="s">
        <v>313</v>
      </c>
      <c r="H3" s="84"/>
      <c r="I3" s="84"/>
      <c r="J3" s="84"/>
      <c r="K3" s="82" t="s">
        <v>117</v>
      </c>
      <c r="L3" s="82" t="s">
        <v>8</v>
      </c>
      <c r="M3" s="89" t="s">
        <v>9</v>
      </c>
    </row>
    <row r="4" spans="1:13" s="1" customFormat="1" ht="21" customHeight="1" thickBot="1">
      <c r="A4" s="79"/>
      <c r="B4" s="94"/>
      <c r="C4" s="81"/>
      <c r="D4" s="81"/>
      <c r="E4" s="83"/>
      <c r="F4" s="81"/>
      <c r="G4" s="4">
        <v>1</v>
      </c>
      <c r="H4" s="4">
        <v>2</v>
      </c>
      <c r="I4" s="4">
        <v>3</v>
      </c>
      <c r="J4" s="4" t="s">
        <v>10</v>
      </c>
      <c r="K4" s="83"/>
      <c r="L4" s="83"/>
      <c r="M4" s="90"/>
    </row>
    <row r="5" spans="1:13" ht="16">
      <c r="A5" s="91" t="s">
        <v>11</v>
      </c>
      <c r="B5" s="91"/>
      <c r="C5" s="92"/>
      <c r="D5" s="92"/>
      <c r="E5" s="92"/>
      <c r="F5" s="92"/>
      <c r="G5" s="92"/>
      <c r="H5" s="92"/>
      <c r="I5" s="92"/>
      <c r="J5" s="92"/>
    </row>
    <row r="6" spans="1:13">
      <c r="A6" s="21" t="s">
        <v>12</v>
      </c>
      <c r="B6" s="11" t="s">
        <v>118</v>
      </c>
      <c r="C6" s="11" t="s">
        <v>119</v>
      </c>
      <c r="D6" s="11" t="s">
        <v>120</v>
      </c>
      <c r="E6" s="12" t="s">
        <v>318</v>
      </c>
      <c r="F6" s="11" t="s">
        <v>30</v>
      </c>
      <c r="G6" s="20" t="s">
        <v>237</v>
      </c>
      <c r="H6" s="20" t="s">
        <v>238</v>
      </c>
      <c r="I6" s="35" t="s">
        <v>239</v>
      </c>
      <c r="J6" s="21"/>
      <c r="K6" s="13" t="str">
        <f>"32,5"</f>
        <v>32,5</v>
      </c>
      <c r="L6" s="13" t="str">
        <f>"34,0243"</f>
        <v>34,0243</v>
      </c>
      <c r="M6" s="11"/>
    </row>
    <row r="8" spans="1:13" ht="16">
      <c r="A8" s="85" t="s">
        <v>126</v>
      </c>
      <c r="B8" s="85"/>
      <c r="C8" s="86"/>
      <c r="D8" s="86"/>
      <c r="E8" s="86"/>
      <c r="F8" s="86"/>
      <c r="G8" s="86"/>
      <c r="H8" s="86"/>
      <c r="I8" s="86"/>
      <c r="J8" s="86"/>
    </row>
    <row r="9" spans="1:13">
      <c r="A9" s="21" t="s">
        <v>12</v>
      </c>
      <c r="B9" s="11" t="s">
        <v>240</v>
      </c>
      <c r="C9" s="11" t="s">
        <v>241</v>
      </c>
      <c r="D9" s="11" t="s">
        <v>242</v>
      </c>
      <c r="E9" s="12" t="s">
        <v>318</v>
      </c>
      <c r="F9" s="11" t="s">
        <v>16</v>
      </c>
      <c r="G9" s="20" t="s">
        <v>243</v>
      </c>
      <c r="H9" s="20" t="s">
        <v>237</v>
      </c>
      <c r="I9" s="35" t="s">
        <v>238</v>
      </c>
      <c r="J9" s="21"/>
      <c r="K9" s="13" t="str">
        <f>"30,0"</f>
        <v>30,0</v>
      </c>
      <c r="L9" s="13" t="str">
        <f>"26,3190"</f>
        <v>26,3190</v>
      </c>
      <c r="M9" s="11"/>
    </row>
    <row r="11" spans="1:13" ht="16">
      <c r="A11" s="85" t="s">
        <v>126</v>
      </c>
      <c r="B11" s="85"/>
      <c r="C11" s="86"/>
      <c r="D11" s="86"/>
      <c r="E11" s="86"/>
      <c r="F11" s="86"/>
      <c r="G11" s="86"/>
      <c r="H11" s="86"/>
      <c r="I11" s="86"/>
      <c r="J11" s="86"/>
    </row>
    <row r="12" spans="1:13">
      <c r="A12" s="21" t="s">
        <v>12</v>
      </c>
      <c r="B12" s="11" t="s">
        <v>127</v>
      </c>
      <c r="C12" s="11" t="s">
        <v>128</v>
      </c>
      <c r="D12" s="11" t="s">
        <v>129</v>
      </c>
      <c r="E12" s="12" t="s">
        <v>318</v>
      </c>
      <c r="F12" s="11" t="s">
        <v>16</v>
      </c>
      <c r="G12" s="20" t="s">
        <v>108</v>
      </c>
      <c r="H12" s="20" t="s">
        <v>20</v>
      </c>
      <c r="I12" s="20" t="s">
        <v>21</v>
      </c>
      <c r="J12" s="21"/>
      <c r="K12" s="13" t="str">
        <f>"50,0"</f>
        <v>50,0</v>
      </c>
      <c r="L12" s="13" t="str">
        <f>"36,7425"</f>
        <v>36,7425</v>
      </c>
      <c r="M12" s="11"/>
    </row>
    <row r="14" spans="1:13" ht="16">
      <c r="A14" s="85" t="s">
        <v>51</v>
      </c>
      <c r="B14" s="85"/>
      <c r="C14" s="86"/>
      <c r="D14" s="86"/>
      <c r="E14" s="86"/>
      <c r="F14" s="86"/>
      <c r="G14" s="86"/>
      <c r="H14" s="86"/>
      <c r="I14" s="86"/>
      <c r="J14" s="86"/>
    </row>
    <row r="15" spans="1:13">
      <c r="A15" s="22" t="s">
        <v>12</v>
      </c>
      <c r="B15" s="14" t="s">
        <v>244</v>
      </c>
      <c r="C15" s="14" t="s">
        <v>245</v>
      </c>
      <c r="D15" s="14" t="s">
        <v>246</v>
      </c>
      <c r="E15" s="15" t="s">
        <v>323</v>
      </c>
      <c r="F15" s="14" t="s">
        <v>247</v>
      </c>
      <c r="G15" s="31" t="s">
        <v>248</v>
      </c>
      <c r="H15" s="31" t="s">
        <v>31</v>
      </c>
      <c r="I15" s="31" t="s">
        <v>32</v>
      </c>
      <c r="J15" s="22"/>
      <c r="K15" s="16" t="str">
        <f>"65,0"</f>
        <v>65,0</v>
      </c>
      <c r="L15" s="16" t="str">
        <f>"43,2591"</f>
        <v>43,2591</v>
      </c>
      <c r="M15" s="14"/>
    </row>
    <row r="16" spans="1:13">
      <c r="A16" s="41" t="s">
        <v>26</v>
      </c>
      <c r="B16" s="36" t="s">
        <v>249</v>
      </c>
      <c r="C16" s="36" t="s">
        <v>250</v>
      </c>
      <c r="D16" s="36" t="s">
        <v>251</v>
      </c>
      <c r="E16" s="37" t="s">
        <v>323</v>
      </c>
      <c r="F16" s="36" t="s">
        <v>30</v>
      </c>
      <c r="G16" s="39" t="s">
        <v>43</v>
      </c>
      <c r="H16" s="39" t="s">
        <v>21</v>
      </c>
      <c r="I16" s="40" t="s">
        <v>22</v>
      </c>
      <c r="J16" s="41"/>
      <c r="K16" s="38" t="str">
        <f>"50,0"</f>
        <v>50,0</v>
      </c>
      <c r="L16" s="38" t="str">
        <f>"32,6175"</f>
        <v>32,6175</v>
      </c>
      <c r="M16" s="36"/>
    </row>
    <row r="17" spans="1:13">
      <c r="A17" s="41" t="s">
        <v>12</v>
      </c>
      <c r="B17" s="36" t="s">
        <v>252</v>
      </c>
      <c r="C17" s="36" t="s">
        <v>253</v>
      </c>
      <c r="D17" s="36" t="s">
        <v>254</v>
      </c>
      <c r="E17" s="37" t="s">
        <v>318</v>
      </c>
      <c r="F17" s="36" t="s">
        <v>84</v>
      </c>
      <c r="G17" s="39" t="s">
        <v>32</v>
      </c>
      <c r="H17" s="41"/>
      <c r="I17" s="41"/>
      <c r="J17" s="41"/>
      <c r="K17" s="38" t="str">
        <f>"65,0"</f>
        <v>65,0</v>
      </c>
      <c r="L17" s="38" t="str">
        <f>"42,1330"</f>
        <v>42,1330</v>
      </c>
      <c r="M17" s="36"/>
    </row>
    <row r="18" spans="1:13">
      <c r="A18" s="41" t="s">
        <v>26</v>
      </c>
      <c r="B18" s="36" t="s">
        <v>255</v>
      </c>
      <c r="C18" s="36" t="s">
        <v>256</v>
      </c>
      <c r="D18" s="36" t="s">
        <v>257</v>
      </c>
      <c r="E18" s="37" t="s">
        <v>318</v>
      </c>
      <c r="F18" s="36" t="s">
        <v>16</v>
      </c>
      <c r="G18" s="39" t="s">
        <v>20</v>
      </c>
      <c r="H18" s="39" t="s">
        <v>21</v>
      </c>
      <c r="I18" s="39" t="s">
        <v>248</v>
      </c>
      <c r="J18" s="41"/>
      <c r="K18" s="38" t="str">
        <f>"55,0"</f>
        <v>55,0</v>
      </c>
      <c r="L18" s="38" t="str">
        <f>"36,1790"</f>
        <v>36,1790</v>
      </c>
      <c r="M18" s="36"/>
    </row>
    <row r="19" spans="1:13">
      <c r="A19" s="23" t="s">
        <v>12</v>
      </c>
      <c r="B19" s="17" t="s">
        <v>258</v>
      </c>
      <c r="C19" s="17" t="s">
        <v>259</v>
      </c>
      <c r="D19" s="17" t="s">
        <v>260</v>
      </c>
      <c r="E19" s="18" t="s">
        <v>324</v>
      </c>
      <c r="F19" s="17" t="s">
        <v>74</v>
      </c>
      <c r="G19" s="34" t="s">
        <v>21</v>
      </c>
      <c r="H19" s="34" t="s">
        <v>125</v>
      </c>
      <c r="I19" s="33" t="s">
        <v>261</v>
      </c>
      <c r="J19" s="23"/>
      <c r="K19" s="19" t="str">
        <f>"57,5"</f>
        <v>57,5</v>
      </c>
      <c r="L19" s="19" t="str">
        <f>"42,6812"</f>
        <v>42,6812</v>
      </c>
      <c r="M19" s="17"/>
    </row>
    <row r="21" spans="1:13" ht="16">
      <c r="A21" s="85" t="s">
        <v>57</v>
      </c>
      <c r="B21" s="85"/>
      <c r="C21" s="86"/>
      <c r="D21" s="86"/>
      <c r="E21" s="86"/>
      <c r="F21" s="86"/>
      <c r="G21" s="86"/>
      <c r="H21" s="86"/>
      <c r="I21" s="86"/>
      <c r="J21" s="86"/>
    </row>
    <row r="22" spans="1:13">
      <c r="A22" s="22" t="s">
        <v>12</v>
      </c>
      <c r="B22" s="14" t="s">
        <v>262</v>
      </c>
      <c r="C22" s="14" t="s">
        <v>263</v>
      </c>
      <c r="D22" s="14" t="s">
        <v>264</v>
      </c>
      <c r="E22" s="15" t="s">
        <v>323</v>
      </c>
      <c r="F22" s="14" t="s">
        <v>84</v>
      </c>
      <c r="G22" s="31" t="s">
        <v>21</v>
      </c>
      <c r="H22" s="31" t="s">
        <v>22</v>
      </c>
      <c r="I22" s="32" t="s">
        <v>248</v>
      </c>
      <c r="J22" s="22"/>
      <c r="K22" s="16" t="str">
        <f>"52,5"</f>
        <v>52,5</v>
      </c>
      <c r="L22" s="16" t="str">
        <f>"32,3636"</f>
        <v>32,3636</v>
      </c>
      <c r="M22" s="14" t="s">
        <v>265</v>
      </c>
    </row>
    <row r="23" spans="1:13">
      <c r="A23" s="41" t="s">
        <v>12</v>
      </c>
      <c r="B23" s="36" t="s">
        <v>266</v>
      </c>
      <c r="C23" s="36" t="s">
        <v>267</v>
      </c>
      <c r="D23" s="36" t="s">
        <v>268</v>
      </c>
      <c r="E23" s="37" t="s">
        <v>325</v>
      </c>
      <c r="F23" s="36" t="s">
        <v>16</v>
      </c>
      <c r="G23" s="39" t="s">
        <v>21</v>
      </c>
      <c r="H23" s="39" t="s">
        <v>248</v>
      </c>
      <c r="I23" s="39" t="s">
        <v>31</v>
      </c>
      <c r="J23" s="41"/>
      <c r="K23" s="38" t="str">
        <f>"60,0"</f>
        <v>60,0</v>
      </c>
      <c r="L23" s="38" t="str">
        <f>"37,6620"</f>
        <v>37,6620</v>
      </c>
      <c r="M23" s="36"/>
    </row>
    <row r="24" spans="1:13">
      <c r="A24" s="23" t="s">
        <v>12</v>
      </c>
      <c r="B24" s="17" t="s">
        <v>269</v>
      </c>
      <c r="C24" s="17" t="s">
        <v>270</v>
      </c>
      <c r="D24" s="17" t="s">
        <v>271</v>
      </c>
      <c r="E24" s="18" t="s">
        <v>318</v>
      </c>
      <c r="F24" s="17" t="s">
        <v>30</v>
      </c>
      <c r="G24" s="34" t="s">
        <v>248</v>
      </c>
      <c r="H24" s="34" t="s">
        <v>31</v>
      </c>
      <c r="I24" s="33" t="s">
        <v>42</v>
      </c>
      <c r="J24" s="23"/>
      <c r="K24" s="19" t="str">
        <f>"60,0"</f>
        <v>60,0</v>
      </c>
      <c r="L24" s="19" t="str">
        <f>"37,2540"</f>
        <v>37,2540</v>
      </c>
      <c r="M24" s="17"/>
    </row>
    <row r="26" spans="1:13" ht="16">
      <c r="A26" s="85" t="s">
        <v>70</v>
      </c>
      <c r="B26" s="85"/>
      <c r="C26" s="86"/>
      <c r="D26" s="86"/>
      <c r="E26" s="86"/>
      <c r="F26" s="86"/>
      <c r="G26" s="86"/>
      <c r="H26" s="86"/>
      <c r="I26" s="86"/>
      <c r="J26" s="86"/>
    </row>
    <row r="27" spans="1:13">
      <c r="A27" s="21" t="s">
        <v>12</v>
      </c>
      <c r="B27" s="11" t="s">
        <v>272</v>
      </c>
      <c r="C27" s="11" t="s">
        <v>273</v>
      </c>
      <c r="D27" s="11" t="s">
        <v>274</v>
      </c>
      <c r="E27" s="12" t="s">
        <v>318</v>
      </c>
      <c r="F27" s="11" t="s">
        <v>30</v>
      </c>
      <c r="G27" s="20" t="s">
        <v>21</v>
      </c>
      <c r="H27" s="20" t="s">
        <v>125</v>
      </c>
      <c r="I27" s="20" t="s">
        <v>31</v>
      </c>
      <c r="J27" s="21"/>
      <c r="K27" s="13" t="str">
        <f>"60,0"</f>
        <v>60,0</v>
      </c>
      <c r="L27" s="13" t="str">
        <f>"35,3460"</f>
        <v>35,3460</v>
      </c>
      <c r="M27" s="11"/>
    </row>
    <row r="29" spans="1:13" ht="16">
      <c r="A29" s="85" t="s">
        <v>80</v>
      </c>
      <c r="B29" s="85"/>
      <c r="C29" s="86"/>
      <c r="D29" s="86"/>
      <c r="E29" s="86"/>
      <c r="F29" s="86"/>
      <c r="G29" s="86"/>
      <c r="H29" s="86"/>
      <c r="I29" s="86"/>
      <c r="J29" s="86"/>
    </row>
    <row r="30" spans="1:13">
      <c r="A30" s="22" t="s">
        <v>12</v>
      </c>
      <c r="B30" s="14" t="s">
        <v>275</v>
      </c>
      <c r="C30" s="14" t="s">
        <v>276</v>
      </c>
      <c r="D30" s="14" t="s">
        <v>277</v>
      </c>
      <c r="E30" s="15" t="s">
        <v>318</v>
      </c>
      <c r="F30" s="45" t="s">
        <v>278</v>
      </c>
      <c r="G30" s="49" t="s">
        <v>279</v>
      </c>
      <c r="H30" s="49" t="s">
        <v>17</v>
      </c>
      <c r="I30" s="31" t="s">
        <v>279</v>
      </c>
      <c r="J30" s="50" t="s">
        <v>18</v>
      </c>
      <c r="K30" s="47" t="str">
        <f>"82,5"</f>
        <v>82,5</v>
      </c>
      <c r="L30" s="16" t="str">
        <f>"47,3715"</f>
        <v>47,3715</v>
      </c>
      <c r="M30" s="14"/>
    </row>
    <row r="31" spans="1:13">
      <c r="A31" s="23" t="s">
        <v>12</v>
      </c>
      <c r="B31" s="17" t="s">
        <v>275</v>
      </c>
      <c r="C31" s="17" t="s">
        <v>280</v>
      </c>
      <c r="D31" s="17" t="s">
        <v>281</v>
      </c>
      <c r="E31" s="18" t="s">
        <v>320</v>
      </c>
      <c r="F31" s="46" t="s">
        <v>278</v>
      </c>
      <c r="G31" s="51" t="s">
        <v>279</v>
      </c>
      <c r="H31" s="51" t="s">
        <v>17</v>
      </c>
      <c r="I31" s="34" t="s">
        <v>279</v>
      </c>
      <c r="J31" s="52" t="s">
        <v>18</v>
      </c>
      <c r="K31" s="48" t="str">
        <f>"82,5"</f>
        <v>82,5</v>
      </c>
      <c r="L31" s="19" t="str">
        <f>"47,3550"</f>
        <v>47,3550</v>
      </c>
      <c r="M31" s="17"/>
    </row>
    <row r="33" spans="1:13" ht="16">
      <c r="A33" s="85" t="s">
        <v>201</v>
      </c>
      <c r="B33" s="85"/>
      <c r="C33" s="86"/>
      <c r="D33" s="86"/>
      <c r="E33" s="86"/>
      <c r="F33" s="86"/>
      <c r="G33" s="86"/>
      <c r="H33" s="86"/>
      <c r="I33" s="86"/>
      <c r="J33" s="86"/>
    </row>
    <row r="34" spans="1:13">
      <c r="A34" s="21" t="s">
        <v>12</v>
      </c>
      <c r="B34" s="11" t="s">
        <v>282</v>
      </c>
      <c r="C34" s="11" t="s">
        <v>283</v>
      </c>
      <c r="D34" s="11" t="s">
        <v>284</v>
      </c>
      <c r="E34" s="12" t="s">
        <v>325</v>
      </c>
      <c r="F34" s="11" t="s">
        <v>16</v>
      </c>
      <c r="G34" s="35" t="s">
        <v>125</v>
      </c>
      <c r="H34" s="20" t="s">
        <v>31</v>
      </c>
      <c r="I34" s="35" t="s">
        <v>42</v>
      </c>
      <c r="J34" s="21"/>
      <c r="K34" s="13" t="str">
        <f>"60,0"</f>
        <v>60,0</v>
      </c>
      <c r="L34" s="13" t="str">
        <f>"33,3270"</f>
        <v>33,3270</v>
      </c>
      <c r="M34" s="11"/>
    </row>
  </sheetData>
  <mergeCells count="19">
    <mergeCell ref="A33:J33"/>
    <mergeCell ref="B3:B4"/>
    <mergeCell ref="A8:J8"/>
    <mergeCell ref="A11:J11"/>
    <mergeCell ref="A14:J14"/>
    <mergeCell ref="A21:J21"/>
    <mergeCell ref="A26:J26"/>
    <mergeCell ref="A29:J29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"/>
  <sheetViews>
    <sheetView workbookViewId="0">
      <selection activeCell="E16" sqref="E16"/>
    </sheetView>
  </sheetViews>
  <sheetFormatPr baseColWidth="10" defaultColWidth="9.1640625" defaultRowHeight="13"/>
  <cols>
    <col min="1" max="1" width="6.6640625" style="5" bestFit="1" customWidth="1"/>
    <col min="2" max="2" width="22.6640625" style="5" customWidth="1"/>
    <col min="3" max="3" width="28.1640625" style="5" bestFit="1" customWidth="1"/>
    <col min="4" max="4" width="20" style="5" bestFit="1" customWidth="1"/>
    <col min="5" max="5" width="9.6640625" style="6" bestFit="1" customWidth="1"/>
    <col min="6" max="6" width="38.6640625" style="5" customWidth="1"/>
    <col min="7" max="10" width="5.5" style="10" customWidth="1"/>
    <col min="11" max="11" width="10.5" style="7" bestFit="1" customWidth="1"/>
    <col min="12" max="12" width="7.6640625" style="7" bestFit="1" customWidth="1"/>
    <col min="13" max="13" width="22.33203125" style="5" customWidth="1"/>
    <col min="14" max="16384" width="9.1640625" style="3"/>
  </cols>
  <sheetData>
    <row r="1" spans="1:13" s="2" customFormat="1" ht="29" customHeight="1">
      <c r="A1" s="70" t="s">
        <v>285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s="2" customFormat="1" ht="62" customHeight="1" thickBot="1">
      <c r="A2" s="7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13" s="1" customFormat="1" ht="12.75" customHeight="1">
      <c r="A3" s="78" t="s">
        <v>315</v>
      </c>
      <c r="B3" s="93" t="s">
        <v>1</v>
      </c>
      <c r="C3" s="80" t="s">
        <v>316</v>
      </c>
      <c r="D3" s="80" t="s">
        <v>2</v>
      </c>
      <c r="E3" s="82" t="s">
        <v>317</v>
      </c>
      <c r="F3" s="84" t="s">
        <v>3</v>
      </c>
      <c r="G3" s="84" t="s">
        <v>313</v>
      </c>
      <c r="H3" s="84"/>
      <c r="I3" s="84"/>
      <c r="J3" s="84"/>
      <c r="K3" s="82" t="s">
        <v>117</v>
      </c>
      <c r="L3" s="82" t="s">
        <v>8</v>
      </c>
      <c r="M3" s="89" t="s">
        <v>9</v>
      </c>
    </row>
    <row r="4" spans="1:13" s="1" customFormat="1" ht="21" customHeight="1" thickBot="1">
      <c r="A4" s="79"/>
      <c r="B4" s="94"/>
      <c r="C4" s="81"/>
      <c r="D4" s="81"/>
      <c r="E4" s="83"/>
      <c r="F4" s="81"/>
      <c r="G4" s="4">
        <v>1</v>
      </c>
      <c r="H4" s="4">
        <v>2</v>
      </c>
      <c r="I4" s="4">
        <v>3</v>
      </c>
      <c r="J4" s="4" t="s">
        <v>10</v>
      </c>
      <c r="K4" s="83"/>
      <c r="L4" s="83"/>
      <c r="M4" s="90"/>
    </row>
    <row r="5" spans="1:13" ht="16">
      <c r="A5" s="91" t="s">
        <v>51</v>
      </c>
      <c r="B5" s="91"/>
      <c r="C5" s="92"/>
      <c r="D5" s="92"/>
      <c r="E5" s="92"/>
      <c r="F5" s="92"/>
      <c r="G5" s="92"/>
      <c r="H5" s="92"/>
      <c r="I5" s="92"/>
      <c r="J5" s="92"/>
    </row>
    <row r="6" spans="1:13">
      <c r="A6" s="22" t="s">
        <v>12</v>
      </c>
      <c r="B6" s="14" t="s">
        <v>252</v>
      </c>
      <c r="C6" s="14" t="s">
        <v>253</v>
      </c>
      <c r="D6" s="14" t="s">
        <v>254</v>
      </c>
      <c r="E6" s="15" t="s">
        <v>318</v>
      </c>
      <c r="F6" s="14" t="s">
        <v>84</v>
      </c>
      <c r="G6" s="31" t="s">
        <v>31</v>
      </c>
      <c r="H6" s="31" t="s">
        <v>261</v>
      </c>
      <c r="I6" s="31" t="s">
        <v>32</v>
      </c>
      <c r="J6" s="22"/>
      <c r="K6" s="16" t="str">
        <f>"65,0"</f>
        <v>65,0</v>
      </c>
      <c r="L6" s="16" t="str">
        <f>"42,1330"</f>
        <v>42,1330</v>
      </c>
      <c r="M6" s="14"/>
    </row>
    <row r="7" spans="1:13">
      <c r="A7" s="23" t="s">
        <v>12</v>
      </c>
      <c r="B7" s="17" t="s">
        <v>286</v>
      </c>
      <c r="C7" s="17" t="s">
        <v>287</v>
      </c>
      <c r="D7" s="17" t="s">
        <v>288</v>
      </c>
      <c r="E7" s="18" t="s">
        <v>320</v>
      </c>
      <c r="F7" s="17" t="s">
        <v>16</v>
      </c>
      <c r="G7" s="34" t="s">
        <v>21</v>
      </c>
      <c r="H7" s="34" t="s">
        <v>22</v>
      </c>
      <c r="I7" s="33" t="s">
        <v>248</v>
      </c>
      <c r="J7" s="23"/>
      <c r="K7" s="19" t="str">
        <f>"52,5"</f>
        <v>52,5</v>
      </c>
      <c r="L7" s="19" t="str">
        <f>"38,8092"</f>
        <v>38,8092</v>
      </c>
      <c r="M7" s="17"/>
    </row>
    <row r="9" spans="1:13" ht="16">
      <c r="A9" s="85" t="s">
        <v>57</v>
      </c>
      <c r="B9" s="85"/>
      <c r="C9" s="86"/>
      <c r="D9" s="86"/>
      <c r="E9" s="86"/>
      <c r="F9" s="86"/>
      <c r="G9" s="86"/>
      <c r="H9" s="86"/>
      <c r="I9" s="86"/>
      <c r="J9" s="86"/>
    </row>
    <row r="10" spans="1:13">
      <c r="A10" s="22" t="s">
        <v>12</v>
      </c>
      <c r="B10" s="14" t="s">
        <v>289</v>
      </c>
      <c r="C10" s="14" t="s">
        <v>290</v>
      </c>
      <c r="D10" s="14" t="s">
        <v>291</v>
      </c>
      <c r="E10" s="15" t="s">
        <v>318</v>
      </c>
      <c r="F10" s="14" t="s">
        <v>292</v>
      </c>
      <c r="G10" s="31" t="s">
        <v>33</v>
      </c>
      <c r="H10" s="31" t="s">
        <v>55</v>
      </c>
      <c r="I10" s="32" t="s">
        <v>279</v>
      </c>
      <c r="J10" s="22"/>
      <c r="K10" s="16" t="str">
        <f>"77,5"</f>
        <v>77,5</v>
      </c>
      <c r="L10" s="16" t="str">
        <f>"49,0652"</f>
        <v>49,0652</v>
      </c>
      <c r="M10" s="14"/>
    </row>
    <row r="11" spans="1:13">
      <c r="A11" s="41" t="s">
        <v>26</v>
      </c>
      <c r="B11" s="36" t="s">
        <v>293</v>
      </c>
      <c r="C11" s="36" t="s">
        <v>294</v>
      </c>
      <c r="D11" s="36" t="s">
        <v>60</v>
      </c>
      <c r="E11" s="37" t="s">
        <v>318</v>
      </c>
      <c r="F11" s="36" t="s">
        <v>295</v>
      </c>
      <c r="G11" s="39" t="s">
        <v>21</v>
      </c>
      <c r="H11" s="40" t="s">
        <v>248</v>
      </c>
      <c r="I11" s="41"/>
      <c r="J11" s="41"/>
      <c r="K11" s="38" t="str">
        <f>"50,0"</f>
        <v>50,0</v>
      </c>
      <c r="L11" s="38" t="str">
        <f>"30,7850"</f>
        <v>30,7850</v>
      </c>
      <c r="M11" s="36"/>
    </row>
    <row r="12" spans="1:13">
      <c r="A12" s="23" t="s">
        <v>12</v>
      </c>
      <c r="B12" s="17" t="s">
        <v>289</v>
      </c>
      <c r="C12" s="17" t="s">
        <v>296</v>
      </c>
      <c r="D12" s="17" t="s">
        <v>291</v>
      </c>
      <c r="E12" s="18" t="s">
        <v>320</v>
      </c>
      <c r="F12" s="17" t="s">
        <v>292</v>
      </c>
      <c r="G12" s="34" t="s">
        <v>33</v>
      </c>
      <c r="H12" s="34" t="s">
        <v>55</v>
      </c>
      <c r="I12" s="33" t="s">
        <v>279</v>
      </c>
      <c r="J12" s="23"/>
      <c r="K12" s="19" t="str">
        <f>"77,5"</f>
        <v>77,5</v>
      </c>
      <c r="L12" s="19" t="str">
        <f>"51,7638"</f>
        <v>51,7638</v>
      </c>
      <c r="M12" s="17"/>
    </row>
    <row r="14" spans="1:13" ht="16">
      <c r="A14" s="85" t="s">
        <v>80</v>
      </c>
      <c r="B14" s="85"/>
      <c r="C14" s="86"/>
      <c r="D14" s="86"/>
      <c r="E14" s="86"/>
      <c r="F14" s="86"/>
      <c r="G14" s="86"/>
      <c r="H14" s="86"/>
      <c r="I14" s="86"/>
      <c r="J14" s="86"/>
    </row>
    <row r="15" spans="1:13">
      <c r="A15" s="21" t="s">
        <v>12</v>
      </c>
      <c r="B15" s="11" t="s">
        <v>275</v>
      </c>
      <c r="C15" s="11" t="s">
        <v>276</v>
      </c>
      <c r="D15" s="11" t="s">
        <v>281</v>
      </c>
      <c r="E15" s="12" t="s">
        <v>318</v>
      </c>
      <c r="F15" s="11" t="s">
        <v>278</v>
      </c>
      <c r="G15" s="20" t="s">
        <v>55</v>
      </c>
      <c r="H15" s="20" t="s">
        <v>17</v>
      </c>
      <c r="I15" s="20" t="s">
        <v>279</v>
      </c>
      <c r="J15" s="35" t="s">
        <v>18</v>
      </c>
      <c r="K15" s="13" t="str">
        <f>"82,5"</f>
        <v>82,5</v>
      </c>
      <c r="L15" s="13" t="str">
        <f>"47,3550"</f>
        <v>47,3550</v>
      </c>
      <c r="M15" s="11"/>
    </row>
  </sheetData>
  <mergeCells count="14">
    <mergeCell ref="A9:J9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"/>
  <sheetViews>
    <sheetView workbookViewId="0">
      <selection activeCell="E7" sqref="E7"/>
    </sheetView>
  </sheetViews>
  <sheetFormatPr baseColWidth="10" defaultColWidth="9.1640625" defaultRowHeight="13"/>
  <cols>
    <col min="1" max="1" width="6.6640625" style="5" bestFit="1" customWidth="1"/>
    <col min="2" max="2" width="16.1640625" style="5" bestFit="1" customWidth="1"/>
    <col min="3" max="3" width="28.1640625" style="5" bestFit="1" customWidth="1"/>
    <col min="4" max="4" width="20" style="5" bestFit="1" customWidth="1"/>
    <col min="5" max="5" width="15.1640625" style="6" bestFit="1" customWidth="1"/>
    <col min="6" max="6" width="20.83203125" style="5" customWidth="1"/>
    <col min="7" max="9" width="5.33203125" style="10" customWidth="1"/>
    <col min="10" max="10" width="4.33203125" style="10" customWidth="1"/>
    <col min="11" max="11" width="11.83203125" style="10" customWidth="1"/>
    <col min="12" max="12" width="12.6640625" style="10" customWidth="1"/>
    <col min="13" max="13" width="7.1640625" style="7" bestFit="1" customWidth="1"/>
    <col min="14" max="14" width="9.33203125" style="7" bestFit="1" customWidth="1"/>
    <col min="15" max="15" width="18" style="5" customWidth="1"/>
    <col min="16" max="16384" width="9.1640625" style="3"/>
  </cols>
  <sheetData>
    <row r="1" spans="1:15" s="2" customFormat="1" ht="29" customHeight="1">
      <c r="A1" s="70" t="s">
        <v>297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</row>
    <row r="2" spans="1:15" s="2" customFormat="1" ht="62" customHeight="1" thickBot="1">
      <c r="A2" s="7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7"/>
    </row>
    <row r="3" spans="1:15" s="1" customFormat="1" ht="12.75" customHeight="1">
      <c r="A3" s="78" t="s">
        <v>315</v>
      </c>
      <c r="B3" s="93" t="s">
        <v>1</v>
      </c>
      <c r="C3" s="80" t="s">
        <v>316</v>
      </c>
      <c r="D3" s="80" t="s">
        <v>2</v>
      </c>
      <c r="E3" s="82" t="s">
        <v>317</v>
      </c>
      <c r="F3" s="84" t="s">
        <v>3</v>
      </c>
      <c r="G3" s="84" t="s">
        <v>5</v>
      </c>
      <c r="H3" s="84"/>
      <c r="I3" s="84"/>
      <c r="J3" s="84"/>
      <c r="K3" s="84" t="s">
        <v>298</v>
      </c>
      <c r="L3" s="84"/>
      <c r="M3" s="82" t="s">
        <v>7</v>
      </c>
      <c r="N3" s="82" t="s">
        <v>8</v>
      </c>
      <c r="O3" s="89" t="s">
        <v>9</v>
      </c>
    </row>
    <row r="4" spans="1:15" s="1" customFormat="1" ht="21" customHeight="1" thickBot="1">
      <c r="A4" s="79"/>
      <c r="B4" s="94"/>
      <c r="C4" s="81"/>
      <c r="D4" s="81"/>
      <c r="E4" s="83"/>
      <c r="F4" s="81"/>
      <c r="G4" s="4">
        <v>1</v>
      </c>
      <c r="H4" s="4">
        <v>2</v>
      </c>
      <c r="I4" s="4">
        <v>3</v>
      </c>
      <c r="J4" s="4" t="s">
        <v>10</v>
      </c>
      <c r="K4" s="4" t="s">
        <v>213</v>
      </c>
      <c r="L4" s="4" t="s">
        <v>214</v>
      </c>
      <c r="M4" s="83"/>
      <c r="N4" s="83"/>
      <c r="O4" s="90"/>
    </row>
    <row r="5" spans="1:15" ht="16">
      <c r="A5" s="91" t="s">
        <v>70</v>
      </c>
      <c r="B5" s="91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5">
      <c r="A6" s="21" t="s">
        <v>12</v>
      </c>
      <c r="B6" s="11" t="s">
        <v>299</v>
      </c>
      <c r="C6" s="11" t="s">
        <v>300</v>
      </c>
      <c r="D6" s="11" t="s">
        <v>301</v>
      </c>
      <c r="E6" s="12" t="s">
        <v>324</v>
      </c>
      <c r="F6" s="11" t="s">
        <v>16</v>
      </c>
      <c r="G6" s="20" t="s">
        <v>302</v>
      </c>
      <c r="H6" s="20" t="s">
        <v>95</v>
      </c>
      <c r="I6" s="35" t="s">
        <v>193</v>
      </c>
      <c r="J6" s="21"/>
      <c r="K6" s="21" t="s">
        <v>36</v>
      </c>
      <c r="L6" s="43">
        <v>30</v>
      </c>
      <c r="M6" s="13" t="str">
        <f>"195,0"</f>
        <v>195,0</v>
      </c>
      <c r="N6" s="13" t="str">
        <f>"7284,1952"</f>
        <v>7284,1952</v>
      </c>
      <c r="O6" s="11"/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"/>
  <sheetViews>
    <sheetView workbookViewId="0">
      <selection activeCell="E7" sqref="E7"/>
    </sheetView>
  </sheetViews>
  <sheetFormatPr baseColWidth="10" defaultColWidth="9.1640625" defaultRowHeight="13"/>
  <cols>
    <col min="1" max="1" width="6.6640625" style="5" bestFit="1" customWidth="1"/>
    <col min="2" max="2" width="18.1640625" style="5" customWidth="1"/>
    <col min="3" max="3" width="28.1640625" style="5" bestFit="1" customWidth="1"/>
    <col min="4" max="4" width="20" style="5" bestFit="1" customWidth="1"/>
    <col min="5" max="5" width="15.1640625" style="6" bestFit="1" customWidth="1"/>
    <col min="6" max="6" width="34.1640625" style="5" bestFit="1" customWidth="1"/>
    <col min="7" max="9" width="5.33203125" style="10" customWidth="1"/>
    <col min="10" max="10" width="4.33203125" style="10" customWidth="1"/>
    <col min="11" max="11" width="12" style="10" customWidth="1"/>
    <col min="12" max="12" width="13.5" style="10" customWidth="1"/>
    <col min="13" max="13" width="7.1640625" style="7" bestFit="1" customWidth="1"/>
    <col min="14" max="14" width="10.33203125" style="7" bestFit="1" customWidth="1"/>
    <col min="15" max="15" width="21.6640625" style="5" customWidth="1"/>
    <col min="16" max="16384" width="9.1640625" style="3"/>
  </cols>
  <sheetData>
    <row r="1" spans="1:15" s="2" customFormat="1" ht="29" customHeight="1">
      <c r="A1" s="70" t="s">
        <v>303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</row>
    <row r="2" spans="1:15" s="2" customFormat="1" ht="62" customHeight="1" thickBot="1">
      <c r="A2" s="7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7"/>
    </row>
    <row r="3" spans="1:15" s="1" customFormat="1" ht="12.75" customHeight="1">
      <c r="A3" s="78" t="s">
        <v>315</v>
      </c>
      <c r="B3" s="93" t="s">
        <v>1</v>
      </c>
      <c r="C3" s="80" t="s">
        <v>316</v>
      </c>
      <c r="D3" s="80" t="s">
        <v>2</v>
      </c>
      <c r="E3" s="82" t="s">
        <v>317</v>
      </c>
      <c r="F3" s="84" t="s">
        <v>3</v>
      </c>
      <c r="G3" s="84" t="s">
        <v>5</v>
      </c>
      <c r="H3" s="84"/>
      <c r="I3" s="84"/>
      <c r="J3" s="84"/>
      <c r="K3" s="84" t="s">
        <v>298</v>
      </c>
      <c r="L3" s="84"/>
      <c r="M3" s="82" t="s">
        <v>7</v>
      </c>
      <c r="N3" s="82" t="s">
        <v>8</v>
      </c>
      <c r="O3" s="89" t="s">
        <v>9</v>
      </c>
    </row>
    <row r="4" spans="1:15" s="1" customFormat="1" ht="21" customHeight="1" thickBot="1">
      <c r="A4" s="79"/>
      <c r="B4" s="94"/>
      <c r="C4" s="81"/>
      <c r="D4" s="81"/>
      <c r="E4" s="83"/>
      <c r="F4" s="81"/>
      <c r="G4" s="4">
        <v>1</v>
      </c>
      <c r="H4" s="4">
        <v>2</v>
      </c>
      <c r="I4" s="4">
        <v>3</v>
      </c>
      <c r="J4" s="4" t="s">
        <v>10</v>
      </c>
      <c r="K4" s="4" t="s">
        <v>213</v>
      </c>
      <c r="L4" s="4" t="s">
        <v>214</v>
      </c>
      <c r="M4" s="83"/>
      <c r="N4" s="83"/>
      <c r="O4" s="90"/>
    </row>
    <row r="5" spans="1:15" ht="16">
      <c r="A5" s="91" t="s">
        <v>57</v>
      </c>
      <c r="B5" s="91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5">
      <c r="A6" s="21" t="s">
        <v>12</v>
      </c>
      <c r="B6" s="11" t="s">
        <v>304</v>
      </c>
      <c r="C6" s="11" t="s">
        <v>305</v>
      </c>
      <c r="D6" s="11" t="s">
        <v>306</v>
      </c>
      <c r="E6" s="12" t="s">
        <v>322</v>
      </c>
      <c r="F6" s="11" t="s">
        <v>124</v>
      </c>
      <c r="G6" s="20" t="s">
        <v>206</v>
      </c>
      <c r="H6" s="35" t="s">
        <v>307</v>
      </c>
      <c r="I6" s="20" t="s">
        <v>307</v>
      </c>
      <c r="J6" s="21"/>
      <c r="K6" s="21" t="s">
        <v>56</v>
      </c>
      <c r="L6" s="21" t="s">
        <v>308</v>
      </c>
      <c r="M6" s="13" t="str">
        <f>"337,0"</f>
        <v>337,0</v>
      </c>
      <c r="N6" s="13" t="str">
        <f>"14133,9318"</f>
        <v>14133,9318</v>
      </c>
      <c r="O6" s="11"/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9"/>
  <sheetViews>
    <sheetView tabSelected="1" workbookViewId="0">
      <selection sqref="A1:M2"/>
    </sheetView>
  </sheetViews>
  <sheetFormatPr baseColWidth="10" defaultColWidth="9.1640625" defaultRowHeight="13"/>
  <cols>
    <col min="1" max="1" width="6.6640625" style="5" bestFit="1" customWidth="1"/>
    <col min="2" max="2" width="16.5" style="5" bestFit="1" customWidth="1"/>
    <col min="3" max="3" width="28.1640625" style="5" bestFit="1" customWidth="1"/>
    <col min="4" max="4" width="20" style="5" bestFit="1" customWidth="1"/>
    <col min="5" max="5" width="9.6640625" style="6" bestFit="1" customWidth="1"/>
    <col min="6" max="6" width="23" style="5" bestFit="1" customWidth="1"/>
    <col min="7" max="9" width="5.33203125" style="10" customWidth="1"/>
    <col min="10" max="10" width="4.33203125" style="10" customWidth="1"/>
    <col min="11" max="11" width="10.5" style="30" bestFit="1" customWidth="1"/>
    <col min="12" max="12" width="8.33203125" style="7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70" t="s">
        <v>309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s="2" customFormat="1" ht="62" customHeight="1" thickBot="1">
      <c r="A2" s="7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13" s="1" customFormat="1" ht="12.75" customHeight="1">
      <c r="A3" s="78" t="s">
        <v>315</v>
      </c>
      <c r="B3" s="93" t="s">
        <v>1</v>
      </c>
      <c r="C3" s="80" t="s">
        <v>316</v>
      </c>
      <c r="D3" s="80" t="s">
        <v>2</v>
      </c>
      <c r="E3" s="82" t="s">
        <v>317</v>
      </c>
      <c r="F3" s="84" t="s">
        <v>3</v>
      </c>
      <c r="G3" s="84" t="s">
        <v>5</v>
      </c>
      <c r="H3" s="84"/>
      <c r="I3" s="84"/>
      <c r="J3" s="84"/>
      <c r="K3" s="95" t="s">
        <v>117</v>
      </c>
      <c r="L3" s="82" t="s">
        <v>8</v>
      </c>
      <c r="M3" s="89" t="s">
        <v>9</v>
      </c>
    </row>
    <row r="4" spans="1:13" s="1" customFormat="1" ht="21" customHeight="1" thickBot="1">
      <c r="A4" s="79"/>
      <c r="B4" s="94"/>
      <c r="C4" s="81"/>
      <c r="D4" s="81"/>
      <c r="E4" s="83"/>
      <c r="F4" s="81"/>
      <c r="G4" s="4">
        <v>1</v>
      </c>
      <c r="H4" s="4">
        <v>2</v>
      </c>
      <c r="I4" s="4">
        <v>3</v>
      </c>
      <c r="J4" s="4" t="s">
        <v>10</v>
      </c>
      <c r="K4" s="96"/>
      <c r="L4" s="83"/>
      <c r="M4" s="90"/>
    </row>
    <row r="5" spans="1:13" ht="16">
      <c r="A5" s="91" t="s">
        <v>57</v>
      </c>
      <c r="B5" s="91"/>
      <c r="C5" s="92"/>
      <c r="D5" s="92"/>
      <c r="E5" s="92"/>
      <c r="F5" s="92"/>
      <c r="G5" s="92"/>
      <c r="H5" s="92"/>
      <c r="I5" s="92"/>
      <c r="J5" s="92"/>
    </row>
    <row r="6" spans="1:13">
      <c r="A6" s="21" t="s">
        <v>12</v>
      </c>
      <c r="B6" s="11" t="s">
        <v>177</v>
      </c>
      <c r="C6" s="11" t="s">
        <v>178</v>
      </c>
      <c r="D6" s="11" t="s">
        <v>179</v>
      </c>
      <c r="E6" s="12" t="s">
        <v>318</v>
      </c>
      <c r="F6" s="11" t="s">
        <v>30</v>
      </c>
      <c r="G6" s="20" t="s">
        <v>212</v>
      </c>
      <c r="H6" s="20" t="s">
        <v>152</v>
      </c>
      <c r="I6" s="20" t="s">
        <v>161</v>
      </c>
      <c r="J6" s="21"/>
      <c r="K6" s="42" t="str">
        <f>"157,5"</f>
        <v>157,5</v>
      </c>
      <c r="L6" s="13" t="str">
        <f>"100,7685"</f>
        <v>100,7685</v>
      </c>
      <c r="M6" s="11"/>
    </row>
    <row r="8" spans="1:13" ht="16">
      <c r="A8" s="85" t="s">
        <v>70</v>
      </c>
      <c r="B8" s="85"/>
      <c r="C8" s="86"/>
      <c r="D8" s="86"/>
      <c r="E8" s="86"/>
      <c r="F8" s="86"/>
      <c r="G8" s="86"/>
      <c r="H8" s="86"/>
      <c r="I8" s="86"/>
      <c r="J8" s="86"/>
    </row>
    <row r="9" spans="1:13">
      <c r="A9" s="21" t="s">
        <v>12</v>
      </c>
      <c r="B9" s="11" t="s">
        <v>310</v>
      </c>
      <c r="C9" s="11" t="s">
        <v>311</v>
      </c>
      <c r="D9" s="11" t="s">
        <v>312</v>
      </c>
      <c r="E9" s="12" t="s">
        <v>320</v>
      </c>
      <c r="F9" s="11" t="s">
        <v>16</v>
      </c>
      <c r="G9" s="20" t="s">
        <v>77</v>
      </c>
      <c r="H9" s="20" t="s">
        <v>78</v>
      </c>
      <c r="I9" s="35" t="s">
        <v>212</v>
      </c>
      <c r="J9" s="21"/>
      <c r="K9" s="42" t="str">
        <f>"135,0"</f>
        <v>135,0</v>
      </c>
      <c r="L9" s="13" t="str">
        <f>"82,1610"</f>
        <v>82,1610</v>
      </c>
      <c r="M9" s="11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64195-BC7A-3944-B420-CC9945B7035E}">
  <dimension ref="A1:U9"/>
  <sheetViews>
    <sheetView workbookViewId="0">
      <selection activeCell="E10" sqref="E10"/>
    </sheetView>
  </sheetViews>
  <sheetFormatPr baseColWidth="10" defaultColWidth="9.1640625" defaultRowHeight="13"/>
  <cols>
    <col min="1" max="1" width="6.6640625" style="5" bestFit="1" customWidth="1"/>
    <col min="2" max="2" width="19" style="5" bestFit="1" customWidth="1"/>
    <col min="3" max="3" width="27.1640625" style="5" bestFit="1" customWidth="1"/>
    <col min="4" max="4" width="20" style="5" bestFit="1" customWidth="1"/>
    <col min="5" max="5" width="9.6640625" style="6" bestFit="1" customWidth="1"/>
    <col min="6" max="6" width="28.5" style="5" bestFit="1" customWidth="1"/>
    <col min="7" max="9" width="5.33203125" style="10" customWidth="1"/>
    <col min="10" max="10" width="4.33203125" style="10" customWidth="1"/>
    <col min="11" max="13" width="5.33203125" style="10" customWidth="1"/>
    <col min="14" max="14" width="4.33203125" style="10" customWidth="1"/>
    <col min="15" max="17" width="5.33203125" style="10" customWidth="1"/>
    <col min="18" max="18" width="4.33203125" style="10" customWidth="1"/>
    <col min="19" max="19" width="7.1640625" style="30" bestFit="1" customWidth="1"/>
    <col min="20" max="20" width="8.6640625" style="29" bestFit="1" customWidth="1"/>
    <col min="21" max="21" width="23.1640625" style="5" customWidth="1"/>
    <col min="22" max="16384" width="9.1640625" style="3"/>
  </cols>
  <sheetData>
    <row r="1" spans="1:21" s="2" customFormat="1" ht="29" customHeight="1">
      <c r="A1" s="70" t="s">
        <v>91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3"/>
    </row>
    <row r="2" spans="1:21" s="2" customFormat="1" ht="62" customHeight="1" thickBot="1">
      <c r="A2" s="7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1:21" s="1" customFormat="1" ht="12.75" customHeight="1">
      <c r="A3" s="78" t="s">
        <v>315</v>
      </c>
      <c r="B3" s="93" t="s">
        <v>1</v>
      </c>
      <c r="C3" s="80" t="s">
        <v>316</v>
      </c>
      <c r="D3" s="80" t="s">
        <v>2</v>
      </c>
      <c r="E3" s="82" t="s">
        <v>317</v>
      </c>
      <c r="F3" s="84" t="s">
        <v>3</v>
      </c>
      <c r="G3" s="84" t="s">
        <v>4</v>
      </c>
      <c r="H3" s="84"/>
      <c r="I3" s="84"/>
      <c r="J3" s="84"/>
      <c r="K3" s="84" t="s">
        <v>5</v>
      </c>
      <c r="L3" s="84"/>
      <c r="M3" s="84"/>
      <c r="N3" s="84"/>
      <c r="O3" s="84" t="s">
        <v>6</v>
      </c>
      <c r="P3" s="84"/>
      <c r="Q3" s="84"/>
      <c r="R3" s="84"/>
      <c r="S3" s="95" t="s">
        <v>7</v>
      </c>
      <c r="T3" s="97" t="s">
        <v>8</v>
      </c>
      <c r="U3" s="89" t="s">
        <v>9</v>
      </c>
    </row>
    <row r="4" spans="1:21" s="1" customFormat="1" ht="21" customHeight="1" thickBot="1">
      <c r="A4" s="79"/>
      <c r="B4" s="94"/>
      <c r="C4" s="81"/>
      <c r="D4" s="81"/>
      <c r="E4" s="83"/>
      <c r="F4" s="81"/>
      <c r="G4" s="4">
        <v>1</v>
      </c>
      <c r="H4" s="4">
        <v>2</v>
      </c>
      <c r="I4" s="4">
        <v>3</v>
      </c>
      <c r="J4" s="4" t="s">
        <v>10</v>
      </c>
      <c r="K4" s="4">
        <v>1</v>
      </c>
      <c r="L4" s="4">
        <v>2</v>
      </c>
      <c r="M4" s="4">
        <v>3</v>
      </c>
      <c r="N4" s="4" t="s">
        <v>10</v>
      </c>
      <c r="O4" s="4">
        <v>1</v>
      </c>
      <c r="P4" s="4">
        <v>2</v>
      </c>
      <c r="Q4" s="4">
        <v>3</v>
      </c>
      <c r="R4" s="4" t="s">
        <v>10</v>
      </c>
      <c r="S4" s="96"/>
      <c r="T4" s="98"/>
      <c r="U4" s="90"/>
    </row>
    <row r="5" spans="1:21" ht="16">
      <c r="A5" s="85" t="s">
        <v>57</v>
      </c>
      <c r="B5" s="85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1:21">
      <c r="A6" s="53" t="s">
        <v>12</v>
      </c>
      <c r="B6" s="54" t="s">
        <v>92</v>
      </c>
      <c r="C6" s="54" t="s">
        <v>93</v>
      </c>
      <c r="D6" s="54" t="s">
        <v>94</v>
      </c>
      <c r="E6" s="55" t="s">
        <v>318</v>
      </c>
      <c r="F6" s="54" t="s">
        <v>16</v>
      </c>
      <c r="G6" s="57" t="s">
        <v>95</v>
      </c>
      <c r="H6" s="57" t="s">
        <v>96</v>
      </c>
      <c r="I6" s="56" t="s">
        <v>75</v>
      </c>
      <c r="J6" s="58"/>
      <c r="K6" s="56" t="s">
        <v>25</v>
      </c>
      <c r="L6" s="57" t="s">
        <v>37</v>
      </c>
      <c r="M6" s="57" t="s">
        <v>76</v>
      </c>
      <c r="N6" s="58"/>
      <c r="O6" s="57" t="s">
        <v>87</v>
      </c>
      <c r="P6" s="57" t="s">
        <v>79</v>
      </c>
      <c r="Q6" s="56" t="s">
        <v>89</v>
      </c>
      <c r="R6" s="58"/>
      <c r="S6" s="59" t="str">
        <f>"510,0"</f>
        <v>510,0</v>
      </c>
      <c r="T6" s="62" t="str">
        <f>"325,5840"</f>
        <v>325,5840</v>
      </c>
      <c r="U6" s="63"/>
    </row>
    <row r="8" spans="1:21" ht="16">
      <c r="A8" s="85" t="s">
        <v>70</v>
      </c>
      <c r="B8" s="85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</row>
    <row r="9" spans="1:21">
      <c r="A9" s="21" t="s">
        <v>12</v>
      </c>
      <c r="B9" s="11" t="s">
        <v>97</v>
      </c>
      <c r="C9" s="11" t="s">
        <v>98</v>
      </c>
      <c r="D9" s="11" t="s">
        <v>99</v>
      </c>
      <c r="E9" s="12" t="s">
        <v>320</v>
      </c>
      <c r="F9" s="11" t="s">
        <v>16</v>
      </c>
      <c r="G9" s="20" t="s">
        <v>100</v>
      </c>
      <c r="H9" s="20" t="s">
        <v>79</v>
      </c>
      <c r="I9" s="20" t="s">
        <v>101</v>
      </c>
      <c r="J9" s="21"/>
      <c r="K9" s="20" t="s">
        <v>65</v>
      </c>
      <c r="L9" s="20" t="s">
        <v>95</v>
      </c>
      <c r="M9" s="20" t="s">
        <v>102</v>
      </c>
      <c r="N9" s="21"/>
      <c r="O9" s="20" t="s">
        <v>100</v>
      </c>
      <c r="P9" s="20" t="s">
        <v>89</v>
      </c>
      <c r="Q9" s="20" t="s">
        <v>103</v>
      </c>
      <c r="R9" s="21"/>
      <c r="S9" s="42" t="str">
        <f>"615,0"</f>
        <v>615,0</v>
      </c>
      <c r="T9" s="44" t="str">
        <f>"384,0191"</f>
        <v>384,0191</v>
      </c>
      <c r="U9" s="11"/>
    </row>
  </sheetData>
  <mergeCells count="15">
    <mergeCell ref="A5:R5"/>
    <mergeCell ref="A8:R8"/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9"/>
  <sheetViews>
    <sheetView workbookViewId="0">
      <selection activeCell="E10" sqref="E10"/>
    </sheetView>
  </sheetViews>
  <sheetFormatPr baseColWidth="10" defaultColWidth="9.1640625" defaultRowHeight="13"/>
  <cols>
    <col min="1" max="1" width="6.6640625" style="5" bestFit="1" customWidth="1"/>
    <col min="2" max="2" width="20.1640625" style="5" customWidth="1"/>
    <col min="3" max="3" width="24.5" style="5" bestFit="1" customWidth="1"/>
    <col min="4" max="4" width="20" style="5" bestFit="1" customWidth="1"/>
    <col min="5" max="5" width="9.6640625" style="6" bestFit="1" customWidth="1"/>
    <col min="6" max="6" width="24.6640625" style="5" customWidth="1"/>
    <col min="7" max="9" width="5.5" style="10" customWidth="1"/>
    <col min="10" max="10" width="4.33203125" style="10" customWidth="1"/>
    <col min="11" max="13" width="5.5" style="10" customWidth="1"/>
    <col min="14" max="14" width="5.83203125" style="10" bestFit="1" customWidth="1"/>
    <col min="15" max="15" width="7.1640625" style="66" bestFit="1" customWidth="1"/>
    <col min="16" max="16" width="8.33203125" style="7" bestFit="1" customWidth="1"/>
    <col min="17" max="17" width="19" style="5" customWidth="1"/>
    <col min="18" max="16384" width="9.1640625" style="3"/>
  </cols>
  <sheetData>
    <row r="1" spans="1:17" s="2" customFormat="1" ht="29" customHeight="1">
      <c r="A1" s="70" t="s">
        <v>104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3"/>
    </row>
    <row r="2" spans="1:17" s="2" customFormat="1" ht="62" customHeight="1" thickBot="1">
      <c r="A2" s="7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7"/>
    </row>
    <row r="3" spans="1:17" s="1" customFormat="1" ht="12.75" customHeight="1">
      <c r="A3" s="78" t="s">
        <v>315</v>
      </c>
      <c r="B3" s="93" t="s">
        <v>1</v>
      </c>
      <c r="C3" s="80" t="s">
        <v>316</v>
      </c>
      <c r="D3" s="80" t="s">
        <v>2</v>
      </c>
      <c r="E3" s="82" t="s">
        <v>317</v>
      </c>
      <c r="F3" s="84" t="s">
        <v>3</v>
      </c>
      <c r="G3" s="84" t="s">
        <v>5</v>
      </c>
      <c r="H3" s="84"/>
      <c r="I3" s="84"/>
      <c r="J3" s="84"/>
      <c r="K3" s="84" t="s">
        <v>6</v>
      </c>
      <c r="L3" s="84"/>
      <c r="M3" s="84"/>
      <c r="N3" s="84"/>
      <c r="O3" s="87" t="s">
        <v>7</v>
      </c>
      <c r="P3" s="82" t="s">
        <v>8</v>
      </c>
      <c r="Q3" s="89" t="s">
        <v>9</v>
      </c>
    </row>
    <row r="4" spans="1:17" s="1" customFormat="1" ht="21" customHeight="1" thickBot="1">
      <c r="A4" s="79"/>
      <c r="B4" s="94"/>
      <c r="C4" s="81"/>
      <c r="D4" s="81"/>
      <c r="E4" s="83"/>
      <c r="F4" s="81"/>
      <c r="G4" s="4">
        <v>1</v>
      </c>
      <c r="H4" s="4">
        <v>2</v>
      </c>
      <c r="I4" s="4">
        <v>3</v>
      </c>
      <c r="J4" s="4" t="s">
        <v>10</v>
      </c>
      <c r="K4" s="4">
        <v>1</v>
      </c>
      <c r="L4" s="4">
        <v>2</v>
      </c>
      <c r="M4" s="4">
        <v>3</v>
      </c>
      <c r="N4" s="4" t="s">
        <v>10</v>
      </c>
      <c r="O4" s="88"/>
      <c r="P4" s="83"/>
      <c r="Q4" s="90"/>
    </row>
    <row r="5" spans="1:17" ht="16">
      <c r="A5" s="91" t="s">
        <v>38</v>
      </c>
      <c r="B5" s="91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17">
      <c r="A6" s="21" t="s">
        <v>12</v>
      </c>
      <c r="B6" s="11" t="s">
        <v>105</v>
      </c>
      <c r="C6" s="11" t="s">
        <v>106</v>
      </c>
      <c r="D6" s="11" t="s">
        <v>107</v>
      </c>
      <c r="E6" s="12" t="s">
        <v>318</v>
      </c>
      <c r="F6" s="11" t="s">
        <v>16</v>
      </c>
      <c r="G6" s="20" t="s">
        <v>108</v>
      </c>
      <c r="H6" s="20" t="s">
        <v>35</v>
      </c>
      <c r="I6" s="35" t="s">
        <v>20</v>
      </c>
      <c r="J6" s="21"/>
      <c r="K6" s="20" t="s">
        <v>18</v>
      </c>
      <c r="L6" s="20" t="s">
        <v>56</v>
      </c>
      <c r="M6" s="35" t="s">
        <v>23</v>
      </c>
      <c r="N6" s="21"/>
      <c r="O6" s="69" t="str">
        <f>"132,5"</f>
        <v>132,5</v>
      </c>
      <c r="P6" s="13" t="str">
        <f>"149,2745"</f>
        <v>149,2745</v>
      </c>
      <c r="Q6" s="11"/>
    </row>
    <row r="8" spans="1:17" ht="16">
      <c r="A8" s="85" t="s">
        <v>57</v>
      </c>
      <c r="B8" s="85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1:17">
      <c r="A9" s="21" t="s">
        <v>12</v>
      </c>
      <c r="B9" s="11" t="s">
        <v>58</v>
      </c>
      <c r="C9" s="11" t="s">
        <v>59</v>
      </c>
      <c r="D9" s="11" t="s">
        <v>60</v>
      </c>
      <c r="E9" s="12" t="s">
        <v>320</v>
      </c>
      <c r="F9" s="11" t="s">
        <v>16</v>
      </c>
      <c r="G9" s="20" t="s">
        <v>64</v>
      </c>
      <c r="H9" s="35" t="s">
        <v>65</v>
      </c>
      <c r="I9" s="20" t="s">
        <v>65</v>
      </c>
      <c r="J9" s="21"/>
      <c r="K9" s="20" t="s">
        <v>66</v>
      </c>
      <c r="L9" s="20" t="s">
        <v>67</v>
      </c>
      <c r="M9" s="20" t="s">
        <v>68</v>
      </c>
      <c r="N9" s="64"/>
      <c r="O9" s="42">
        <v>420.5</v>
      </c>
      <c r="P9" s="44" t="e">
        <f>O9*E9</f>
        <v>#VALUE!</v>
      </c>
      <c r="Q9" s="11" t="s">
        <v>69</v>
      </c>
    </row>
  </sheetData>
  <mergeCells count="14">
    <mergeCell ref="A8:N8"/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9"/>
  <sheetViews>
    <sheetView workbookViewId="0">
      <selection activeCell="E10" sqref="E10"/>
    </sheetView>
  </sheetViews>
  <sheetFormatPr baseColWidth="10" defaultColWidth="9.1640625" defaultRowHeight="13"/>
  <cols>
    <col min="1" max="1" width="6.6640625" style="5" bestFit="1" customWidth="1"/>
    <col min="2" max="2" width="19" style="5" bestFit="1" customWidth="1"/>
    <col min="3" max="3" width="27.1640625" style="5" bestFit="1" customWidth="1"/>
    <col min="4" max="4" width="20" style="5" bestFit="1" customWidth="1"/>
    <col min="5" max="5" width="9.6640625" style="6" bestFit="1" customWidth="1"/>
    <col min="6" max="6" width="28.5" style="5" bestFit="1" customWidth="1"/>
    <col min="7" max="9" width="5.5" style="10" customWidth="1"/>
    <col min="10" max="10" width="4.33203125" style="10" customWidth="1"/>
    <col min="11" max="13" width="5.33203125" style="10" customWidth="1"/>
    <col min="14" max="14" width="4.33203125" style="10" customWidth="1"/>
    <col min="15" max="15" width="7.1640625" style="7" bestFit="1" customWidth="1"/>
    <col min="16" max="16" width="8.6640625" style="7" bestFit="1" customWidth="1"/>
    <col min="17" max="17" width="25.1640625" style="5" customWidth="1"/>
    <col min="18" max="16384" width="9.1640625" style="3"/>
  </cols>
  <sheetData>
    <row r="1" spans="1:17" s="2" customFormat="1" ht="29" customHeight="1">
      <c r="A1" s="70" t="s">
        <v>109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3"/>
    </row>
    <row r="2" spans="1:17" s="2" customFormat="1" ht="62" customHeight="1" thickBot="1">
      <c r="A2" s="7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7"/>
    </row>
    <row r="3" spans="1:17" s="1" customFormat="1" ht="12.75" customHeight="1">
      <c r="A3" s="78" t="s">
        <v>315</v>
      </c>
      <c r="B3" s="93" t="s">
        <v>1</v>
      </c>
      <c r="C3" s="80" t="s">
        <v>316</v>
      </c>
      <c r="D3" s="80" t="s">
        <v>2</v>
      </c>
      <c r="E3" s="82" t="s">
        <v>317</v>
      </c>
      <c r="F3" s="84" t="s">
        <v>3</v>
      </c>
      <c r="G3" s="84" t="s">
        <v>5</v>
      </c>
      <c r="H3" s="84"/>
      <c r="I3" s="84"/>
      <c r="J3" s="84"/>
      <c r="K3" s="84" t="s">
        <v>6</v>
      </c>
      <c r="L3" s="84"/>
      <c r="M3" s="84"/>
      <c r="N3" s="84"/>
      <c r="O3" s="82" t="s">
        <v>7</v>
      </c>
      <c r="P3" s="82" t="s">
        <v>8</v>
      </c>
      <c r="Q3" s="89" t="s">
        <v>9</v>
      </c>
    </row>
    <row r="4" spans="1:17" s="1" customFormat="1" ht="21" customHeight="1" thickBot="1">
      <c r="A4" s="79"/>
      <c r="B4" s="94"/>
      <c r="C4" s="81"/>
      <c r="D4" s="81"/>
      <c r="E4" s="83"/>
      <c r="F4" s="81"/>
      <c r="G4" s="4">
        <v>1</v>
      </c>
      <c r="H4" s="4">
        <v>2</v>
      </c>
      <c r="I4" s="4">
        <v>3</v>
      </c>
      <c r="J4" s="4" t="s">
        <v>10</v>
      </c>
      <c r="K4" s="4">
        <v>1</v>
      </c>
      <c r="L4" s="4">
        <v>2</v>
      </c>
      <c r="M4" s="4">
        <v>3</v>
      </c>
      <c r="N4" s="4" t="s">
        <v>10</v>
      </c>
      <c r="O4" s="83"/>
      <c r="P4" s="83"/>
      <c r="Q4" s="90"/>
    </row>
    <row r="5" spans="1:17" ht="16">
      <c r="A5" s="91" t="s">
        <v>38</v>
      </c>
      <c r="B5" s="91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17">
      <c r="A6" s="21" t="s">
        <v>12</v>
      </c>
      <c r="B6" s="11" t="s">
        <v>110</v>
      </c>
      <c r="C6" s="11" t="s">
        <v>111</v>
      </c>
      <c r="D6" s="11" t="s">
        <v>112</v>
      </c>
      <c r="E6" s="12" t="s">
        <v>318</v>
      </c>
      <c r="F6" s="11" t="s">
        <v>84</v>
      </c>
      <c r="G6" s="20" t="s">
        <v>34</v>
      </c>
      <c r="H6" s="20" t="s">
        <v>108</v>
      </c>
      <c r="I6" s="35" t="s">
        <v>35</v>
      </c>
      <c r="J6" s="21"/>
      <c r="K6" s="20" t="s">
        <v>23</v>
      </c>
      <c r="L6" s="20" t="s">
        <v>36</v>
      </c>
      <c r="M6" s="20" t="s">
        <v>88</v>
      </c>
      <c r="N6" s="21"/>
      <c r="O6" s="13" t="str">
        <f>"145,0"</f>
        <v>145,0</v>
      </c>
      <c r="P6" s="13" t="str">
        <f>"163,9950"</f>
        <v>163,9950</v>
      </c>
      <c r="Q6" s="11"/>
    </row>
    <row r="8" spans="1:17" ht="16">
      <c r="A8" s="85" t="s">
        <v>51</v>
      </c>
      <c r="B8" s="85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1:17">
      <c r="A9" s="21" t="s">
        <v>12</v>
      </c>
      <c r="B9" s="11" t="s">
        <v>113</v>
      </c>
      <c r="C9" s="11" t="s">
        <v>114</v>
      </c>
      <c r="D9" s="11" t="s">
        <v>115</v>
      </c>
      <c r="E9" s="12" t="s">
        <v>318</v>
      </c>
      <c r="F9" s="11" t="s">
        <v>84</v>
      </c>
      <c r="G9" s="20" t="s">
        <v>31</v>
      </c>
      <c r="H9" s="20" t="s">
        <v>32</v>
      </c>
      <c r="I9" s="35" t="s">
        <v>33</v>
      </c>
      <c r="J9" s="21"/>
      <c r="K9" s="20" t="s">
        <v>36</v>
      </c>
      <c r="L9" s="20" t="s">
        <v>25</v>
      </c>
      <c r="M9" s="20" t="s">
        <v>76</v>
      </c>
      <c r="N9" s="21"/>
      <c r="O9" s="13" t="str">
        <f>"185,0"</f>
        <v>185,0</v>
      </c>
      <c r="P9" s="13" t="str">
        <f>"171,8650"</f>
        <v>171,8650</v>
      </c>
      <c r="Q9" s="11"/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8"/>
  <sheetViews>
    <sheetView workbookViewId="0">
      <selection activeCell="B19" sqref="B19"/>
    </sheetView>
  </sheetViews>
  <sheetFormatPr baseColWidth="10" defaultColWidth="9.1640625" defaultRowHeight="13"/>
  <cols>
    <col min="1" max="1" width="6.6640625" style="5" bestFit="1" customWidth="1"/>
    <col min="2" max="2" width="19.33203125" style="5" bestFit="1" customWidth="1"/>
    <col min="3" max="3" width="25.83203125" style="5" bestFit="1" customWidth="1"/>
    <col min="4" max="4" width="20" style="5" bestFit="1" customWidth="1"/>
    <col min="5" max="5" width="9.6640625" style="6" bestFit="1" customWidth="1"/>
    <col min="6" max="6" width="34.1640625" style="5" bestFit="1" customWidth="1"/>
    <col min="7" max="9" width="5.33203125" style="10" customWidth="1"/>
    <col min="10" max="10" width="4.33203125" style="10" customWidth="1"/>
    <col min="11" max="11" width="10.5" style="7" bestFit="1" customWidth="1"/>
    <col min="12" max="12" width="8.33203125" style="7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70" t="s">
        <v>116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s="2" customFormat="1" ht="62" customHeight="1" thickBot="1">
      <c r="A2" s="7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13" s="1" customFormat="1" ht="12.75" customHeight="1">
      <c r="A3" s="78" t="s">
        <v>315</v>
      </c>
      <c r="B3" s="93" t="s">
        <v>1</v>
      </c>
      <c r="C3" s="80" t="s">
        <v>316</v>
      </c>
      <c r="D3" s="80" t="s">
        <v>2</v>
      </c>
      <c r="E3" s="82" t="s">
        <v>317</v>
      </c>
      <c r="F3" s="84" t="s">
        <v>3</v>
      </c>
      <c r="G3" s="84" t="s">
        <v>5</v>
      </c>
      <c r="H3" s="84"/>
      <c r="I3" s="84"/>
      <c r="J3" s="84"/>
      <c r="K3" s="82" t="s">
        <v>117</v>
      </c>
      <c r="L3" s="82" t="s">
        <v>8</v>
      </c>
      <c r="M3" s="89" t="s">
        <v>9</v>
      </c>
    </row>
    <row r="4" spans="1:13" s="1" customFormat="1" ht="21" customHeight="1" thickBot="1">
      <c r="A4" s="79"/>
      <c r="B4" s="94"/>
      <c r="C4" s="81"/>
      <c r="D4" s="81"/>
      <c r="E4" s="83"/>
      <c r="F4" s="81"/>
      <c r="G4" s="4">
        <v>1</v>
      </c>
      <c r="H4" s="4">
        <v>2</v>
      </c>
      <c r="I4" s="4">
        <v>3</v>
      </c>
      <c r="J4" s="4" t="s">
        <v>10</v>
      </c>
      <c r="K4" s="83"/>
      <c r="L4" s="83"/>
      <c r="M4" s="90"/>
    </row>
    <row r="5" spans="1:13" ht="16">
      <c r="A5" s="91" t="s">
        <v>11</v>
      </c>
      <c r="B5" s="91"/>
      <c r="C5" s="92"/>
      <c r="D5" s="92"/>
      <c r="E5" s="92"/>
      <c r="F5" s="92"/>
      <c r="G5" s="92"/>
      <c r="H5" s="92"/>
      <c r="I5" s="92"/>
      <c r="J5" s="92"/>
    </row>
    <row r="6" spans="1:13">
      <c r="A6" s="21" t="s">
        <v>12</v>
      </c>
      <c r="B6" s="11" t="s">
        <v>118</v>
      </c>
      <c r="C6" s="11" t="s">
        <v>119</v>
      </c>
      <c r="D6" s="11" t="s">
        <v>120</v>
      </c>
      <c r="E6" s="12" t="s">
        <v>318</v>
      </c>
      <c r="F6" s="11" t="s">
        <v>30</v>
      </c>
      <c r="G6" s="20" t="s">
        <v>21</v>
      </c>
      <c r="H6" s="35" t="s">
        <v>22</v>
      </c>
      <c r="I6" s="35" t="s">
        <v>22</v>
      </c>
      <c r="J6" s="21"/>
      <c r="K6" s="13" t="str">
        <f>"50,0"</f>
        <v>50,0</v>
      </c>
      <c r="L6" s="13" t="str">
        <f>"58,9950"</f>
        <v>58,9950</v>
      </c>
      <c r="M6" s="11"/>
    </row>
    <row r="8" spans="1:13" ht="16">
      <c r="A8" s="85" t="s">
        <v>11</v>
      </c>
      <c r="B8" s="85"/>
      <c r="C8" s="86"/>
      <c r="D8" s="86"/>
      <c r="E8" s="86"/>
      <c r="F8" s="86"/>
      <c r="G8" s="86"/>
      <c r="H8" s="86"/>
      <c r="I8" s="86"/>
      <c r="J8" s="86"/>
    </row>
    <row r="9" spans="1:13">
      <c r="A9" s="21" t="s">
        <v>12</v>
      </c>
      <c r="B9" s="11" t="s">
        <v>121</v>
      </c>
      <c r="C9" s="11" t="s">
        <v>122</v>
      </c>
      <c r="D9" s="11" t="s">
        <v>123</v>
      </c>
      <c r="E9" s="12" t="s">
        <v>319</v>
      </c>
      <c r="F9" s="11" t="s">
        <v>124</v>
      </c>
      <c r="G9" s="20" t="s">
        <v>43</v>
      </c>
      <c r="H9" s="20" t="s">
        <v>22</v>
      </c>
      <c r="I9" s="20" t="s">
        <v>125</v>
      </c>
      <c r="J9" s="21"/>
      <c r="K9" s="13" t="str">
        <f>"57,5"</f>
        <v>57,5</v>
      </c>
      <c r="L9" s="13" t="str">
        <f>"53,9695"</f>
        <v>53,9695</v>
      </c>
      <c r="M9" s="11"/>
    </row>
    <row r="11" spans="1:13" ht="16">
      <c r="A11" s="85" t="s">
        <v>126</v>
      </c>
      <c r="B11" s="85"/>
      <c r="C11" s="86"/>
      <c r="D11" s="86"/>
      <c r="E11" s="86"/>
      <c r="F11" s="86"/>
      <c r="G11" s="86"/>
      <c r="H11" s="86"/>
      <c r="I11" s="86"/>
      <c r="J11" s="86"/>
    </row>
    <row r="12" spans="1:13">
      <c r="A12" s="21" t="s">
        <v>12</v>
      </c>
      <c r="B12" s="11" t="s">
        <v>127</v>
      </c>
      <c r="C12" s="11" t="s">
        <v>128</v>
      </c>
      <c r="D12" s="11" t="s">
        <v>129</v>
      </c>
      <c r="E12" s="12" t="s">
        <v>318</v>
      </c>
      <c r="F12" s="11" t="s">
        <v>16</v>
      </c>
      <c r="G12" s="20" t="s">
        <v>25</v>
      </c>
      <c r="H12" s="20" t="s">
        <v>130</v>
      </c>
      <c r="I12" s="20" t="s">
        <v>76</v>
      </c>
      <c r="J12" s="21"/>
      <c r="K12" s="13" t="str">
        <f>"120,0"</f>
        <v>120,0</v>
      </c>
      <c r="L12" s="13" t="str">
        <f>"90,9360"</f>
        <v>90,9360</v>
      </c>
      <c r="M12" s="11"/>
    </row>
    <row r="14" spans="1:13" ht="16">
      <c r="A14" s="85" t="s">
        <v>51</v>
      </c>
      <c r="B14" s="85"/>
      <c r="C14" s="86"/>
      <c r="D14" s="86"/>
      <c r="E14" s="86"/>
      <c r="F14" s="86"/>
      <c r="G14" s="86"/>
      <c r="H14" s="86"/>
      <c r="I14" s="86"/>
      <c r="J14" s="86"/>
    </row>
    <row r="15" spans="1:13">
      <c r="A15" s="21" t="s">
        <v>12</v>
      </c>
      <c r="B15" s="11" t="s">
        <v>131</v>
      </c>
      <c r="C15" s="11" t="s">
        <v>132</v>
      </c>
      <c r="D15" s="11" t="s">
        <v>133</v>
      </c>
      <c r="E15" s="12" t="s">
        <v>318</v>
      </c>
      <c r="F15" s="11" t="s">
        <v>30</v>
      </c>
      <c r="G15" s="20" t="s">
        <v>134</v>
      </c>
      <c r="H15" s="35" t="s">
        <v>64</v>
      </c>
      <c r="I15" s="35" t="s">
        <v>64</v>
      </c>
      <c r="J15" s="21"/>
      <c r="K15" s="13" t="str">
        <f>"145,0"</f>
        <v>145,0</v>
      </c>
      <c r="L15" s="13" t="str">
        <f>"98,0780"</f>
        <v>98,0780</v>
      </c>
      <c r="M15" s="11"/>
    </row>
    <row r="17" spans="1:13" ht="16">
      <c r="A17" s="85" t="s">
        <v>57</v>
      </c>
      <c r="B17" s="85"/>
      <c r="C17" s="86"/>
      <c r="D17" s="86"/>
      <c r="E17" s="86"/>
      <c r="F17" s="86"/>
      <c r="G17" s="86"/>
      <c r="H17" s="86"/>
      <c r="I17" s="86"/>
      <c r="J17" s="86"/>
    </row>
    <row r="18" spans="1:13">
      <c r="A18" s="22" t="s">
        <v>12</v>
      </c>
      <c r="B18" s="14" t="s">
        <v>135</v>
      </c>
      <c r="C18" s="14" t="s">
        <v>136</v>
      </c>
      <c r="D18" s="14" t="s">
        <v>137</v>
      </c>
      <c r="E18" s="15" t="s">
        <v>318</v>
      </c>
      <c r="F18" s="14" t="s">
        <v>16</v>
      </c>
      <c r="G18" s="31" t="s">
        <v>64</v>
      </c>
      <c r="H18" s="22"/>
      <c r="I18" s="22"/>
      <c r="J18" s="22"/>
      <c r="K18" s="16" t="str">
        <f>"152,5"</f>
        <v>152,5</v>
      </c>
      <c r="L18" s="16" t="str">
        <f>"98,9267"</f>
        <v>98,9267</v>
      </c>
      <c r="M18" s="14"/>
    </row>
    <row r="19" spans="1:13">
      <c r="A19" s="41" t="s">
        <v>26</v>
      </c>
      <c r="B19" s="36" t="s">
        <v>138</v>
      </c>
      <c r="C19" s="36" t="s">
        <v>139</v>
      </c>
      <c r="D19" s="36" t="s">
        <v>140</v>
      </c>
      <c r="E19" s="37" t="s">
        <v>318</v>
      </c>
      <c r="F19" s="36" t="s">
        <v>30</v>
      </c>
      <c r="G19" s="39" t="s">
        <v>141</v>
      </c>
      <c r="H19" s="39" t="s">
        <v>142</v>
      </c>
      <c r="I19" s="40" t="s">
        <v>64</v>
      </c>
      <c r="J19" s="41"/>
      <c r="K19" s="38" t="str">
        <f>"147,5"</f>
        <v>147,5</v>
      </c>
      <c r="L19" s="38" t="str">
        <f>"94,2230"</f>
        <v>94,2230</v>
      </c>
      <c r="M19" s="36"/>
    </row>
    <row r="20" spans="1:13">
      <c r="A20" s="23" t="s">
        <v>143</v>
      </c>
      <c r="B20" s="17" t="s">
        <v>144</v>
      </c>
      <c r="C20" s="17" t="s">
        <v>145</v>
      </c>
      <c r="D20" s="17" t="s">
        <v>146</v>
      </c>
      <c r="E20" s="18" t="s">
        <v>318</v>
      </c>
      <c r="F20" s="17" t="s">
        <v>147</v>
      </c>
      <c r="G20" s="34" t="s">
        <v>76</v>
      </c>
      <c r="H20" s="34" t="s">
        <v>78</v>
      </c>
      <c r="I20" s="33" t="s">
        <v>134</v>
      </c>
      <c r="J20" s="23"/>
      <c r="K20" s="19" t="str">
        <f>"135,0"</f>
        <v>135,0</v>
      </c>
      <c r="L20" s="19" t="str">
        <f>"86,4810"</f>
        <v>86,4810</v>
      </c>
      <c r="M20" s="17"/>
    </row>
    <row r="22" spans="1:13" ht="16">
      <c r="A22" s="85" t="s">
        <v>70</v>
      </c>
      <c r="B22" s="85"/>
      <c r="C22" s="86"/>
      <c r="D22" s="86"/>
      <c r="E22" s="86"/>
      <c r="F22" s="86"/>
      <c r="G22" s="86"/>
      <c r="H22" s="86"/>
      <c r="I22" s="86"/>
      <c r="J22" s="86"/>
    </row>
    <row r="23" spans="1:13">
      <c r="A23" s="22" t="s">
        <v>12</v>
      </c>
      <c r="B23" s="14" t="s">
        <v>148</v>
      </c>
      <c r="C23" s="14" t="s">
        <v>149</v>
      </c>
      <c r="D23" s="14" t="s">
        <v>150</v>
      </c>
      <c r="E23" s="15" t="s">
        <v>318</v>
      </c>
      <c r="F23" s="14" t="s">
        <v>151</v>
      </c>
      <c r="G23" s="31" t="s">
        <v>152</v>
      </c>
      <c r="H23" s="31" t="s">
        <v>153</v>
      </c>
      <c r="I23" s="32" t="s">
        <v>102</v>
      </c>
      <c r="J23" s="22"/>
      <c r="K23" s="16" t="str">
        <f>"162,5"</f>
        <v>162,5</v>
      </c>
      <c r="L23" s="16" t="str">
        <f>"100,2950"</f>
        <v>100,2950</v>
      </c>
      <c r="M23" s="14"/>
    </row>
    <row r="24" spans="1:13">
      <c r="A24" s="23" t="s">
        <v>26</v>
      </c>
      <c r="B24" s="17" t="s">
        <v>154</v>
      </c>
      <c r="C24" s="17" t="s">
        <v>155</v>
      </c>
      <c r="D24" s="17" t="s">
        <v>156</v>
      </c>
      <c r="E24" s="18" t="s">
        <v>318</v>
      </c>
      <c r="F24" s="17" t="s">
        <v>16</v>
      </c>
      <c r="G24" s="34" t="s">
        <v>76</v>
      </c>
      <c r="H24" s="34" t="s">
        <v>157</v>
      </c>
      <c r="I24" s="34" t="s">
        <v>77</v>
      </c>
      <c r="J24" s="23"/>
      <c r="K24" s="19" t="str">
        <f>"130,0"</f>
        <v>130,0</v>
      </c>
      <c r="L24" s="19" t="str">
        <f>"81,0550"</f>
        <v>81,0550</v>
      </c>
      <c r="M24" s="17"/>
    </row>
    <row r="26" spans="1:13" ht="16">
      <c r="A26" s="85" t="s">
        <v>80</v>
      </c>
      <c r="B26" s="85"/>
      <c r="C26" s="86"/>
      <c r="D26" s="86"/>
      <c r="E26" s="86"/>
      <c r="F26" s="86"/>
      <c r="G26" s="86"/>
      <c r="H26" s="86"/>
      <c r="I26" s="86"/>
      <c r="J26" s="86"/>
    </row>
    <row r="27" spans="1:13">
      <c r="A27" s="21" t="s">
        <v>12</v>
      </c>
      <c r="B27" s="11" t="s">
        <v>158</v>
      </c>
      <c r="C27" s="11" t="s">
        <v>159</v>
      </c>
      <c r="D27" s="11" t="s">
        <v>160</v>
      </c>
      <c r="E27" s="12" t="s">
        <v>318</v>
      </c>
      <c r="F27" s="11" t="s">
        <v>30</v>
      </c>
      <c r="G27" s="20" t="s">
        <v>152</v>
      </c>
      <c r="H27" s="20" t="s">
        <v>161</v>
      </c>
      <c r="I27" s="20" t="s">
        <v>153</v>
      </c>
      <c r="J27" s="21"/>
      <c r="K27" s="13" t="str">
        <f>"162,5"</f>
        <v>162,5</v>
      </c>
      <c r="L27" s="13" t="str">
        <f>"96,8175"</f>
        <v>96,8175</v>
      </c>
      <c r="M27" s="11"/>
    </row>
    <row r="29" spans="1:13" ht="16">
      <c r="F29" s="8"/>
      <c r="G29" s="5"/>
      <c r="K29" s="10"/>
      <c r="M29" s="7"/>
    </row>
    <row r="30" spans="1:13">
      <c r="G30" s="5"/>
      <c r="K30" s="10"/>
      <c r="M30" s="7"/>
    </row>
    <row r="31" spans="1:13" ht="18">
      <c r="B31" s="9" t="s">
        <v>162</v>
      </c>
      <c r="C31" s="9"/>
      <c r="G31" s="3"/>
      <c r="K31" s="10"/>
      <c r="M31" s="7"/>
    </row>
    <row r="32" spans="1:13" ht="16">
      <c r="B32" s="24" t="s">
        <v>163</v>
      </c>
      <c r="C32" s="24"/>
      <c r="G32" s="3"/>
      <c r="K32" s="10"/>
      <c r="M32" s="7"/>
    </row>
    <row r="33" spans="2:13" ht="14">
      <c r="B33" s="25"/>
      <c r="C33" s="26" t="s">
        <v>164</v>
      </c>
      <c r="G33" s="3"/>
      <c r="K33" s="10"/>
      <c r="M33" s="7"/>
    </row>
    <row r="34" spans="2:13" ht="14">
      <c r="B34" s="27" t="s">
        <v>165</v>
      </c>
      <c r="C34" s="27" t="s">
        <v>166</v>
      </c>
      <c r="D34" s="27" t="s">
        <v>167</v>
      </c>
      <c r="E34" s="28" t="s">
        <v>168</v>
      </c>
      <c r="F34" s="27" t="s">
        <v>169</v>
      </c>
      <c r="G34" s="3"/>
      <c r="K34" s="10"/>
      <c r="M34" s="7"/>
    </row>
    <row r="35" spans="2:13">
      <c r="B35" s="5" t="s">
        <v>148</v>
      </c>
      <c r="C35" s="5" t="s">
        <v>164</v>
      </c>
      <c r="D35" s="10" t="s">
        <v>170</v>
      </c>
      <c r="E35" s="30">
        <v>162.5</v>
      </c>
      <c r="F35" s="29">
        <v>100.295002758503</v>
      </c>
      <c r="G35" s="3"/>
      <c r="K35" s="10"/>
      <c r="M35" s="7"/>
    </row>
    <row r="36" spans="2:13">
      <c r="B36" s="5" t="s">
        <v>135</v>
      </c>
      <c r="C36" s="5" t="s">
        <v>164</v>
      </c>
      <c r="D36" s="10" t="s">
        <v>171</v>
      </c>
      <c r="E36" s="30">
        <v>152.5</v>
      </c>
      <c r="F36" s="29">
        <v>98.9267498254776</v>
      </c>
      <c r="G36" s="3"/>
      <c r="K36" s="10"/>
      <c r="M36" s="7"/>
    </row>
    <row r="37" spans="2:13">
      <c r="B37" s="5" t="s">
        <v>131</v>
      </c>
      <c r="C37" s="5" t="s">
        <v>164</v>
      </c>
      <c r="D37" s="10" t="s">
        <v>172</v>
      </c>
      <c r="E37" s="30">
        <v>145</v>
      </c>
      <c r="F37" s="29">
        <v>98.078000843524904</v>
      </c>
      <c r="G37" s="3"/>
      <c r="K37" s="10"/>
      <c r="M37" s="7"/>
    </row>
    <row r="38" spans="2:13">
      <c r="E38" s="5"/>
      <c r="F38" s="6"/>
      <c r="G38" s="5"/>
      <c r="K38" s="10"/>
      <c r="M38" s="7"/>
    </row>
  </sheetData>
  <mergeCells count="18">
    <mergeCell ref="A26:J26"/>
    <mergeCell ref="K3:K4"/>
    <mergeCell ref="L3:L4"/>
    <mergeCell ref="M3:M4"/>
    <mergeCell ref="A5:J5"/>
    <mergeCell ref="B3:B4"/>
    <mergeCell ref="A8:J8"/>
    <mergeCell ref="A11:J11"/>
    <mergeCell ref="A14:J14"/>
    <mergeCell ref="A17:J17"/>
    <mergeCell ref="A22:J22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2"/>
  <sheetViews>
    <sheetView workbookViewId="0">
      <selection activeCell="E23" sqref="E23"/>
    </sheetView>
  </sheetViews>
  <sheetFormatPr baseColWidth="10" defaultColWidth="9.1640625" defaultRowHeight="13"/>
  <cols>
    <col min="1" max="1" width="6.6640625" style="5" bestFit="1" customWidth="1"/>
    <col min="2" max="2" width="21.1640625" style="5" customWidth="1"/>
    <col min="3" max="3" width="27.1640625" style="5" bestFit="1" customWidth="1"/>
    <col min="4" max="4" width="20" style="5" bestFit="1" customWidth="1"/>
    <col min="5" max="5" width="9.6640625" style="6" bestFit="1" customWidth="1"/>
    <col min="6" max="6" width="32.5" style="5" bestFit="1" customWidth="1"/>
    <col min="7" max="9" width="5.33203125" style="10" customWidth="1"/>
    <col min="10" max="10" width="4.33203125" style="10" customWidth="1"/>
    <col min="11" max="11" width="10.5" style="7" bestFit="1" customWidth="1"/>
    <col min="12" max="12" width="8.33203125" style="7" bestFit="1" customWidth="1"/>
    <col min="13" max="13" width="24.83203125" style="5" customWidth="1"/>
    <col min="14" max="16384" width="9.1640625" style="3"/>
  </cols>
  <sheetData>
    <row r="1" spans="1:13" s="2" customFormat="1" ht="29" customHeight="1">
      <c r="A1" s="70" t="s">
        <v>173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s="2" customFormat="1" ht="62" customHeight="1" thickBot="1">
      <c r="A2" s="7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13" s="1" customFormat="1" ht="12.75" customHeight="1">
      <c r="A3" s="78" t="s">
        <v>315</v>
      </c>
      <c r="B3" s="93" t="s">
        <v>1</v>
      </c>
      <c r="C3" s="80" t="s">
        <v>316</v>
      </c>
      <c r="D3" s="80" t="s">
        <v>2</v>
      </c>
      <c r="E3" s="82" t="s">
        <v>317</v>
      </c>
      <c r="F3" s="84" t="s">
        <v>3</v>
      </c>
      <c r="G3" s="84" t="s">
        <v>5</v>
      </c>
      <c r="H3" s="84"/>
      <c r="I3" s="84"/>
      <c r="J3" s="84"/>
      <c r="K3" s="82" t="s">
        <v>117</v>
      </c>
      <c r="L3" s="82" t="s">
        <v>8</v>
      </c>
      <c r="M3" s="89" t="s">
        <v>9</v>
      </c>
    </row>
    <row r="4" spans="1:13" s="1" customFormat="1" ht="21" customHeight="1" thickBot="1">
      <c r="A4" s="79"/>
      <c r="B4" s="94"/>
      <c r="C4" s="81"/>
      <c r="D4" s="81"/>
      <c r="E4" s="83"/>
      <c r="F4" s="81"/>
      <c r="G4" s="4">
        <v>1</v>
      </c>
      <c r="H4" s="4">
        <v>2</v>
      </c>
      <c r="I4" s="4">
        <v>3</v>
      </c>
      <c r="J4" s="4" t="s">
        <v>10</v>
      </c>
      <c r="K4" s="83"/>
      <c r="L4" s="83"/>
      <c r="M4" s="90"/>
    </row>
    <row r="5" spans="1:13" ht="16">
      <c r="A5" s="91" t="s">
        <v>11</v>
      </c>
      <c r="B5" s="91"/>
      <c r="C5" s="92"/>
      <c r="D5" s="92"/>
      <c r="E5" s="92"/>
      <c r="F5" s="92"/>
      <c r="G5" s="92"/>
      <c r="H5" s="92"/>
      <c r="I5" s="92"/>
      <c r="J5" s="92"/>
    </row>
    <row r="6" spans="1:13">
      <c r="A6" s="21" t="s">
        <v>12</v>
      </c>
      <c r="B6" s="11" t="s">
        <v>174</v>
      </c>
      <c r="C6" s="11" t="s">
        <v>175</v>
      </c>
      <c r="D6" s="11" t="s">
        <v>176</v>
      </c>
      <c r="E6" s="12" t="s">
        <v>318</v>
      </c>
      <c r="F6" s="11" t="s">
        <v>16</v>
      </c>
      <c r="G6" s="35" t="s">
        <v>21</v>
      </c>
      <c r="H6" s="35" t="s">
        <v>21</v>
      </c>
      <c r="I6" s="20" t="s">
        <v>22</v>
      </c>
      <c r="J6" s="21"/>
      <c r="K6" s="13" t="str">
        <f>"52,5"</f>
        <v>52,5</v>
      </c>
      <c r="L6" s="13" t="str">
        <f>"62,9213"</f>
        <v>62,9213</v>
      </c>
      <c r="M6" s="11"/>
    </row>
    <row r="8" spans="1:13" ht="16">
      <c r="A8" s="85" t="s">
        <v>57</v>
      </c>
      <c r="B8" s="85"/>
      <c r="C8" s="86"/>
      <c r="D8" s="86"/>
      <c r="E8" s="86"/>
      <c r="F8" s="86"/>
      <c r="G8" s="86"/>
      <c r="H8" s="86"/>
      <c r="I8" s="86"/>
      <c r="J8" s="86"/>
    </row>
    <row r="9" spans="1:13">
      <c r="A9" s="22" t="s">
        <v>12</v>
      </c>
      <c r="B9" s="14" t="s">
        <v>177</v>
      </c>
      <c r="C9" s="14" t="s">
        <v>178</v>
      </c>
      <c r="D9" s="14" t="s">
        <v>179</v>
      </c>
      <c r="E9" s="15" t="s">
        <v>318</v>
      </c>
      <c r="F9" s="14" t="s">
        <v>30</v>
      </c>
      <c r="G9" s="31" t="s">
        <v>152</v>
      </c>
      <c r="H9" s="31" t="s">
        <v>161</v>
      </c>
      <c r="I9" s="31" t="s">
        <v>153</v>
      </c>
      <c r="J9" s="22"/>
      <c r="K9" s="16" t="str">
        <f>"162,5"</f>
        <v>162,5</v>
      </c>
      <c r="L9" s="16" t="str">
        <f>"103,9675"</f>
        <v>103,9675</v>
      </c>
      <c r="M9" s="14"/>
    </row>
    <row r="10" spans="1:13">
      <c r="A10" s="41" t="s">
        <v>12</v>
      </c>
      <c r="B10" s="36" t="s">
        <v>135</v>
      </c>
      <c r="C10" s="36" t="s">
        <v>180</v>
      </c>
      <c r="D10" s="36" t="s">
        <v>137</v>
      </c>
      <c r="E10" s="37" t="s">
        <v>322</v>
      </c>
      <c r="F10" s="36" t="s">
        <v>16</v>
      </c>
      <c r="G10" s="40" t="s">
        <v>152</v>
      </c>
      <c r="H10" s="39" t="s">
        <v>64</v>
      </c>
      <c r="I10" s="40" t="s">
        <v>161</v>
      </c>
      <c r="J10" s="41"/>
      <c r="K10" s="38" t="str">
        <f>"152,5"</f>
        <v>152,5</v>
      </c>
      <c r="L10" s="38" t="str">
        <f>"142,4545"</f>
        <v>142,4545</v>
      </c>
      <c r="M10" s="36"/>
    </row>
    <row r="11" spans="1:13">
      <c r="A11" s="23" t="s">
        <v>26</v>
      </c>
      <c r="B11" s="17" t="s">
        <v>181</v>
      </c>
      <c r="C11" s="17" t="s">
        <v>182</v>
      </c>
      <c r="D11" s="17" t="s">
        <v>183</v>
      </c>
      <c r="E11" s="18" t="s">
        <v>322</v>
      </c>
      <c r="F11" s="17" t="s">
        <v>16</v>
      </c>
      <c r="G11" s="34" t="s">
        <v>36</v>
      </c>
      <c r="H11" s="34" t="s">
        <v>88</v>
      </c>
      <c r="I11" s="34" t="s">
        <v>184</v>
      </c>
      <c r="J11" s="23"/>
      <c r="K11" s="19" t="str">
        <f>"107,5"</f>
        <v>107,5</v>
      </c>
      <c r="L11" s="19" t="str">
        <f>"102,7637"</f>
        <v>102,7637</v>
      </c>
      <c r="M11" s="17" t="s">
        <v>185</v>
      </c>
    </row>
    <row r="13" spans="1:13" ht="16">
      <c r="A13" s="85" t="s">
        <v>70</v>
      </c>
      <c r="B13" s="85"/>
      <c r="C13" s="86"/>
      <c r="D13" s="86"/>
      <c r="E13" s="86"/>
      <c r="F13" s="86"/>
      <c r="G13" s="86"/>
      <c r="H13" s="86"/>
      <c r="I13" s="86"/>
      <c r="J13" s="86"/>
    </row>
    <row r="14" spans="1:13">
      <c r="A14" s="22" t="s">
        <v>12</v>
      </c>
      <c r="B14" s="14" t="s">
        <v>186</v>
      </c>
      <c r="C14" s="14" t="s">
        <v>187</v>
      </c>
      <c r="D14" s="14" t="s">
        <v>188</v>
      </c>
      <c r="E14" s="15" t="s">
        <v>318</v>
      </c>
      <c r="F14" s="14" t="s">
        <v>16</v>
      </c>
      <c r="G14" s="31" t="s">
        <v>62</v>
      </c>
      <c r="H14" s="31" t="s">
        <v>87</v>
      </c>
      <c r="I14" s="32" t="s">
        <v>189</v>
      </c>
      <c r="J14" s="22"/>
      <c r="K14" s="16" t="str">
        <f>"200,0"</f>
        <v>200,0</v>
      </c>
      <c r="L14" s="16" t="str">
        <f>"122,8400"</f>
        <v>122,8400</v>
      </c>
      <c r="M14" s="14"/>
    </row>
    <row r="15" spans="1:13">
      <c r="A15" s="23" t="s">
        <v>26</v>
      </c>
      <c r="B15" s="17" t="s">
        <v>190</v>
      </c>
      <c r="C15" s="17" t="s">
        <v>191</v>
      </c>
      <c r="D15" s="17" t="s">
        <v>192</v>
      </c>
      <c r="E15" s="18" t="s">
        <v>318</v>
      </c>
      <c r="F15" s="17" t="s">
        <v>16</v>
      </c>
      <c r="G15" s="34" t="s">
        <v>193</v>
      </c>
      <c r="H15" s="33" t="s">
        <v>75</v>
      </c>
      <c r="I15" s="33" t="s">
        <v>75</v>
      </c>
      <c r="J15" s="23"/>
      <c r="K15" s="19" t="str">
        <f>"172,5"</f>
        <v>172,5</v>
      </c>
      <c r="L15" s="19" t="str">
        <f>"106,0875"</f>
        <v>106,0875</v>
      </c>
      <c r="M15" s="17"/>
    </row>
    <row r="17" spans="1:13" ht="16">
      <c r="A17" s="85" t="s">
        <v>80</v>
      </c>
      <c r="B17" s="85"/>
      <c r="C17" s="86"/>
      <c r="D17" s="86"/>
      <c r="E17" s="86"/>
      <c r="F17" s="86"/>
      <c r="G17" s="86"/>
      <c r="H17" s="86"/>
      <c r="I17" s="86"/>
      <c r="J17" s="86"/>
    </row>
    <row r="18" spans="1:13">
      <c r="A18" s="22" t="s">
        <v>12</v>
      </c>
      <c r="B18" s="14" t="s">
        <v>194</v>
      </c>
      <c r="C18" s="14" t="s">
        <v>195</v>
      </c>
      <c r="D18" s="14" t="s">
        <v>196</v>
      </c>
      <c r="E18" s="15" t="s">
        <v>318</v>
      </c>
      <c r="F18" s="14" t="s">
        <v>16</v>
      </c>
      <c r="G18" s="31" t="s">
        <v>61</v>
      </c>
      <c r="H18" s="32" t="s">
        <v>87</v>
      </c>
      <c r="I18" s="32" t="s">
        <v>87</v>
      </c>
      <c r="J18" s="22"/>
      <c r="K18" s="16" t="str">
        <f>"190,0"</f>
        <v>190,0</v>
      </c>
      <c r="L18" s="16" t="str">
        <f>"112,5560"</f>
        <v>112,5560</v>
      </c>
      <c r="M18" s="14"/>
    </row>
    <row r="19" spans="1:13">
      <c r="A19" s="23" t="s">
        <v>26</v>
      </c>
      <c r="B19" s="17" t="s">
        <v>197</v>
      </c>
      <c r="C19" s="17" t="s">
        <v>198</v>
      </c>
      <c r="D19" s="17" t="s">
        <v>199</v>
      </c>
      <c r="E19" s="18" t="s">
        <v>318</v>
      </c>
      <c r="F19" s="17" t="s">
        <v>200</v>
      </c>
      <c r="G19" s="33" t="s">
        <v>65</v>
      </c>
      <c r="H19" s="34" t="s">
        <v>65</v>
      </c>
      <c r="I19" s="33" t="s">
        <v>102</v>
      </c>
      <c r="J19" s="23"/>
      <c r="K19" s="19" t="str">
        <f>"160,0"</f>
        <v>160,0</v>
      </c>
      <c r="L19" s="19" t="str">
        <f>"94,2400"</f>
        <v>94,2400</v>
      </c>
      <c r="M19" s="17"/>
    </row>
    <row r="21" spans="1:13" ht="16">
      <c r="A21" s="85" t="s">
        <v>201</v>
      </c>
      <c r="B21" s="85"/>
      <c r="C21" s="86"/>
      <c r="D21" s="86"/>
      <c r="E21" s="86"/>
      <c r="F21" s="86"/>
      <c r="G21" s="86"/>
      <c r="H21" s="86"/>
      <c r="I21" s="86"/>
      <c r="J21" s="86"/>
    </row>
    <row r="22" spans="1:13">
      <c r="A22" s="21" t="s">
        <v>12</v>
      </c>
      <c r="B22" s="11" t="s">
        <v>202</v>
      </c>
      <c r="C22" s="11" t="s">
        <v>203</v>
      </c>
      <c r="D22" s="11" t="s">
        <v>204</v>
      </c>
      <c r="E22" s="12" t="s">
        <v>318</v>
      </c>
      <c r="F22" s="11" t="s">
        <v>205</v>
      </c>
      <c r="G22" s="20" t="s">
        <v>100</v>
      </c>
      <c r="H22" s="20" t="s">
        <v>89</v>
      </c>
      <c r="I22" s="35" t="s">
        <v>206</v>
      </c>
      <c r="J22" s="21"/>
      <c r="K22" s="13" t="str">
        <f>"220,0"</f>
        <v>220,0</v>
      </c>
      <c r="L22" s="13" t="str">
        <f>"127,8860"</f>
        <v>127,8860</v>
      </c>
      <c r="M22" s="11"/>
    </row>
  </sheetData>
  <mergeCells count="16">
    <mergeCell ref="A8:J8"/>
    <mergeCell ref="A13:J13"/>
    <mergeCell ref="A17:J17"/>
    <mergeCell ref="A21:J2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7"/>
  <sheetViews>
    <sheetView workbookViewId="0">
      <selection activeCell="E8" sqref="E8"/>
    </sheetView>
  </sheetViews>
  <sheetFormatPr baseColWidth="10" defaultColWidth="9.1640625" defaultRowHeight="13"/>
  <cols>
    <col min="1" max="1" width="6.6640625" style="5" bestFit="1" customWidth="1"/>
    <col min="2" max="2" width="21" style="5" customWidth="1"/>
    <col min="3" max="3" width="24.5" style="5" bestFit="1" customWidth="1"/>
    <col min="4" max="4" width="20" style="5" bestFit="1" customWidth="1"/>
    <col min="5" max="5" width="9.6640625" style="6" bestFit="1" customWidth="1"/>
    <col min="6" max="6" width="21.1640625" style="5" customWidth="1"/>
    <col min="7" max="9" width="5.33203125" style="10" customWidth="1"/>
    <col min="10" max="10" width="4.33203125" style="10" customWidth="1"/>
    <col min="11" max="11" width="10.5" style="7" bestFit="1" customWidth="1"/>
    <col min="12" max="12" width="7.33203125" style="7" bestFit="1" customWidth="1"/>
    <col min="13" max="13" width="25.33203125" style="5" customWidth="1"/>
    <col min="14" max="16384" width="9.1640625" style="3"/>
  </cols>
  <sheetData>
    <row r="1" spans="1:13" s="2" customFormat="1" ht="29" customHeight="1">
      <c r="A1" s="70" t="s">
        <v>207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s="2" customFormat="1" ht="62" customHeight="1" thickBot="1">
      <c r="A2" s="7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13" s="1" customFormat="1" ht="12.75" customHeight="1">
      <c r="A3" s="78" t="s">
        <v>315</v>
      </c>
      <c r="B3" s="93" t="s">
        <v>1</v>
      </c>
      <c r="C3" s="80" t="s">
        <v>316</v>
      </c>
      <c r="D3" s="80" t="s">
        <v>2</v>
      </c>
      <c r="E3" s="82" t="s">
        <v>317</v>
      </c>
      <c r="F3" s="84" t="s">
        <v>3</v>
      </c>
      <c r="G3" s="84" t="s">
        <v>5</v>
      </c>
      <c r="H3" s="84"/>
      <c r="I3" s="84"/>
      <c r="J3" s="84"/>
      <c r="K3" s="82" t="s">
        <v>117</v>
      </c>
      <c r="L3" s="82" t="s">
        <v>8</v>
      </c>
      <c r="M3" s="89" t="s">
        <v>9</v>
      </c>
    </row>
    <row r="4" spans="1:13" s="1" customFormat="1" ht="21" customHeight="1" thickBot="1">
      <c r="A4" s="79"/>
      <c r="B4" s="94"/>
      <c r="C4" s="81"/>
      <c r="D4" s="81"/>
      <c r="E4" s="83"/>
      <c r="F4" s="81"/>
      <c r="G4" s="4">
        <v>1</v>
      </c>
      <c r="H4" s="4">
        <v>2</v>
      </c>
      <c r="I4" s="4">
        <v>3</v>
      </c>
      <c r="J4" s="4" t="s">
        <v>10</v>
      </c>
      <c r="K4" s="83"/>
      <c r="L4" s="83"/>
      <c r="M4" s="90"/>
    </row>
    <row r="5" spans="1:13" ht="16">
      <c r="A5" s="91" t="s">
        <v>70</v>
      </c>
      <c r="B5" s="91"/>
      <c r="C5" s="92"/>
      <c r="D5" s="92"/>
      <c r="E5" s="92"/>
      <c r="F5" s="92"/>
      <c r="G5" s="92"/>
      <c r="H5" s="92"/>
      <c r="I5" s="92"/>
      <c r="J5" s="92"/>
    </row>
    <row r="6" spans="1:13">
      <c r="A6" s="22" t="s">
        <v>12</v>
      </c>
      <c r="B6" s="14" t="s">
        <v>97</v>
      </c>
      <c r="C6" s="14" t="s">
        <v>208</v>
      </c>
      <c r="D6" s="14" t="s">
        <v>99</v>
      </c>
      <c r="E6" s="15" t="s">
        <v>318</v>
      </c>
      <c r="F6" s="14" t="s">
        <v>16</v>
      </c>
      <c r="G6" s="31" t="s">
        <v>152</v>
      </c>
      <c r="H6" s="31" t="s">
        <v>65</v>
      </c>
      <c r="I6" s="32" t="s">
        <v>102</v>
      </c>
      <c r="J6" s="22"/>
      <c r="K6" s="16" t="str">
        <f>"160,0"</f>
        <v>160,0</v>
      </c>
      <c r="L6" s="16" t="str">
        <f>"98,5280"</f>
        <v>98,5280</v>
      </c>
      <c r="M6" s="14" t="s">
        <v>314</v>
      </c>
    </row>
    <row r="7" spans="1:13">
      <c r="A7" s="23" t="s">
        <v>26</v>
      </c>
      <c r="B7" s="17" t="s">
        <v>209</v>
      </c>
      <c r="C7" s="17" t="s">
        <v>210</v>
      </c>
      <c r="D7" s="17" t="s">
        <v>211</v>
      </c>
      <c r="E7" s="18" t="s">
        <v>318</v>
      </c>
      <c r="F7" s="17" t="s">
        <v>16</v>
      </c>
      <c r="G7" s="33" t="s">
        <v>78</v>
      </c>
      <c r="H7" s="34" t="s">
        <v>212</v>
      </c>
      <c r="I7" s="34" t="s">
        <v>134</v>
      </c>
      <c r="J7" s="23"/>
      <c r="K7" s="19" t="str">
        <f>"145,0"</f>
        <v>145,0</v>
      </c>
      <c r="L7" s="19" t="str">
        <f>"88,7110"</f>
        <v>88,7110</v>
      </c>
      <c r="M7" s="17" t="s">
        <v>314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6.6640625" style="5" bestFit="1" customWidth="1"/>
    <col min="2" max="2" width="19.33203125" style="5" customWidth="1"/>
    <col min="3" max="3" width="27.1640625" style="5" bestFit="1" customWidth="1"/>
    <col min="4" max="4" width="20" style="5" bestFit="1" customWidth="1"/>
    <col min="5" max="5" width="9.6640625" style="6" bestFit="1" customWidth="1"/>
    <col min="6" max="6" width="23" style="5" bestFit="1" customWidth="1"/>
    <col min="7" max="9" width="5.33203125" style="10" customWidth="1"/>
    <col min="10" max="10" width="4.33203125" style="10" customWidth="1"/>
    <col min="11" max="11" width="10.5" style="7" bestFit="1" customWidth="1"/>
    <col min="12" max="12" width="8.33203125" style="7" bestFit="1" customWidth="1"/>
    <col min="13" max="13" width="21" style="5" customWidth="1"/>
    <col min="14" max="16384" width="9.1640625" style="3"/>
  </cols>
  <sheetData>
    <row r="1" spans="1:13" s="2" customFormat="1" ht="29" customHeight="1">
      <c r="A1" s="70" t="s">
        <v>215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s="2" customFormat="1" ht="62" customHeight="1" thickBot="1">
      <c r="A2" s="7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13" s="1" customFormat="1" ht="12.75" customHeight="1">
      <c r="A3" s="78" t="s">
        <v>315</v>
      </c>
      <c r="B3" s="93" t="s">
        <v>1</v>
      </c>
      <c r="C3" s="80" t="s">
        <v>316</v>
      </c>
      <c r="D3" s="80" t="s">
        <v>2</v>
      </c>
      <c r="E3" s="82" t="s">
        <v>317</v>
      </c>
      <c r="F3" s="84" t="s">
        <v>3</v>
      </c>
      <c r="G3" s="84" t="s">
        <v>6</v>
      </c>
      <c r="H3" s="84"/>
      <c r="I3" s="84"/>
      <c r="J3" s="84"/>
      <c r="K3" s="82" t="s">
        <v>117</v>
      </c>
      <c r="L3" s="82" t="s">
        <v>8</v>
      </c>
      <c r="M3" s="89" t="s">
        <v>9</v>
      </c>
    </row>
    <row r="4" spans="1:13" s="1" customFormat="1" ht="21" customHeight="1" thickBot="1">
      <c r="A4" s="79"/>
      <c r="B4" s="94"/>
      <c r="C4" s="81"/>
      <c r="D4" s="81"/>
      <c r="E4" s="83"/>
      <c r="F4" s="81"/>
      <c r="G4" s="4">
        <v>1</v>
      </c>
      <c r="H4" s="4">
        <v>2</v>
      </c>
      <c r="I4" s="4">
        <v>3</v>
      </c>
      <c r="J4" s="4" t="s">
        <v>10</v>
      </c>
      <c r="K4" s="83"/>
      <c r="L4" s="83"/>
      <c r="M4" s="90"/>
    </row>
    <row r="5" spans="1:13" ht="16">
      <c r="A5" s="91" t="s">
        <v>11</v>
      </c>
      <c r="B5" s="91"/>
      <c r="C5" s="92"/>
      <c r="D5" s="92"/>
      <c r="E5" s="92"/>
      <c r="F5" s="92"/>
      <c r="G5" s="92"/>
      <c r="H5" s="92"/>
      <c r="I5" s="92"/>
      <c r="J5" s="92"/>
    </row>
    <row r="6" spans="1:13">
      <c r="A6" s="21" t="s">
        <v>12</v>
      </c>
      <c r="B6" s="11" t="s">
        <v>118</v>
      </c>
      <c r="C6" s="11" t="s">
        <v>119</v>
      </c>
      <c r="D6" s="11" t="s">
        <v>120</v>
      </c>
      <c r="E6" s="12" t="s">
        <v>318</v>
      </c>
      <c r="F6" s="11" t="s">
        <v>30</v>
      </c>
      <c r="G6" s="20" t="s">
        <v>56</v>
      </c>
      <c r="H6" s="20" t="s">
        <v>36</v>
      </c>
      <c r="I6" s="20" t="s">
        <v>25</v>
      </c>
      <c r="J6" s="21"/>
      <c r="K6" s="13" t="str">
        <f>"110,0"</f>
        <v>110,0</v>
      </c>
      <c r="L6" s="13" t="str">
        <f>"129,7890"</f>
        <v>129,7890</v>
      </c>
      <c r="M6" s="11"/>
    </row>
    <row r="8" spans="1:13" ht="16">
      <c r="A8" s="85" t="s">
        <v>57</v>
      </c>
      <c r="B8" s="85"/>
      <c r="C8" s="86"/>
      <c r="D8" s="86"/>
      <c r="E8" s="86"/>
      <c r="F8" s="86"/>
      <c r="G8" s="86"/>
      <c r="H8" s="86"/>
      <c r="I8" s="86"/>
      <c r="J8" s="86"/>
    </row>
    <row r="9" spans="1:13">
      <c r="A9" s="21" t="s">
        <v>12</v>
      </c>
      <c r="B9" s="11" t="s">
        <v>216</v>
      </c>
      <c r="C9" s="11" t="s">
        <v>217</v>
      </c>
      <c r="D9" s="11" t="s">
        <v>218</v>
      </c>
      <c r="E9" s="12" t="s">
        <v>320</v>
      </c>
      <c r="F9" s="11" t="s">
        <v>16</v>
      </c>
      <c r="G9" s="35" t="s">
        <v>89</v>
      </c>
      <c r="H9" s="20" t="s">
        <v>219</v>
      </c>
      <c r="I9" s="21"/>
      <c r="J9" s="21"/>
      <c r="K9" s="13" t="str">
        <f>"232,5"</f>
        <v>232,5</v>
      </c>
      <c r="L9" s="13" t="str">
        <f>"155,4263"</f>
        <v>155,4263</v>
      </c>
      <c r="M9" s="11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5"/>
  <sheetViews>
    <sheetView workbookViewId="0">
      <selection activeCell="E16" sqref="E16"/>
    </sheetView>
  </sheetViews>
  <sheetFormatPr baseColWidth="10" defaultColWidth="9.1640625" defaultRowHeight="13"/>
  <cols>
    <col min="1" max="1" width="6.6640625" style="5" bestFit="1" customWidth="1"/>
    <col min="2" max="2" width="19.5" style="5" bestFit="1" customWidth="1"/>
    <col min="3" max="3" width="27.1640625" style="5" bestFit="1" customWidth="1"/>
    <col min="4" max="4" width="20" style="5" bestFit="1" customWidth="1"/>
    <col min="5" max="5" width="9.6640625" style="6" bestFit="1" customWidth="1"/>
    <col min="6" max="6" width="30.33203125" style="5" bestFit="1" customWidth="1"/>
    <col min="7" max="9" width="5.33203125" style="10" customWidth="1"/>
    <col min="10" max="10" width="4.33203125" style="10" customWidth="1"/>
    <col min="11" max="11" width="10.5" style="7" bestFit="1" customWidth="1"/>
    <col min="12" max="12" width="8.6640625" style="7" bestFit="1" customWidth="1"/>
    <col min="13" max="13" width="25.33203125" style="5" customWidth="1"/>
    <col min="14" max="16384" width="9.1640625" style="3"/>
  </cols>
  <sheetData>
    <row r="1" spans="1:13" s="2" customFormat="1" ht="29" customHeight="1">
      <c r="A1" s="70" t="s">
        <v>220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s="2" customFormat="1" ht="62" customHeight="1" thickBot="1">
      <c r="A2" s="7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13" s="1" customFormat="1" ht="12.75" customHeight="1">
      <c r="A3" s="78" t="s">
        <v>315</v>
      </c>
      <c r="B3" s="93" t="s">
        <v>1</v>
      </c>
      <c r="C3" s="80" t="s">
        <v>316</v>
      </c>
      <c r="D3" s="80" t="s">
        <v>2</v>
      </c>
      <c r="E3" s="82" t="s">
        <v>317</v>
      </c>
      <c r="F3" s="84" t="s">
        <v>3</v>
      </c>
      <c r="G3" s="84" t="s">
        <v>6</v>
      </c>
      <c r="H3" s="84"/>
      <c r="I3" s="84"/>
      <c r="J3" s="84"/>
      <c r="K3" s="82" t="s">
        <v>117</v>
      </c>
      <c r="L3" s="82" t="s">
        <v>8</v>
      </c>
      <c r="M3" s="89" t="s">
        <v>9</v>
      </c>
    </row>
    <row r="4" spans="1:13" s="1" customFormat="1" ht="21" customHeight="1" thickBot="1">
      <c r="A4" s="79"/>
      <c r="B4" s="94"/>
      <c r="C4" s="81"/>
      <c r="D4" s="81"/>
      <c r="E4" s="83"/>
      <c r="F4" s="81"/>
      <c r="G4" s="4">
        <v>1</v>
      </c>
      <c r="H4" s="4">
        <v>2</v>
      </c>
      <c r="I4" s="4">
        <v>3</v>
      </c>
      <c r="J4" s="4" t="s">
        <v>10</v>
      </c>
      <c r="K4" s="83"/>
      <c r="L4" s="83"/>
      <c r="M4" s="90"/>
    </row>
    <row r="5" spans="1:13" ht="16">
      <c r="A5" s="91" t="s">
        <v>221</v>
      </c>
      <c r="B5" s="91"/>
      <c r="C5" s="92"/>
      <c r="D5" s="92"/>
      <c r="E5" s="92"/>
      <c r="F5" s="92"/>
      <c r="G5" s="92"/>
      <c r="H5" s="92"/>
      <c r="I5" s="92"/>
      <c r="J5" s="92"/>
    </row>
    <row r="6" spans="1:13">
      <c r="A6" s="21" t="s">
        <v>12</v>
      </c>
      <c r="B6" s="11" t="s">
        <v>222</v>
      </c>
      <c r="C6" s="11" t="s">
        <v>223</v>
      </c>
      <c r="D6" s="11" t="s">
        <v>224</v>
      </c>
      <c r="E6" s="12" t="s">
        <v>318</v>
      </c>
      <c r="F6" s="11" t="s">
        <v>225</v>
      </c>
      <c r="G6" s="20" t="s">
        <v>17</v>
      </c>
      <c r="H6" s="20" t="s">
        <v>56</v>
      </c>
      <c r="I6" s="35" t="s">
        <v>36</v>
      </c>
      <c r="J6" s="21"/>
      <c r="K6" s="13" t="str">
        <f>"90,0"</f>
        <v>90,0</v>
      </c>
      <c r="L6" s="13" t="str">
        <f>"126,7290"</f>
        <v>126,7290</v>
      </c>
      <c r="M6" s="11"/>
    </row>
    <row r="8" spans="1:13" ht="16">
      <c r="A8" s="85" t="s">
        <v>46</v>
      </c>
      <c r="B8" s="85"/>
      <c r="C8" s="86"/>
      <c r="D8" s="86"/>
      <c r="E8" s="86"/>
      <c r="F8" s="86"/>
      <c r="G8" s="86"/>
      <c r="H8" s="86"/>
      <c r="I8" s="86"/>
      <c r="J8" s="86"/>
    </row>
    <row r="9" spans="1:13">
      <c r="A9" s="21" t="s">
        <v>12</v>
      </c>
      <c r="B9" s="11" t="s">
        <v>226</v>
      </c>
      <c r="C9" s="11" t="s">
        <v>227</v>
      </c>
      <c r="D9" s="11" t="s">
        <v>228</v>
      </c>
      <c r="E9" s="12" t="s">
        <v>318</v>
      </c>
      <c r="F9" s="11" t="s">
        <v>225</v>
      </c>
      <c r="G9" s="20" t="s">
        <v>130</v>
      </c>
      <c r="H9" s="35" t="s">
        <v>157</v>
      </c>
      <c r="I9" s="35" t="s">
        <v>157</v>
      </c>
      <c r="J9" s="21"/>
      <c r="K9" s="13" t="str">
        <f>"117,5"</f>
        <v>117,5</v>
      </c>
      <c r="L9" s="13" t="str">
        <f>"120,9545"</f>
        <v>120,9545</v>
      </c>
      <c r="M9" s="11"/>
    </row>
    <row r="11" spans="1:13" ht="16">
      <c r="A11" s="85" t="s">
        <v>229</v>
      </c>
      <c r="B11" s="85"/>
      <c r="C11" s="86"/>
      <c r="D11" s="86"/>
      <c r="E11" s="86"/>
      <c r="F11" s="86"/>
      <c r="G11" s="86"/>
      <c r="H11" s="86"/>
      <c r="I11" s="86"/>
      <c r="J11" s="86"/>
    </row>
    <row r="12" spans="1:13">
      <c r="A12" s="21" t="s">
        <v>12</v>
      </c>
      <c r="B12" s="11" t="s">
        <v>230</v>
      </c>
      <c r="C12" s="11" t="s">
        <v>231</v>
      </c>
      <c r="D12" s="11" t="s">
        <v>232</v>
      </c>
      <c r="E12" s="12" t="s">
        <v>318</v>
      </c>
      <c r="F12" s="11" t="s">
        <v>16</v>
      </c>
      <c r="G12" s="20" t="s">
        <v>17</v>
      </c>
      <c r="H12" s="20" t="s">
        <v>56</v>
      </c>
      <c r="I12" s="20" t="s">
        <v>45</v>
      </c>
      <c r="J12" s="21"/>
      <c r="K12" s="13" t="str">
        <f>"97,5"</f>
        <v>97,5</v>
      </c>
      <c r="L12" s="13" t="str">
        <f>"105,0953"</f>
        <v>105,0953</v>
      </c>
      <c r="M12" s="11"/>
    </row>
    <row r="14" spans="1:13" ht="16">
      <c r="A14" s="85" t="s">
        <v>126</v>
      </c>
      <c r="B14" s="85"/>
      <c r="C14" s="86"/>
      <c r="D14" s="86"/>
      <c r="E14" s="86"/>
      <c r="F14" s="86"/>
      <c r="G14" s="86"/>
      <c r="H14" s="86"/>
      <c r="I14" s="86"/>
      <c r="J14" s="86"/>
    </row>
    <row r="15" spans="1:13">
      <c r="A15" s="21" t="s">
        <v>12</v>
      </c>
      <c r="B15" s="11" t="s">
        <v>233</v>
      </c>
      <c r="C15" s="11" t="s">
        <v>234</v>
      </c>
      <c r="D15" s="11" t="s">
        <v>235</v>
      </c>
      <c r="E15" s="12" t="s">
        <v>320</v>
      </c>
      <c r="F15" s="11" t="s">
        <v>16</v>
      </c>
      <c r="G15" s="20" t="s">
        <v>87</v>
      </c>
      <c r="H15" s="20" t="s">
        <v>89</v>
      </c>
      <c r="I15" s="21"/>
      <c r="J15" s="21"/>
      <c r="K15" s="13" t="str">
        <f>"220,0"</f>
        <v>220,0</v>
      </c>
      <c r="L15" s="13" t="str">
        <f>"163,9686"</f>
        <v>163,9686</v>
      </c>
      <c r="M15" s="11"/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WRPF ПЛ без экипировки ДК</vt:lpstr>
      <vt:lpstr>WRPF ПЛ без экипировки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WRPF Военный жим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  <vt:lpstr>ФЖД Любители двоеборье</vt:lpstr>
      <vt:lpstr>ФЖД Софт двоеборье однопет.ДК</vt:lpstr>
      <vt:lpstr>ФЖД Военный жим максимум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cp:keywords/>
  <dc:description/>
  <cp:lastModifiedBy>Екатерина Шевелева</cp:lastModifiedBy>
  <cp:revision/>
  <dcterms:created xsi:type="dcterms:W3CDTF">2002-06-16T13:36:44Z</dcterms:created>
  <dcterms:modified xsi:type="dcterms:W3CDTF">2022-12-12T09:54:56Z</dcterms:modified>
  <cp:category/>
  <cp:contentStatus/>
</cp:coreProperties>
</file>