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A0749006-4C18-6E46-A0A2-5F85BC18D0FF}" xr6:coauthVersionLast="45" xr6:coauthVersionMax="45" xr10:uidLastSave="{00000000-0000-0000-0000-000000000000}"/>
  <bookViews>
    <workbookView xWindow="480" yWindow="460" windowWidth="28320" windowHeight="16000" firstSheet="17" activeTab="17" xr2:uid="{00000000-000D-0000-FFFF-FFFF00000000}"/>
  </bookViews>
  <sheets>
    <sheet name="WRPF ПЛ без экипировки ДК" sheetId="32" r:id="rId1"/>
    <sheet name="WRPF ПЛ без экипировки" sheetId="31" r:id="rId2"/>
    <sheet name="WRPF ПЛ в бинтах ДК" sheetId="30" r:id="rId3"/>
    <sheet name="WRPF ПЛ в бинтах" sheetId="29" r:id="rId4"/>
    <sheet name="WRPF Двоеборье без экип ДК" sheetId="45" r:id="rId5"/>
    <sheet name="WRPF Жим лежа без экип ДК" sheetId="36" r:id="rId6"/>
    <sheet name="WRPF Жим лежа без экип" sheetId="35" r:id="rId7"/>
    <sheet name="WEPF Жим однослой" sheetId="38" r:id="rId8"/>
    <sheet name="WEPF Жим софт многопетельная" sheetId="40" r:id="rId9"/>
    <sheet name="WRPF Военный жим ДК" sheetId="39" r:id="rId10"/>
    <sheet name="WRPF Военный жим" sheetId="34" r:id="rId11"/>
    <sheet name="WEPF Жим софт однопетельная" sheetId="33" r:id="rId12"/>
    <sheet name="WRPF Жим СФО" sheetId="28" r:id="rId13"/>
    <sheet name="WRPF Тяга без экипировки ДК" sheetId="42" r:id="rId14"/>
    <sheet name="WRPF Тяга без экипировки" sheetId="41" r:id="rId15"/>
    <sheet name="WEPF Тяга экип" sheetId="43" r:id="rId16"/>
    <sheet name="WRPF Подъем на бицепс ДК" sheetId="13" r:id="rId17"/>
    <sheet name="WRPF Подъем на бицепс" sheetId="12" r:id="rId18"/>
  </sheet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45" l="1"/>
  <c r="P12" i="45"/>
  <c r="O12" i="45"/>
  <c r="P9" i="45"/>
  <c r="O9" i="45"/>
  <c r="P6" i="45"/>
  <c r="O6" i="45"/>
  <c r="L6" i="43"/>
  <c r="K6" i="43"/>
  <c r="L32" i="42"/>
  <c r="K32" i="42"/>
  <c r="L31" i="42"/>
  <c r="K31" i="42"/>
  <c r="L28" i="42"/>
  <c r="K28" i="42"/>
  <c r="L25" i="42"/>
  <c r="K25" i="42"/>
  <c r="L24" i="42"/>
  <c r="L23" i="42"/>
  <c r="K23" i="42"/>
  <c r="L20" i="42"/>
  <c r="K20" i="42"/>
  <c r="L17" i="42"/>
  <c r="K17" i="42"/>
  <c r="L14" i="42"/>
  <c r="K14" i="42"/>
  <c r="L11" i="42"/>
  <c r="K11" i="42"/>
  <c r="L10" i="42"/>
  <c r="K10" i="42"/>
  <c r="L9" i="42"/>
  <c r="K9" i="42"/>
  <c r="L6" i="42"/>
  <c r="K6" i="42"/>
  <c r="L12" i="41"/>
  <c r="K12" i="41"/>
  <c r="L9" i="41"/>
  <c r="K9" i="41"/>
  <c r="L6" i="41"/>
  <c r="K6" i="41"/>
  <c r="L7" i="40"/>
  <c r="K7" i="40"/>
  <c r="L6" i="40"/>
  <c r="K6" i="40"/>
  <c r="L18" i="39"/>
  <c r="K18" i="39"/>
  <c r="L15" i="39"/>
  <c r="K15" i="39"/>
  <c r="L12" i="39"/>
  <c r="K12" i="39"/>
  <c r="L9" i="39"/>
  <c r="K9" i="39"/>
  <c r="L6" i="39"/>
  <c r="K6" i="39"/>
  <c r="L6" i="38"/>
  <c r="K6" i="38"/>
  <c r="L24" i="36"/>
  <c r="K24" i="36"/>
  <c r="L21" i="36"/>
  <c r="K21" i="36"/>
  <c r="L20" i="36"/>
  <c r="K20" i="36"/>
  <c r="L17" i="36"/>
  <c r="K17" i="36"/>
  <c r="L16" i="36"/>
  <c r="K16" i="36"/>
  <c r="L13" i="36"/>
  <c r="L12" i="36"/>
  <c r="K12" i="36"/>
  <c r="L9" i="36"/>
  <c r="K9" i="36"/>
  <c r="L6" i="36"/>
  <c r="K6" i="36"/>
  <c r="L32" i="35"/>
  <c r="K32" i="35"/>
  <c r="L29" i="35"/>
  <c r="K29" i="35"/>
  <c r="L28" i="35"/>
  <c r="K28" i="35"/>
  <c r="L25" i="35"/>
  <c r="K25" i="35"/>
  <c r="L24" i="35"/>
  <c r="K24" i="35"/>
  <c r="L23" i="35"/>
  <c r="K23" i="35"/>
  <c r="L22" i="35"/>
  <c r="K22" i="35"/>
  <c r="L19" i="35"/>
  <c r="K19" i="35"/>
  <c r="L16" i="35"/>
  <c r="K16" i="35"/>
  <c r="L13" i="35"/>
  <c r="K13" i="35"/>
  <c r="L10" i="35"/>
  <c r="K10" i="35"/>
  <c r="L9" i="35"/>
  <c r="K9" i="35"/>
  <c r="L6" i="35"/>
  <c r="K6" i="35"/>
  <c r="L15" i="34"/>
  <c r="K15" i="34"/>
  <c r="L12" i="34"/>
  <c r="K12" i="34"/>
  <c r="L9" i="34"/>
  <c r="K9" i="34"/>
  <c r="L6" i="34"/>
  <c r="K6" i="34"/>
  <c r="L13" i="33"/>
  <c r="K13" i="33"/>
  <c r="L10" i="33"/>
  <c r="K10" i="33"/>
  <c r="L7" i="33"/>
  <c r="K7" i="33"/>
  <c r="L6" i="33"/>
  <c r="K6" i="33"/>
  <c r="T15" i="32"/>
  <c r="S15" i="32"/>
  <c r="T12" i="32"/>
  <c r="S12" i="32"/>
  <c r="T9" i="32"/>
  <c r="S9" i="32"/>
  <c r="T6" i="32"/>
  <c r="S6" i="32"/>
  <c r="T12" i="31"/>
  <c r="S12" i="31"/>
  <c r="T9" i="31"/>
  <c r="S9" i="31"/>
  <c r="T6" i="31"/>
  <c r="S6" i="31"/>
  <c r="T6" i="30"/>
  <c r="S6" i="30"/>
  <c r="T11" i="29"/>
  <c r="S11" i="29"/>
  <c r="T10" i="29"/>
  <c r="S10" i="29"/>
  <c r="T7" i="29"/>
  <c r="S7" i="29"/>
  <c r="T6" i="29"/>
  <c r="S6" i="29"/>
  <c r="L9" i="28"/>
  <c r="K9" i="28"/>
  <c r="L6" i="28"/>
  <c r="K6" i="28"/>
  <c r="L25" i="13"/>
  <c r="K25" i="13"/>
  <c r="L22" i="13"/>
  <c r="K22" i="13"/>
  <c r="L19" i="13"/>
  <c r="K19" i="13"/>
  <c r="L18" i="13"/>
  <c r="K18" i="13"/>
  <c r="L15" i="13"/>
  <c r="L14" i="13"/>
  <c r="K14" i="13"/>
  <c r="L13" i="13"/>
  <c r="K13" i="13"/>
  <c r="L10" i="13"/>
  <c r="K10" i="13"/>
  <c r="L9" i="13"/>
  <c r="K9" i="13"/>
  <c r="L6" i="13"/>
  <c r="K6" i="13"/>
  <c r="L6" i="12"/>
  <c r="K6" i="12"/>
</calcChain>
</file>

<file path=xl/sharedStrings.xml><?xml version="1.0" encoding="utf-8"?>
<sst xmlns="http://schemas.openxmlformats.org/spreadsheetml/2006/main" count="1233" uniqueCount="434">
  <si>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</si>
  <si>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</si>
  <si>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</si>
  <si>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</si>
  <si>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</si>
  <si>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</si>
  <si>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</si>
  <si>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</si>
  <si>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>Результат</t>
  </si>
  <si>
    <t>75,0</t>
  </si>
  <si>
    <t>80,0</t>
  </si>
  <si>
    <t>82,5</t>
  </si>
  <si>
    <t>40,0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</si>
  <si>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</si>
  <si>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</si>
  <si>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</si>
  <si>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</si>
  <si>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</si>
  <si>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</t>
  </si>
  <si>
    <t>Беляков Олег</t>
  </si>
  <si>
    <t>69,00</t>
  </si>
  <si>
    <t>52,5</t>
  </si>
  <si>
    <t>57,5</t>
  </si>
  <si>
    <t>60,0</t>
  </si>
  <si>
    <t xml:space="preserve">Трухтанов Павел </t>
  </si>
  <si>
    <t>Семенов Андрей</t>
  </si>
  <si>
    <t>78,80</t>
  </si>
  <si>
    <t>72,5</t>
  </si>
  <si>
    <t>85,0</t>
  </si>
  <si>
    <t xml:space="preserve">Результат </t>
  </si>
  <si>
    <t>ВЕСОВАЯ КАТЕГОРИЯ   82.5</t>
  </si>
  <si>
    <t>Ефимовский Кирилл</t>
  </si>
  <si>
    <t>82,10</t>
  </si>
  <si>
    <t>65,0</t>
  </si>
  <si>
    <t>70,0</t>
  </si>
  <si>
    <t xml:space="preserve">Юниоры </t>
  </si>
  <si>
    <t xml:space="preserve">Gloss </t>
  </si>
  <si>
    <t>82.5</t>
  </si>
  <si>
    <t>ВЕСОВАЯ КАТЕГОРИЯ   56</t>
  </si>
  <si>
    <t>Горожанина Ольга</t>
  </si>
  <si>
    <t>Открытая (05.11.1983)/39</t>
  </si>
  <si>
    <t>55,80</t>
  </si>
  <si>
    <t>25,0</t>
  </si>
  <si>
    <t>27,5</t>
  </si>
  <si>
    <t>30,0</t>
  </si>
  <si>
    <t>ВЕСОВАЯ КАТЕГОРИЯ   67.5</t>
  </si>
  <si>
    <t>Воронин Тимофей</t>
  </si>
  <si>
    <t>65,90</t>
  </si>
  <si>
    <t>45,0</t>
  </si>
  <si>
    <t>47,5</t>
  </si>
  <si>
    <t>Сабирзянов Тимур</t>
  </si>
  <si>
    <t>Открытая (12.05.2003)/19</t>
  </si>
  <si>
    <t>64,90</t>
  </si>
  <si>
    <t xml:space="preserve">Горожанина Ольга </t>
  </si>
  <si>
    <t>ВЕСОВАЯ КАТЕГОРИЯ   75</t>
  </si>
  <si>
    <t>Власов Александр</t>
  </si>
  <si>
    <t>Открытая (18.10.1998)/24</t>
  </si>
  <si>
    <t>72,80</t>
  </si>
  <si>
    <t>62,5</t>
  </si>
  <si>
    <t>Колесник Виталий</t>
  </si>
  <si>
    <t>74,40</t>
  </si>
  <si>
    <t>55,0</t>
  </si>
  <si>
    <t xml:space="preserve">Вавилов Сергей </t>
  </si>
  <si>
    <t>37,5</t>
  </si>
  <si>
    <t>Летвяков Андрей</t>
  </si>
  <si>
    <t>Открытая (26.06.1986)/36</t>
  </si>
  <si>
    <t>82,20</t>
  </si>
  <si>
    <t>50,0</t>
  </si>
  <si>
    <t>ВЕСОВАЯ КАТЕГОРИЯ   90</t>
  </si>
  <si>
    <t>Князев Андрей</t>
  </si>
  <si>
    <t>83,20</t>
  </si>
  <si>
    <t>67,5</t>
  </si>
  <si>
    <t xml:space="preserve">Арусланов Шамиль </t>
  </si>
  <si>
    <t>ВЕСОВАЯ КАТЕГОРИЯ   100</t>
  </si>
  <si>
    <t>Аистов Артем</t>
  </si>
  <si>
    <t>Открытая (11.05.1996)/26</t>
  </si>
  <si>
    <t>94,50</t>
  </si>
  <si>
    <t xml:space="preserve">Женщины </t>
  </si>
  <si>
    <t>67.5</t>
  </si>
  <si>
    <t>75</t>
  </si>
  <si>
    <t>90</t>
  </si>
  <si>
    <t>-</t>
  </si>
  <si>
    <t>Чернева Марина</t>
  </si>
  <si>
    <t>81,20</t>
  </si>
  <si>
    <t>42,5</t>
  </si>
  <si>
    <t>Ключников Леонид</t>
  </si>
  <si>
    <t>66,60</t>
  </si>
  <si>
    <t xml:space="preserve">Ключников Виктор </t>
  </si>
  <si>
    <t>Сылка Виталий</t>
  </si>
  <si>
    <t>80,30</t>
  </si>
  <si>
    <t>90,00</t>
  </si>
  <si>
    <t>ВЕСОВАЯ КАТЕГОРИЯ   125</t>
  </si>
  <si>
    <t>120,0</t>
  </si>
  <si>
    <t>125,0</t>
  </si>
  <si>
    <t>132,5</t>
  </si>
  <si>
    <t>87,5</t>
  </si>
  <si>
    <t>125</t>
  </si>
  <si>
    <t>32,5</t>
  </si>
  <si>
    <t>35,0</t>
  </si>
  <si>
    <t xml:space="preserve">Стецко Юрий </t>
  </si>
  <si>
    <t>Дементьев Илья</t>
  </si>
  <si>
    <t>87,90</t>
  </si>
  <si>
    <t>77,5</t>
  </si>
  <si>
    <t>Хабибуллин Динар</t>
  </si>
  <si>
    <t>96,90</t>
  </si>
  <si>
    <t>90,0</t>
  </si>
  <si>
    <t>100,0</t>
  </si>
  <si>
    <t>Жим лёжа</t>
  </si>
  <si>
    <t>Воровкин Максим</t>
  </si>
  <si>
    <t>Мастера 40-49 (31.03.1980)/42</t>
  </si>
  <si>
    <t>65,00</t>
  </si>
  <si>
    <t>ВЕСОВАЯ КАТЕГОРИЯ   110</t>
  </si>
  <si>
    <t>Титов Андрей</t>
  </si>
  <si>
    <t>Мастера 40-49 (15.11.1977)/45</t>
  </si>
  <si>
    <t>110,00</t>
  </si>
  <si>
    <t>105,0</t>
  </si>
  <si>
    <t>107,5</t>
  </si>
  <si>
    <t xml:space="preserve">Мастера 40-49 </t>
  </si>
  <si>
    <t>110</t>
  </si>
  <si>
    <t>Приседание</t>
  </si>
  <si>
    <t>Становая тяга</t>
  </si>
  <si>
    <t>Лазарев Вячеслав</t>
  </si>
  <si>
    <t>Открытая (21.05.1998)/24</t>
  </si>
  <si>
    <t>93,30</t>
  </si>
  <si>
    <t>250,0</t>
  </si>
  <si>
    <t>260,0</t>
  </si>
  <si>
    <t>160,0</t>
  </si>
  <si>
    <t>180,0</t>
  </si>
  <si>
    <t>200,0</t>
  </si>
  <si>
    <t>240,0</t>
  </si>
  <si>
    <t>270,0</t>
  </si>
  <si>
    <t xml:space="preserve">Пальцев Роман </t>
  </si>
  <si>
    <t>Нестеров Евгений</t>
  </si>
  <si>
    <t>Мастера 40-49 (22.12.1974)/47</t>
  </si>
  <si>
    <t>98,70</t>
  </si>
  <si>
    <t>225,0</t>
  </si>
  <si>
    <t>235,0</t>
  </si>
  <si>
    <t>130,0</t>
  </si>
  <si>
    <t>140,0</t>
  </si>
  <si>
    <t>142,5</t>
  </si>
  <si>
    <t>237,5</t>
  </si>
  <si>
    <t>245,0</t>
  </si>
  <si>
    <t>Захаров Никита</t>
  </si>
  <si>
    <t>Открытая (31.08.1998)/24</t>
  </si>
  <si>
    <t>106,90</t>
  </si>
  <si>
    <t>280,0</t>
  </si>
  <si>
    <t>290,0</t>
  </si>
  <si>
    <t>145,0</t>
  </si>
  <si>
    <t>155,0</t>
  </si>
  <si>
    <t>265,0</t>
  </si>
  <si>
    <t xml:space="preserve">Луговой Александр </t>
  </si>
  <si>
    <t>Елютин Андрей</t>
  </si>
  <si>
    <t>Открытая (13.02.1986)/36</t>
  </si>
  <si>
    <t>108,60</t>
  </si>
  <si>
    <t>220,0</t>
  </si>
  <si>
    <t>150,0</t>
  </si>
  <si>
    <t>285,0</t>
  </si>
  <si>
    <t>2</t>
  </si>
  <si>
    <t>ВЕСОВАЯ КАТЕГОРИЯ   60</t>
  </si>
  <si>
    <t>Кузнецова Евгения</t>
  </si>
  <si>
    <t>Открытая (31.12.1989)/32</t>
  </si>
  <si>
    <t>60,00</t>
  </si>
  <si>
    <t>92,5</t>
  </si>
  <si>
    <t>97,5</t>
  </si>
  <si>
    <t>102,5</t>
  </si>
  <si>
    <t>95,0</t>
  </si>
  <si>
    <t xml:space="preserve">Захаров Никита </t>
  </si>
  <si>
    <t>60</t>
  </si>
  <si>
    <t>Казачков Иван</t>
  </si>
  <si>
    <t>Открытая (01.04.1989)/33</t>
  </si>
  <si>
    <t>98,80</t>
  </si>
  <si>
    <t>277,5</t>
  </si>
  <si>
    <t>172,5</t>
  </si>
  <si>
    <t>185,0</t>
  </si>
  <si>
    <t>305,0</t>
  </si>
  <si>
    <t>Зайцев Владимир</t>
  </si>
  <si>
    <t>Мастера 70-79 (02.11.1949)/73</t>
  </si>
  <si>
    <t>104,90</t>
  </si>
  <si>
    <t>115,0</t>
  </si>
  <si>
    <t>165,0</t>
  </si>
  <si>
    <t>Голев Николай</t>
  </si>
  <si>
    <t>Открытая (23.03.1989)/33</t>
  </si>
  <si>
    <t>110,50</t>
  </si>
  <si>
    <t>210,0</t>
  </si>
  <si>
    <t>230,0</t>
  </si>
  <si>
    <t>170,0</t>
  </si>
  <si>
    <t>175,0</t>
  </si>
  <si>
    <t>255,0</t>
  </si>
  <si>
    <t xml:space="preserve">Смирнов Дмитрий </t>
  </si>
  <si>
    <t>Терентьева Юлия</t>
  </si>
  <si>
    <t>Открытая (21.03.1985)/37</t>
  </si>
  <si>
    <t>66,90</t>
  </si>
  <si>
    <t xml:space="preserve">Варакина Екатерина </t>
  </si>
  <si>
    <t>Коновалов Евгений</t>
  </si>
  <si>
    <t>Юниоры (08.04.1999)/23</t>
  </si>
  <si>
    <t>59,60</t>
  </si>
  <si>
    <t>112,5</t>
  </si>
  <si>
    <t>Пискунов Кирилл</t>
  </si>
  <si>
    <t>Юноши 17-19 (21.10.2004)/18</t>
  </si>
  <si>
    <t>65,30</t>
  </si>
  <si>
    <t>110,0</t>
  </si>
  <si>
    <t xml:space="preserve">Луцук Виталий </t>
  </si>
  <si>
    <t>Карпунин Сергей</t>
  </si>
  <si>
    <t>Открытая (18.10.1987)/35</t>
  </si>
  <si>
    <t>192,5</t>
  </si>
  <si>
    <t>202,5</t>
  </si>
  <si>
    <t>207,5</t>
  </si>
  <si>
    <t>212,5</t>
  </si>
  <si>
    <t>Замятина Наталья</t>
  </si>
  <si>
    <t>Открытая (14.04.1980)/42</t>
  </si>
  <si>
    <t>71,00</t>
  </si>
  <si>
    <t xml:space="preserve">Замятин Игорь </t>
  </si>
  <si>
    <t>Мастера 40-49 (14.04.1980)/42</t>
  </si>
  <si>
    <t>Мелконян Тигран</t>
  </si>
  <si>
    <t>Юниоры (29.09.1999)/23</t>
  </si>
  <si>
    <t>68,50</t>
  </si>
  <si>
    <t xml:space="preserve">ARM/Ереван </t>
  </si>
  <si>
    <t>Луцук Виталий</t>
  </si>
  <si>
    <t>Открытая (20.03.1991)/31</t>
  </si>
  <si>
    <t>100,00</t>
  </si>
  <si>
    <t>Кравцов Глеб</t>
  </si>
  <si>
    <t>Открытая (06.02.1998)/24</t>
  </si>
  <si>
    <t>71,90</t>
  </si>
  <si>
    <t>Турланов Батырхан</t>
  </si>
  <si>
    <t>Открытая (14.08.1991)/31</t>
  </si>
  <si>
    <t>85,70</t>
  </si>
  <si>
    <t xml:space="preserve">KAZ/Уральск </t>
  </si>
  <si>
    <t>157,5</t>
  </si>
  <si>
    <t>Семин Сергей</t>
  </si>
  <si>
    <t>Открытая (09.02.1978)/44</t>
  </si>
  <si>
    <t>107,40</t>
  </si>
  <si>
    <t>152,5</t>
  </si>
  <si>
    <t>Богданов Алексей</t>
  </si>
  <si>
    <t>Мастера 40-49 (25.07.1981)/41</t>
  </si>
  <si>
    <t>122,20</t>
  </si>
  <si>
    <t>182,5</t>
  </si>
  <si>
    <t>ВЕСОВАЯ КАТЕГОРИЯ   48</t>
  </si>
  <si>
    <t>Бетурлакина Анна</t>
  </si>
  <si>
    <t>Девушки 14-16 (11.07.2009)/13</t>
  </si>
  <si>
    <t>46,70</t>
  </si>
  <si>
    <t xml:space="preserve">Хитрин Дмитрий </t>
  </si>
  <si>
    <t>Варакина Екатерина</t>
  </si>
  <si>
    <t>Открытая (14.07.1995)/27</t>
  </si>
  <si>
    <t>74,70</t>
  </si>
  <si>
    <t>Губанов Александр</t>
  </si>
  <si>
    <t>Мастера 70-79 (06.02.1951)/71</t>
  </si>
  <si>
    <t>67,00</t>
  </si>
  <si>
    <t>Ковалев Анатолий</t>
  </si>
  <si>
    <t>Мастера 80+ (11.08.1936)/86</t>
  </si>
  <si>
    <t>81,40</t>
  </si>
  <si>
    <t>Севрюков Евгений</t>
  </si>
  <si>
    <t>Открытая (08.07.1991)/31</t>
  </si>
  <si>
    <t>83,90</t>
  </si>
  <si>
    <t>195,0</t>
  </si>
  <si>
    <t>205,0</t>
  </si>
  <si>
    <t>Орехов Александр</t>
  </si>
  <si>
    <t>Открытая (22.07.1994)/28</t>
  </si>
  <si>
    <t>89,30</t>
  </si>
  <si>
    <t>162,5</t>
  </si>
  <si>
    <t>Кременицкий Артемий</t>
  </si>
  <si>
    <t>Мастера 40-49 (26.12.1980)/41</t>
  </si>
  <si>
    <t xml:space="preserve">Нестеров Евгений </t>
  </si>
  <si>
    <t>Яковлев Антон</t>
  </si>
  <si>
    <t>Юноши 14-16 (15.08.2007)/15</t>
  </si>
  <si>
    <t>97,40</t>
  </si>
  <si>
    <t>Левша Михаил</t>
  </si>
  <si>
    <t>Открытая (13.08.1988)/34</t>
  </si>
  <si>
    <t>96,80</t>
  </si>
  <si>
    <t xml:space="preserve">Филатов Евгений </t>
  </si>
  <si>
    <t>Магер Дмитрий</t>
  </si>
  <si>
    <t>Открытая (19.07.1989)/33</t>
  </si>
  <si>
    <t xml:space="preserve">Суслов Николай </t>
  </si>
  <si>
    <t xml:space="preserve">Мастера 80+ </t>
  </si>
  <si>
    <t>3</t>
  </si>
  <si>
    <t>Кнутова Татьяна</t>
  </si>
  <si>
    <t>Открытая (16.06.1972)/50</t>
  </si>
  <si>
    <t>65,40</t>
  </si>
  <si>
    <t>177,5</t>
  </si>
  <si>
    <t>Мастера 50-59 (27.07.1969)/53</t>
  </si>
  <si>
    <t>127,5</t>
  </si>
  <si>
    <t>135,0</t>
  </si>
  <si>
    <t>Филатов Алексей</t>
  </si>
  <si>
    <t>Юниоры (07.05.2002)/20</t>
  </si>
  <si>
    <t xml:space="preserve">Лагутин Евгений </t>
  </si>
  <si>
    <t>Диков Александр</t>
  </si>
  <si>
    <t>Открытая (29.03.1970)/52</t>
  </si>
  <si>
    <t>108,30</t>
  </si>
  <si>
    <t>Побежимов Владимир</t>
  </si>
  <si>
    <t>Открытая (21.03.1987)/35</t>
  </si>
  <si>
    <t>101,00</t>
  </si>
  <si>
    <t>Бутузов Сергей</t>
  </si>
  <si>
    <t>Мастера 40-49 (29.11.1981)/41</t>
  </si>
  <si>
    <t>122,40</t>
  </si>
  <si>
    <t>Яковлев Максим</t>
  </si>
  <si>
    <t>Открытая (17.06.1982)/40</t>
  </si>
  <si>
    <t>86,70</t>
  </si>
  <si>
    <t>190,0</t>
  </si>
  <si>
    <t>Мастера 50-59 (27.09.1970)/52</t>
  </si>
  <si>
    <t>Головин Иван</t>
  </si>
  <si>
    <t>Юноши 17-19 (28.12.2003)/18</t>
  </si>
  <si>
    <t>67,50</t>
  </si>
  <si>
    <t>117,5</t>
  </si>
  <si>
    <t>122,5</t>
  </si>
  <si>
    <t>Мастера 40-49 (03.02.1974)/48</t>
  </si>
  <si>
    <t>ВЕСОВАЯ КАТЕГОРИЯ   140</t>
  </si>
  <si>
    <t>Михайлов Максим</t>
  </si>
  <si>
    <t>Открытая (05.08.1997)/25</t>
  </si>
  <si>
    <t>127,80</t>
  </si>
  <si>
    <t xml:space="preserve">Мастера 50-59 </t>
  </si>
  <si>
    <t>Грищенко Андрей</t>
  </si>
  <si>
    <t>Открытая (19.06.1996)/26</t>
  </si>
  <si>
    <t>310,0</t>
  </si>
  <si>
    <t>325,0</t>
  </si>
  <si>
    <t>337,5</t>
  </si>
  <si>
    <t>Омельяненко Максим</t>
  </si>
  <si>
    <t>Открытая (29.06.1991)/31</t>
  </si>
  <si>
    <t>87,60</t>
  </si>
  <si>
    <t>215,0</t>
  </si>
  <si>
    <t xml:space="preserve">Конопацкий Владимир </t>
  </si>
  <si>
    <t>Андросов Сергей</t>
  </si>
  <si>
    <t>Мастера 40-49 (07.03.1975)/47</t>
  </si>
  <si>
    <t>80,10</t>
  </si>
  <si>
    <t>Гридин Роман</t>
  </si>
  <si>
    <t>Мастера 50-59 (28.01.1972)/50</t>
  </si>
  <si>
    <t>85,90</t>
  </si>
  <si>
    <t>Новлянский Виктор</t>
  </si>
  <si>
    <t>Мастера 50-59 (01.11.1965)/57</t>
  </si>
  <si>
    <t>109,10</t>
  </si>
  <si>
    <t xml:space="preserve">Гераймас Александр </t>
  </si>
  <si>
    <t>Дармина Марина</t>
  </si>
  <si>
    <t>Открытая (26.09.1986)/36</t>
  </si>
  <si>
    <t>64,20</t>
  </si>
  <si>
    <t>Егорова Ольга</t>
  </si>
  <si>
    <t>Мастера 40-49 (14.03.1975)/47</t>
  </si>
  <si>
    <t>62,50</t>
  </si>
  <si>
    <t>Севрюкова Светлана</t>
  </si>
  <si>
    <t>Мастера 50-59 (07.02.1968)/54</t>
  </si>
  <si>
    <t>72,60</t>
  </si>
  <si>
    <t xml:space="preserve">Егорова Ольга </t>
  </si>
  <si>
    <t>Ткачун Елена</t>
  </si>
  <si>
    <t>Мастера 60-69 (10.05.1961)/61</t>
  </si>
  <si>
    <t xml:space="preserve">Съёмщиков Игорь </t>
  </si>
  <si>
    <t>ВЕСОВАЯ КАТЕГОРИЯ   90+</t>
  </si>
  <si>
    <t>Андреева Ангелина</t>
  </si>
  <si>
    <t>Открытая (30.05.1995)/27</t>
  </si>
  <si>
    <t>102,70</t>
  </si>
  <si>
    <t xml:space="preserve">Овинов Сергей </t>
  </si>
  <si>
    <t>Горшков Даниил</t>
  </si>
  <si>
    <t>Юноши 14-16 (22.12.2006)/15</t>
  </si>
  <si>
    <t>63,90</t>
  </si>
  <si>
    <t>Юноши 14-16 (12.07.2008)/14</t>
  </si>
  <si>
    <t>Савинов Олег</t>
  </si>
  <si>
    <t>Открытая (15.07.1989)/33</t>
  </si>
  <si>
    <t>66,30</t>
  </si>
  <si>
    <t>Юноши 17-19 (02.08.2005)/17</t>
  </si>
  <si>
    <t>Юноши 17-19 (28.06.2003)/19</t>
  </si>
  <si>
    <t>Овинов Сергей</t>
  </si>
  <si>
    <t>Открытая (17.09.1976)/46</t>
  </si>
  <si>
    <t>97,90</t>
  </si>
  <si>
    <t>227,5</t>
  </si>
  <si>
    <t xml:space="preserve">Мастера 60-69 </t>
  </si>
  <si>
    <t>Конопацкий Владимир</t>
  </si>
  <si>
    <t>Мастера 40-49 (06.08.1973)/49</t>
  </si>
  <si>
    <t>112,10</t>
  </si>
  <si>
    <t>275,0</t>
  </si>
  <si>
    <t>300,0</t>
  </si>
  <si>
    <t>317,5</t>
  </si>
  <si>
    <t>Лебедев Сергей</t>
  </si>
  <si>
    <t>Открытая (23.09.1994)/28</t>
  </si>
  <si>
    <t>74,00</t>
  </si>
  <si>
    <t>Чернявский Вадим</t>
  </si>
  <si>
    <t>Открытая (04.08.1998)/24</t>
  </si>
  <si>
    <t>Семягин Илья</t>
  </si>
  <si>
    <t>Открытая (30.09.1994)/28</t>
  </si>
  <si>
    <t>Мастера 40-49 (07.08.1982)/40</t>
  </si>
  <si>
    <t>Юноши 13-19 (08.06.2005)/17</t>
  </si>
  <si>
    <t>Мастера 50-59 (17.07.1970)/52</t>
  </si>
  <si>
    <t>Мастера 50-59 (07.09.1963)/59</t>
  </si>
  <si>
    <t>Юниоры 20-23 (05.04.2000)/22</t>
  </si>
  <si>
    <t>Открытый Кубок Евразии WRPF
WRPF Силовое двоеборье без экипировки ДК
Самара/Самарская область, 10 декабря 2022 года</t>
  </si>
  <si>
    <t>Открытый Кубок Евразии WRPF
WEPF Становая тяга в экипировке
Самара/Самарская область, 10 декабря 2022 года</t>
  </si>
  <si>
    <t>Открытый Кубок Евразии WRPF
WRPF Становая тяга без экипировки ДК
Самара/Самарская область, 10 декабря 2022 года</t>
  </si>
  <si>
    <t>Открытый Кубок Евразии WRPF
WRPF Становая тяга без экипировки
Самара/Самарская область, 10 декабря 2022 года</t>
  </si>
  <si>
    <t>Открытый Кубок Евразии WRPF
WEPF Жим лежа в многопетельной софт экипировке
Самара/Самарская область, 10 декабря 2022 года</t>
  </si>
  <si>
    <t>Открытый Кубок Евразии WRPF
WRPF Военный жим лежа с ДК
Самара/Самарская область, 10 декабря 2022 года</t>
  </si>
  <si>
    <t>Открытый Кубок Евразии WRPF
WEPF Жим лежа в однослойной экипировке
Самара/Самарская область, 10 декабря 2022 года</t>
  </si>
  <si>
    <t>Открытый Кубок Евразии WRPF
WRPF Жим лежа без экипировки ДК
Самара/Самарская область, 10 декабря 2022 года</t>
  </si>
  <si>
    <t>Открытый Кубок Евразии WRPF
WRPF Жим лежа без экипировки
Самара/Самарская область, 10 декабря 2022 года</t>
  </si>
  <si>
    <t>Открытый Кубок Евразии WRPF
WRPF Военный жим лежа
Самара/Самарская область, 10 декабря 2022 года</t>
  </si>
  <si>
    <t>Открытый Кубок Евразии WRPF
WEPF Жим лежа в однопетельной софт экипировке
Самара/Самарская область, 10 декабря 2022 года</t>
  </si>
  <si>
    <t>Открытый Кубок Евразии WRPF
WRPF Пауэрлифтинг без экипировки ДК
Самара/Самарская область, 10 декабря 2022 года</t>
  </si>
  <si>
    <t>Открытый Кубок Евразии WRPF
WRPF Пауэрлифтинг без экипировки
Самара/Самарская область, 10 декабря 2022 года</t>
  </si>
  <si>
    <t>Открытый Кубок Евразии WRPF
WRPF Пауэрлифтинг классический в бинтах ДК
Самара/Самарская область, 10 декабря 2022 года</t>
  </si>
  <si>
    <t>Открытый Кубок Евразии WRPF
WRPF Пауэрлифтинг классический в бинтах
Самара/Самарская область, 10 декабря 2022 года</t>
  </si>
  <si>
    <t>Открытый Кубок Евразии WRPF
WRPF Жим лежа среди спортсменов с физическими особенностями
Самара/Самарская область, 10 декабря 2022 года</t>
  </si>
  <si>
    <t>Открытый Кубок Евразии WRPF
WRPF Строгий подъем штанги на бицепс ДК
Самара/Самарская область, 10 декабря 2022 года</t>
  </si>
  <si>
    <t>Открытый Кубок Евразии WRPF
WRPF Строгий подъем штанги на бицепс
Самара/Самарская область, 10 декабря 2022 года</t>
  </si>
  <si>
    <t>Весовая категория</t>
  </si>
  <si>
    <t>Брославский Владислав, Мамедов Эмин</t>
  </si>
  <si>
    <t>Луговой Александр</t>
  </si>
  <si>
    <t xml:space="preserve">Самара </t>
  </si>
  <si>
    <t xml:space="preserve">Бузулук </t>
  </si>
  <si>
    <t xml:space="preserve">Тольятти </t>
  </si>
  <si>
    <t xml:space="preserve">Орск </t>
  </si>
  <si>
    <t xml:space="preserve">Чапаевск </t>
  </si>
  <si>
    <t xml:space="preserve">Чистополь </t>
  </si>
  <si>
    <t xml:space="preserve">Ульяновск </t>
  </si>
  <si>
    <t xml:space="preserve">Димитровград </t>
  </si>
  <si>
    <t xml:space="preserve"> Тоцкое </t>
  </si>
  <si>
    <t xml:space="preserve">Инза </t>
  </si>
  <si>
    <t xml:space="preserve">Зеленодольск </t>
  </si>
  <si>
    <t xml:space="preserve">Сорочинск </t>
  </si>
  <si>
    <t xml:space="preserve">Кинель-Черкассы </t>
  </si>
  <si>
    <t xml:space="preserve">Кинель </t>
  </si>
  <si>
    <t xml:space="preserve">Пенза </t>
  </si>
  <si>
    <t xml:space="preserve"> Новокуйбышевск </t>
  </si>
  <si>
    <t xml:space="preserve">Новокуйбышевск </t>
  </si>
  <si>
    <t xml:space="preserve">Набережные Челны </t>
  </si>
  <si>
    <t xml:space="preserve">Алатырь </t>
  </si>
  <si>
    <t xml:space="preserve">Уральск </t>
  </si>
  <si>
    <t>№</t>
  </si>
  <si>
    <t>Жим</t>
  </si>
  <si>
    <t xml:space="preserve">
Дата рождения/Возраст</t>
  </si>
  <si>
    <t>Возрастная группа</t>
  </si>
  <si>
    <t>O</t>
  </si>
  <si>
    <t>J</t>
  </si>
  <si>
    <t>T2</t>
  </si>
  <si>
    <t>M4</t>
  </si>
  <si>
    <t>M1</t>
  </si>
  <si>
    <t>M2</t>
  </si>
  <si>
    <t>T1</t>
  </si>
  <si>
    <t>M5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</si>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</sst>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54" t="s">
        <v>390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119</v>
      </c>
      <c r="H3" s="66"/>
      <c r="I3" s="66"/>
      <c r="J3" s="66"/>
      <c r="K3" s="66" t="s">
        <v>107</v>
      </c>
      <c r="L3" s="66"/>
      <c r="M3" s="66"/>
      <c r="N3" s="66"/>
      <c r="O3" s="66" t="s">
        <v>120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45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9" t="s">
        <v>18</v>
      </c>
      <c r="B6" s="11" t="s">
        <v>189</v>
      </c>
      <c r="C6" s="11" t="s">
        <v>190</v>
      </c>
      <c r="D6" s="11" t="s">
        <v>191</v>
      </c>
      <c r="E6" s="12" t="s">
        <v>424</v>
      </c>
      <c r="F6" s="11" t="s">
        <v>400</v>
      </c>
      <c r="G6" s="20" t="s">
        <v>61</v>
      </c>
      <c r="H6" s="20" t="s">
        <v>23</v>
      </c>
      <c r="I6" s="20" t="s">
        <v>33</v>
      </c>
      <c r="J6" s="19"/>
      <c r="K6" s="20" t="s">
        <v>98</v>
      </c>
      <c r="L6" s="20" t="s">
        <v>63</v>
      </c>
      <c r="M6" s="20" t="s">
        <v>12</v>
      </c>
      <c r="N6" s="19"/>
      <c r="O6" s="20" t="s">
        <v>9</v>
      </c>
      <c r="P6" s="20" t="s">
        <v>10</v>
      </c>
      <c r="Q6" s="20" t="s">
        <v>28</v>
      </c>
      <c r="R6" s="19"/>
      <c r="S6" s="13" t="str">
        <f>"190,0"</f>
        <v>190,0</v>
      </c>
      <c r="T6" s="13" t="str">
        <f>"195,1680"</f>
        <v>195,1680</v>
      </c>
      <c r="U6" s="11" t="s">
        <v>192</v>
      </c>
    </row>
    <row r="8" spans="1:21" ht="16">
      <c r="A8" s="44" t="s">
        <v>158</v>
      </c>
      <c r="B8" s="44"/>
      <c r="C8" s="44"/>
      <c r="D8" s="44"/>
      <c r="E8" s="45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19" t="s">
        <v>18</v>
      </c>
      <c r="B9" s="11" t="s">
        <v>193</v>
      </c>
      <c r="C9" s="11" t="s">
        <v>194</v>
      </c>
      <c r="D9" s="11" t="s">
        <v>195</v>
      </c>
      <c r="E9" s="12" t="s">
        <v>425</v>
      </c>
      <c r="F9" s="11" t="s">
        <v>400</v>
      </c>
      <c r="G9" s="20" t="s">
        <v>92</v>
      </c>
      <c r="H9" s="20" t="s">
        <v>137</v>
      </c>
      <c r="I9" s="20" t="s">
        <v>138</v>
      </c>
      <c r="J9" s="19"/>
      <c r="K9" s="20" t="s">
        <v>106</v>
      </c>
      <c r="L9" s="20" t="s">
        <v>116</v>
      </c>
      <c r="M9" s="20" t="s">
        <v>196</v>
      </c>
      <c r="N9" s="19"/>
      <c r="O9" s="20" t="s">
        <v>126</v>
      </c>
      <c r="P9" s="20" t="s">
        <v>185</v>
      </c>
      <c r="Q9" s="20" t="s">
        <v>186</v>
      </c>
      <c r="R9" s="19"/>
      <c r="S9" s="13" t="str">
        <f>"427,5"</f>
        <v>427,5</v>
      </c>
      <c r="T9" s="13" t="str">
        <f>"366,8377"</f>
        <v>366,8377</v>
      </c>
      <c r="U9" s="11"/>
    </row>
    <row r="11" spans="1:21" ht="16">
      <c r="A11" s="44" t="s">
        <v>45</v>
      </c>
      <c r="B11" s="44"/>
      <c r="C11" s="44"/>
      <c r="D11" s="44"/>
      <c r="E11" s="45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>
      <c r="A12" s="19" t="s">
        <v>18</v>
      </c>
      <c r="B12" s="11" t="s">
        <v>197</v>
      </c>
      <c r="C12" s="11" t="s">
        <v>198</v>
      </c>
      <c r="D12" s="11" t="s">
        <v>199</v>
      </c>
      <c r="E12" s="12" t="s">
        <v>426</v>
      </c>
      <c r="F12" s="11" t="s">
        <v>400</v>
      </c>
      <c r="G12" s="20" t="s">
        <v>106</v>
      </c>
      <c r="H12" s="20" t="s">
        <v>200</v>
      </c>
      <c r="I12" s="21" t="s">
        <v>178</v>
      </c>
      <c r="J12" s="19"/>
      <c r="K12" s="20" t="s">
        <v>34</v>
      </c>
      <c r="L12" s="20" t="s">
        <v>10</v>
      </c>
      <c r="M12" s="21" t="s">
        <v>28</v>
      </c>
      <c r="N12" s="19"/>
      <c r="O12" s="20" t="s">
        <v>106</v>
      </c>
      <c r="P12" s="20" t="s">
        <v>200</v>
      </c>
      <c r="Q12" s="20" t="s">
        <v>178</v>
      </c>
      <c r="R12" s="19"/>
      <c r="S12" s="13" t="str">
        <f>"305,0"</f>
        <v>305,0</v>
      </c>
      <c r="T12" s="13" t="str">
        <f>"241,6210"</f>
        <v>241,6210</v>
      </c>
      <c r="U12" s="11" t="s">
        <v>201</v>
      </c>
    </row>
    <row r="14" spans="1:21" ht="16">
      <c r="A14" s="44" t="s">
        <v>68</v>
      </c>
      <c r="B14" s="44"/>
      <c r="C14" s="44"/>
      <c r="D14" s="44"/>
      <c r="E14" s="45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21">
      <c r="A15" s="19" t="s">
        <v>18</v>
      </c>
      <c r="B15" s="11" t="s">
        <v>202</v>
      </c>
      <c r="C15" s="11" t="s">
        <v>203</v>
      </c>
      <c r="D15" s="11" t="s">
        <v>90</v>
      </c>
      <c r="E15" s="12" t="s">
        <v>424</v>
      </c>
      <c r="F15" s="11" t="s">
        <v>401</v>
      </c>
      <c r="G15" s="20" t="s">
        <v>204</v>
      </c>
      <c r="H15" s="20" t="s">
        <v>205</v>
      </c>
      <c r="I15" s="20" t="s">
        <v>206</v>
      </c>
      <c r="J15" s="19"/>
      <c r="K15" s="20" t="s">
        <v>139</v>
      </c>
      <c r="L15" s="21" t="s">
        <v>155</v>
      </c>
      <c r="M15" s="21" t="s">
        <v>155</v>
      </c>
      <c r="N15" s="19"/>
      <c r="O15" s="20" t="s">
        <v>207</v>
      </c>
      <c r="P15" s="20" t="s">
        <v>184</v>
      </c>
      <c r="Q15" s="21" t="s">
        <v>136</v>
      </c>
      <c r="R15" s="19"/>
      <c r="S15" s="13" t="str">
        <f>"580,0"</f>
        <v>580,0</v>
      </c>
      <c r="T15" s="13" t="str">
        <f>"370,2720"</f>
        <v>370,2720</v>
      </c>
      <c r="U15" s="11"/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8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54" t="s">
        <v>384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30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82</v>
      </c>
      <c r="C6" s="11" t="s">
        <v>297</v>
      </c>
      <c r="D6" s="11" t="s">
        <v>83</v>
      </c>
      <c r="E6" s="12" t="s">
        <v>429</v>
      </c>
      <c r="F6" s="11" t="s">
        <v>407</v>
      </c>
      <c r="G6" s="20" t="s">
        <v>10</v>
      </c>
      <c r="H6" s="20" t="s">
        <v>28</v>
      </c>
      <c r="I6" s="20" t="s">
        <v>95</v>
      </c>
      <c r="J6" s="19"/>
      <c r="K6" s="13" t="str">
        <f>"87,5"</f>
        <v>87,5</v>
      </c>
      <c r="L6" s="13" t="str">
        <f>"94,2656"</f>
        <v>94,2656</v>
      </c>
      <c r="M6" s="11"/>
    </row>
    <row r="8" spans="1:13" ht="16">
      <c r="A8" s="44" t="s">
        <v>45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19" t="s">
        <v>18</v>
      </c>
      <c r="B9" s="11" t="s">
        <v>298</v>
      </c>
      <c r="C9" s="11" t="s">
        <v>299</v>
      </c>
      <c r="D9" s="11" t="s">
        <v>300</v>
      </c>
      <c r="E9" s="12" t="s">
        <v>426</v>
      </c>
      <c r="F9" s="11" t="s">
        <v>400</v>
      </c>
      <c r="G9" s="20" t="s">
        <v>200</v>
      </c>
      <c r="H9" s="20" t="s">
        <v>301</v>
      </c>
      <c r="I9" s="19"/>
      <c r="J9" s="19"/>
      <c r="K9" s="13" t="str">
        <f>"117,5"</f>
        <v>117,5</v>
      </c>
      <c r="L9" s="13" t="str">
        <f>"90,5925"</f>
        <v>90,5925</v>
      </c>
      <c r="M9" s="11" t="s">
        <v>72</v>
      </c>
    </row>
    <row r="11" spans="1:13" ht="16">
      <c r="A11" s="44" t="s">
        <v>54</v>
      </c>
      <c r="B11" s="44"/>
      <c r="C11" s="44"/>
      <c r="D11" s="44"/>
      <c r="E11" s="45"/>
      <c r="F11" s="44"/>
      <c r="G11" s="44"/>
      <c r="H11" s="44"/>
      <c r="I11" s="44"/>
      <c r="J11" s="44"/>
    </row>
    <row r="12" spans="1:13">
      <c r="A12" s="19" t="s">
        <v>18</v>
      </c>
      <c r="B12" s="11" t="s">
        <v>59</v>
      </c>
      <c r="C12" s="11" t="s">
        <v>278</v>
      </c>
      <c r="D12" s="11" t="s">
        <v>60</v>
      </c>
      <c r="E12" s="12" t="s">
        <v>429</v>
      </c>
      <c r="F12" s="11" t="s">
        <v>400</v>
      </c>
      <c r="G12" s="20" t="s">
        <v>301</v>
      </c>
      <c r="H12" s="20" t="s">
        <v>302</v>
      </c>
      <c r="I12" s="19"/>
      <c r="J12" s="19"/>
      <c r="K12" s="13" t="str">
        <f>"122,5"</f>
        <v>122,5</v>
      </c>
      <c r="L12" s="13" t="str">
        <f>"105,9547"</f>
        <v>105,9547</v>
      </c>
      <c r="M12" s="11" t="s">
        <v>62</v>
      </c>
    </row>
    <row r="14" spans="1:13" ht="16">
      <c r="A14" s="44" t="s">
        <v>30</v>
      </c>
      <c r="B14" s="44"/>
      <c r="C14" s="44"/>
      <c r="D14" s="44"/>
      <c r="E14" s="45"/>
      <c r="F14" s="44"/>
      <c r="G14" s="44"/>
      <c r="H14" s="44"/>
      <c r="I14" s="44"/>
      <c r="J14" s="44"/>
    </row>
    <row r="15" spans="1:13">
      <c r="A15" s="19" t="s">
        <v>18</v>
      </c>
      <c r="B15" s="11" t="s">
        <v>88</v>
      </c>
      <c r="C15" s="11" t="s">
        <v>303</v>
      </c>
      <c r="D15" s="11" t="s">
        <v>89</v>
      </c>
      <c r="E15" s="12" t="s">
        <v>428</v>
      </c>
      <c r="F15" s="11" t="s">
        <v>400</v>
      </c>
      <c r="G15" s="20" t="s">
        <v>200</v>
      </c>
      <c r="H15" s="21" t="s">
        <v>92</v>
      </c>
      <c r="I15" s="21" t="s">
        <v>92</v>
      </c>
      <c r="J15" s="19"/>
      <c r="K15" s="13" t="str">
        <f>"110,0"</f>
        <v>110,0</v>
      </c>
      <c r="L15" s="13" t="str">
        <f>"83,4620"</f>
        <v>83,4620</v>
      </c>
      <c r="M15" s="11" t="s">
        <v>72</v>
      </c>
    </row>
    <row r="17" spans="1:13" ht="16">
      <c r="A17" s="44" t="s">
        <v>304</v>
      </c>
      <c r="B17" s="44"/>
      <c r="C17" s="44"/>
      <c r="D17" s="44"/>
      <c r="E17" s="45"/>
      <c r="F17" s="44"/>
      <c r="G17" s="44"/>
      <c r="H17" s="44"/>
      <c r="I17" s="44"/>
      <c r="J17" s="44"/>
    </row>
    <row r="18" spans="1:13">
      <c r="A18" s="19" t="s">
        <v>18</v>
      </c>
      <c r="B18" s="11" t="s">
        <v>305</v>
      </c>
      <c r="C18" s="11" t="s">
        <v>306</v>
      </c>
      <c r="D18" s="11" t="s">
        <v>307</v>
      </c>
      <c r="E18" s="12" t="s">
        <v>424</v>
      </c>
      <c r="F18" s="11" t="s">
        <v>414</v>
      </c>
      <c r="G18" s="21" t="s">
        <v>148</v>
      </c>
      <c r="H18" s="20" t="s">
        <v>148</v>
      </c>
      <c r="I18" s="20" t="s">
        <v>179</v>
      </c>
      <c r="J18" s="19"/>
      <c r="K18" s="13" t="str">
        <f>"165,0"</f>
        <v>165,0</v>
      </c>
      <c r="L18" s="13" t="str">
        <f>"93,6210"</f>
        <v>93,6210</v>
      </c>
      <c r="M18" s="11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1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54" t="s">
        <v>388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54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220</v>
      </c>
      <c r="C6" s="11" t="s">
        <v>221</v>
      </c>
      <c r="D6" s="11" t="s">
        <v>222</v>
      </c>
      <c r="E6" s="12" t="s">
        <v>424</v>
      </c>
      <c r="F6" s="11" t="s">
        <v>401</v>
      </c>
      <c r="G6" s="20" t="s">
        <v>137</v>
      </c>
      <c r="H6" s="20" t="s">
        <v>138</v>
      </c>
      <c r="I6" s="21" t="s">
        <v>139</v>
      </c>
      <c r="J6" s="19"/>
      <c r="K6" s="13" t="str">
        <f>"140,0"</f>
        <v>140,0</v>
      </c>
      <c r="L6" s="13" t="str">
        <f>"102,8300"</f>
        <v>102,8300</v>
      </c>
      <c r="M6" s="11"/>
    </row>
    <row r="8" spans="1:13" ht="16">
      <c r="A8" s="44" t="s">
        <v>68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19" t="s">
        <v>18</v>
      </c>
      <c r="B9" s="11" t="s">
        <v>223</v>
      </c>
      <c r="C9" s="11" t="s">
        <v>224</v>
      </c>
      <c r="D9" s="11" t="s">
        <v>225</v>
      </c>
      <c r="E9" s="12" t="s">
        <v>424</v>
      </c>
      <c r="F9" s="11" t="s">
        <v>226</v>
      </c>
      <c r="G9" s="21" t="s">
        <v>227</v>
      </c>
      <c r="H9" s="20" t="s">
        <v>227</v>
      </c>
      <c r="I9" s="19"/>
      <c r="J9" s="19"/>
      <c r="K9" s="13" t="str">
        <f>"157,5"</f>
        <v>157,5</v>
      </c>
      <c r="L9" s="13" t="str">
        <f>"103,2098"</f>
        <v>103,2098</v>
      </c>
      <c r="M9" s="11"/>
    </row>
    <row r="11" spans="1:13" ht="16">
      <c r="A11" s="44" t="s">
        <v>111</v>
      </c>
      <c r="B11" s="44"/>
      <c r="C11" s="44"/>
      <c r="D11" s="44"/>
      <c r="E11" s="45"/>
      <c r="F11" s="44"/>
      <c r="G11" s="44"/>
      <c r="H11" s="44"/>
      <c r="I11" s="44"/>
      <c r="J11" s="44"/>
    </row>
    <row r="12" spans="1:13">
      <c r="A12" s="19" t="s">
        <v>18</v>
      </c>
      <c r="B12" s="11" t="s">
        <v>228</v>
      </c>
      <c r="C12" s="11" t="s">
        <v>229</v>
      </c>
      <c r="D12" s="11" t="s">
        <v>230</v>
      </c>
      <c r="E12" s="12" t="s">
        <v>424</v>
      </c>
      <c r="F12" s="11" t="s">
        <v>400</v>
      </c>
      <c r="G12" s="20" t="s">
        <v>231</v>
      </c>
      <c r="H12" s="20" t="s">
        <v>126</v>
      </c>
      <c r="I12" s="21" t="s">
        <v>172</v>
      </c>
      <c r="J12" s="19"/>
      <c r="K12" s="13" t="str">
        <f>"160,0"</f>
        <v>160,0</v>
      </c>
      <c r="L12" s="13" t="str">
        <f>"94,8800"</f>
        <v>94,8800</v>
      </c>
      <c r="M12" s="11"/>
    </row>
    <row r="14" spans="1:13" ht="16">
      <c r="A14" s="44" t="s">
        <v>91</v>
      </c>
      <c r="B14" s="44"/>
      <c r="C14" s="44"/>
      <c r="D14" s="44"/>
      <c r="E14" s="45"/>
      <c r="F14" s="44"/>
      <c r="G14" s="44"/>
      <c r="H14" s="44"/>
      <c r="I14" s="44"/>
      <c r="J14" s="44"/>
    </row>
    <row r="15" spans="1:13">
      <c r="A15" s="19" t="s">
        <v>18</v>
      </c>
      <c r="B15" s="11" t="s">
        <v>232</v>
      </c>
      <c r="C15" s="11" t="s">
        <v>233</v>
      </c>
      <c r="D15" s="11" t="s">
        <v>234</v>
      </c>
      <c r="E15" s="12" t="s">
        <v>428</v>
      </c>
      <c r="F15" s="11" t="s">
        <v>400</v>
      </c>
      <c r="G15" s="20" t="s">
        <v>172</v>
      </c>
      <c r="H15" s="21" t="s">
        <v>235</v>
      </c>
      <c r="I15" s="21" t="s">
        <v>235</v>
      </c>
      <c r="J15" s="19"/>
      <c r="K15" s="13" t="str">
        <f>"172,5"</f>
        <v>172,5</v>
      </c>
      <c r="L15" s="13" t="str">
        <f>"99,2674"</f>
        <v>99,2674</v>
      </c>
      <c r="M15" s="11" t="s">
        <v>72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7.1640625" style="5" customWidth="1"/>
    <col min="14" max="16384" width="9.1640625" style="3"/>
  </cols>
  <sheetData>
    <row r="1" spans="1:13" s="2" customFormat="1" ht="29" customHeight="1">
      <c r="A1" s="54" t="s">
        <v>389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54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1" t="s">
        <v>18</v>
      </c>
      <c r="B6" s="22" t="s">
        <v>208</v>
      </c>
      <c r="C6" s="22" t="s">
        <v>209</v>
      </c>
      <c r="D6" s="22" t="s">
        <v>210</v>
      </c>
      <c r="E6" s="23" t="s">
        <v>424</v>
      </c>
      <c r="F6" s="22" t="s">
        <v>400</v>
      </c>
      <c r="G6" s="36" t="s">
        <v>93</v>
      </c>
      <c r="H6" s="36" t="s">
        <v>93</v>
      </c>
      <c r="I6" s="32" t="s">
        <v>93</v>
      </c>
      <c r="J6" s="31"/>
      <c r="K6" s="24" t="str">
        <f>"125,0"</f>
        <v>125,0</v>
      </c>
      <c r="L6" s="24" t="str">
        <f>"108,4813"</f>
        <v>108,4813</v>
      </c>
      <c r="M6" s="22" t="s">
        <v>211</v>
      </c>
    </row>
    <row r="7" spans="1:13">
      <c r="A7" s="33" t="s">
        <v>18</v>
      </c>
      <c r="B7" s="25" t="s">
        <v>208</v>
      </c>
      <c r="C7" s="25" t="s">
        <v>212</v>
      </c>
      <c r="D7" s="25" t="s">
        <v>210</v>
      </c>
      <c r="E7" s="26" t="s">
        <v>428</v>
      </c>
      <c r="F7" s="25" t="s">
        <v>400</v>
      </c>
      <c r="G7" s="35" t="s">
        <v>93</v>
      </c>
      <c r="H7" s="35" t="s">
        <v>93</v>
      </c>
      <c r="I7" s="34" t="s">
        <v>93</v>
      </c>
      <c r="J7" s="33"/>
      <c r="K7" s="27" t="str">
        <f>"125,0"</f>
        <v>125,0</v>
      </c>
      <c r="L7" s="27" t="str">
        <f>"110,6509"</f>
        <v>110,6509</v>
      </c>
      <c r="M7" s="25" t="s">
        <v>211</v>
      </c>
    </row>
    <row r="9" spans="1:13" ht="16">
      <c r="A9" s="44" t="s">
        <v>54</v>
      </c>
      <c r="B9" s="44"/>
      <c r="C9" s="44"/>
      <c r="D9" s="44"/>
      <c r="E9" s="45"/>
      <c r="F9" s="44"/>
      <c r="G9" s="44"/>
      <c r="H9" s="44"/>
      <c r="I9" s="44"/>
      <c r="J9" s="44"/>
    </row>
    <row r="10" spans="1:13">
      <c r="A10" s="19" t="s">
        <v>18</v>
      </c>
      <c r="B10" s="11" t="s">
        <v>213</v>
      </c>
      <c r="C10" s="11" t="s">
        <v>214</v>
      </c>
      <c r="D10" s="11" t="s">
        <v>215</v>
      </c>
      <c r="E10" s="12" t="s">
        <v>425</v>
      </c>
      <c r="F10" s="11" t="s">
        <v>216</v>
      </c>
      <c r="G10" s="20" t="s">
        <v>126</v>
      </c>
      <c r="H10" s="21" t="s">
        <v>186</v>
      </c>
      <c r="I10" s="21" t="s">
        <v>186</v>
      </c>
      <c r="J10" s="19"/>
      <c r="K10" s="13" t="str">
        <f>"160,0"</f>
        <v>160,0</v>
      </c>
      <c r="L10" s="13" t="str">
        <f>"118,2800"</f>
        <v>118,2800</v>
      </c>
      <c r="M10" s="11" t="s">
        <v>201</v>
      </c>
    </row>
    <row r="12" spans="1:13" ht="16">
      <c r="A12" s="44" t="s">
        <v>73</v>
      </c>
      <c r="B12" s="44"/>
      <c r="C12" s="44"/>
      <c r="D12" s="44"/>
      <c r="E12" s="45"/>
      <c r="F12" s="44"/>
      <c r="G12" s="44"/>
      <c r="H12" s="44"/>
      <c r="I12" s="44"/>
      <c r="J12" s="44"/>
    </row>
    <row r="13" spans="1:13">
      <c r="A13" s="19" t="s">
        <v>18</v>
      </c>
      <c r="B13" s="11" t="s">
        <v>217</v>
      </c>
      <c r="C13" s="11" t="s">
        <v>218</v>
      </c>
      <c r="D13" s="11" t="s">
        <v>219</v>
      </c>
      <c r="E13" s="12" t="s">
        <v>424</v>
      </c>
      <c r="F13" s="11" t="s">
        <v>400</v>
      </c>
      <c r="G13" s="20" t="s">
        <v>183</v>
      </c>
      <c r="H13" s="20" t="s">
        <v>135</v>
      </c>
      <c r="I13" s="20" t="s">
        <v>140</v>
      </c>
      <c r="J13" s="19"/>
      <c r="K13" s="13" t="str">
        <f>"237,5"</f>
        <v>237,5</v>
      </c>
      <c r="L13" s="13" t="str">
        <f>"138,0588"</f>
        <v>138,0588</v>
      </c>
      <c r="M13" s="11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1.1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4" t="s">
        <v>394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45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108</v>
      </c>
      <c r="C6" s="11" t="s">
        <v>109</v>
      </c>
      <c r="D6" s="11" t="s">
        <v>110</v>
      </c>
      <c r="E6" s="12" t="s">
        <v>428</v>
      </c>
      <c r="F6" s="11" t="s">
        <v>415</v>
      </c>
      <c r="G6" s="20" t="s">
        <v>71</v>
      </c>
      <c r="H6" s="20" t="s">
        <v>27</v>
      </c>
      <c r="I6" s="20" t="s">
        <v>9</v>
      </c>
      <c r="J6" s="19"/>
      <c r="K6" s="13" t="str">
        <f>"75,0"</f>
        <v>75,0</v>
      </c>
      <c r="L6" s="13" t="str">
        <f>"59,1574"</f>
        <v>59,1574</v>
      </c>
      <c r="M6" s="11"/>
    </row>
    <row r="8" spans="1:13" ht="16">
      <c r="A8" s="44" t="s">
        <v>111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19" t="s">
        <v>18</v>
      </c>
      <c r="B9" s="11" t="s">
        <v>112</v>
      </c>
      <c r="C9" s="11" t="s">
        <v>113</v>
      </c>
      <c r="D9" s="11" t="s">
        <v>114</v>
      </c>
      <c r="E9" s="12" t="s">
        <v>428</v>
      </c>
      <c r="F9" s="11" t="s">
        <v>416</v>
      </c>
      <c r="G9" s="20" t="s">
        <v>106</v>
      </c>
      <c r="H9" s="20" t="s">
        <v>115</v>
      </c>
      <c r="I9" s="20" t="s">
        <v>116</v>
      </c>
      <c r="J9" s="19"/>
      <c r="K9" s="13" t="str">
        <f>"107,5"</f>
        <v>107,5</v>
      </c>
      <c r="L9" s="13" t="str">
        <f>"63,7945"</f>
        <v>63,7945</v>
      </c>
      <c r="M9" s="11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1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3.5" style="5" bestFit="1" customWidth="1"/>
    <col min="7" max="9" width="5.5" style="10" customWidth="1"/>
    <col min="10" max="10" width="4.83203125" style="10" customWidth="1"/>
    <col min="11" max="11" width="10.5" style="18" bestFit="1" customWidth="1"/>
    <col min="12" max="12" width="8.5" style="7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4" t="s">
        <v>381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120</v>
      </c>
      <c r="H3" s="66"/>
      <c r="I3" s="66"/>
      <c r="J3" s="66"/>
      <c r="K3" s="67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68"/>
      <c r="L4" s="49"/>
      <c r="M4" s="51"/>
    </row>
    <row r="5" spans="1:13" ht="16">
      <c r="A5" s="52" t="s">
        <v>38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39</v>
      </c>
      <c r="C6" s="11" t="s">
        <v>40</v>
      </c>
      <c r="D6" s="11" t="s">
        <v>41</v>
      </c>
      <c r="E6" s="12" t="s">
        <v>424</v>
      </c>
      <c r="F6" s="11" t="s">
        <v>406</v>
      </c>
      <c r="G6" s="20" t="s">
        <v>105</v>
      </c>
      <c r="H6" s="21" t="s">
        <v>106</v>
      </c>
      <c r="I6" s="21" t="s">
        <v>164</v>
      </c>
      <c r="J6" s="19"/>
      <c r="K6" s="40" t="str">
        <f>"90,0"</f>
        <v>90,0</v>
      </c>
      <c r="L6" s="13" t="str">
        <f>"106,1910"</f>
        <v>106,1910</v>
      </c>
      <c r="M6" s="11"/>
    </row>
    <row r="8" spans="1:13" ht="16">
      <c r="A8" s="44" t="s">
        <v>45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31" t="s">
        <v>18</v>
      </c>
      <c r="B9" s="22" t="s">
        <v>274</v>
      </c>
      <c r="C9" s="22" t="s">
        <v>275</v>
      </c>
      <c r="D9" s="22" t="s">
        <v>276</v>
      </c>
      <c r="E9" s="23" t="s">
        <v>424</v>
      </c>
      <c r="F9" s="22" t="s">
        <v>400</v>
      </c>
      <c r="G9" s="32" t="s">
        <v>179</v>
      </c>
      <c r="H9" s="32" t="s">
        <v>277</v>
      </c>
      <c r="I9" s="32" t="s">
        <v>127</v>
      </c>
      <c r="J9" s="31"/>
      <c r="K9" s="41" t="str">
        <f>"180,0"</f>
        <v>180,0</v>
      </c>
      <c r="L9" s="24" t="str">
        <f>"187,9920"</f>
        <v>187,9920</v>
      </c>
      <c r="M9" s="22" t="s">
        <v>24</v>
      </c>
    </row>
    <row r="10" spans="1:13">
      <c r="A10" s="37" t="s">
        <v>157</v>
      </c>
      <c r="B10" s="28" t="s">
        <v>329</v>
      </c>
      <c r="C10" s="28" t="s">
        <v>330</v>
      </c>
      <c r="D10" s="28" t="s">
        <v>331</v>
      </c>
      <c r="E10" s="29" t="s">
        <v>424</v>
      </c>
      <c r="F10" s="28" t="s">
        <v>400</v>
      </c>
      <c r="G10" s="38" t="s">
        <v>165</v>
      </c>
      <c r="H10" s="38" t="s">
        <v>115</v>
      </c>
      <c r="I10" s="39" t="s">
        <v>178</v>
      </c>
      <c r="J10" s="37"/>
      <c r="K10" s="43" t="str">
        <f>"105,0"</f>
        <v>105,0</v>
      </c>
      <c r="L10" s="30" t="str">
        <f>"111,1740"</f>
        <v>111,1740</v>
      </c>
      <c r="M10" s="28"/>
    </row>
    <row r="11" spans="1:13">
      <c r="A11" s="33" t="s">
        <v>18</v>
      </c>
      <c r="B11" s="25" t="s">
        <v>332</v>
      </c>
      <c r="C11" s="25" t="s">
        <v>333</v>
      </c>
      <c r="D11" s="25" t="s">
        <v>334</v>
      </c>
      <c r="E11" s="26" t="s">
        <v>428</v>
      </c>
      <c r="F11" s="25" t="s">
        <v>400</v>
      </c>
      <c r="G11" s="34" t="s">
        <v>106</v>
      </c>
      <c r="H11" s="34" t="s">
        <v>200</v>
      </c>
      <c r="I11" s="34" t="s">
        <v>302</v>
      </c>
      <c r="J11" s="33"/>
      <c r="K11" s="42" t="str">
        <f>"122,5"</f>
        <v>122,5</v>
      </c>
      <c r="L11" s="27" t="str">
        <f>"145,0679"</f>
        <v>145,0679</v>
      </c>
      <c r="M11" s="25"/>
    </row>
    <row r="13" spans="1:13" ht="16">
      <c r="A13" s="44" t="s">
        <v>54</v>
      </c>
      <c r="B13" s="44"/>
      <c r="C13" s="44"/>
      <c r="D13" s="44"/>
      <c r="E13" s="45"/>
      <c r="F13" s="44"/>
      <c r="G13" s="44"/>
      <c r="H13" s="44"/>
      <c r="I13" s="44"/>
      <c r="J13" s="44"/>
    </row>
    <row r="14" spans="1:13">
      <c r="A14" s="19" t="s">
        <v>18</v>
      </c>
      <c r="B14" s="11" t="s">
        <v>335</v>
      </c>
      <c r="C14" s="11" t="s">
        <v>336</v>
      </c>
      <c r="D14" s="11" t="s">
        <v>337</v>
      </c>
      <c r="E14" s="12" t="s">
        <v>429</v>
      </c>
      <c r="F14" s="11" t="s">
        <v>400</v>
      </c>
      <c r="G14" s="20" t="s">
        <v>105</v>
      </c>
      <c r="H14" s="20" t="s">
        <v>106</v>
      </c>
      <c r="I14" s="20" t="s">
        <v>115</v>
      </c>
      <c r="J14" s="19"/>
      <c r="K14" s="40" t="str">
        <f>"105,0"</f>
        <v>105,0</v>
      </c>
      <c r="L14" s="13" t="str">
        <f>"125,1621"</f>
        <v>125,1621</v>
      </c>
      <c r="M14" s="11" t="s">
        <v>338</v>
      </c>
    </row>
    <row r="16" spans="1:13" ht="16">
      <c r="A16" s="44" t="s">
        <v>68</v>
      </c>
      <c r="B16" s="44"/>
      <c r="C16" s="44"/>
      <c r="D16" s="44"/>
      <c r="E16" s="45"/>
      <c r="F16" s="44"/>
      <c r="G16" s="44"/>
      <c r="H16" s="44"/>
      <c r="I16" s="44"/>
      <c r="J16" s="44"/>
    </row>
    <row r="17" spans="1:13">
      <c r="A17" s="19" t="s">
        <v>18</v>
      </c>
      <c r="B17" s="11" t="s">
        <v>339</v>
      </c>
      <c r="C17" s="11" t="s">
        <v>340</v>
      </c>
      <c r="D17" s="11" t="s">
        <v>257</v>
      </c>
      <c r="E17" s="12" t="s">
        <v>432</v>
      </c>
      <c r="F17" s="11" t="s">
        <v>406</v>
      </c>
      <c r="G17" s="21" t="s">
        <v>137</v>
      </c>
      <c r="H17" s="20" t="s">
        <v>137</v>
      </c>
      <c r="I17" s="21" t="s">
        <v>138</v>
      </c>
      <c r="J17" s="19"/>
      <c r="K17" s="40" t="str">
        <f>"130,0"</f>
        <v>130,0</v>
      </c>
      <c r="L17" s="13" t="str">
        <f>"158,9028"</f>
        <v>158,9028</v>
      </c>
      <c r="M17" s="11" t="s">
        <v>341</v>
      </c>
    </row>
    <row r="19" spans="1:13" ht="16">
      <c r="A19" s="44" t="s">
        <v>342</v>
      </c>
      <c r="B19" s="44"/>
      <c r="C19" s="44"/>
      <c r="D19" s="44"/>
      <c r="E19" s="45"/>
      <c r="F19" s="44"/>
      <c r="G19" s="44"/>
      <c r="H19" s="44"/>
      <c r="I19" s="44"/>
      <c r="J19" s="44"/>
    </row>
    <row r="20" spans="1:13">
      <c r="A20" s="19" t="s">
        <v>18</v>
      </c>
      <c r="B20" s="11" t="s">
        <v>343</v>
      </c>
      <c r="C20" s="11" t="s">
        <v>344</v>
      </c>
      <c r="D20" s="11" t="s">
        <v>345</v>
      </c>
      <c r="E20" s="12" t="s">
        <v>424</v>
      </c>
      <c r="F20" s="11" t="s">
        <v>401</v>
      </c>
      <c r="G20" s="20" t="s">
        <v>147</v>
      </c>
      <c r="H20" s="20" t="s">
        <v>231</v>
      </c>
      <c r="I20" s="20" t="s">
        <v>258</v>
      </c>
      <c r="J20" s="19"/>
      <c r="K20" s="40" t="str">
        <f>"162,5"</f>
        <v>162,5</v>
      </c>
      <c r="L20" s="13" t="str">
        <f>"134,2900"</f>
        <v>134,2900</v>
      </c>
      <c r="M20" s="11" t="s">
        <v>346</v>
      </c>
    </row>
    <row r="22" spans="1:13" ht="16">
      <c r="A22" s="44" t="s">
        <v>45</v>
      </c>
      <c r="B22" s="44"/>
      <c r="C22" s="44"/>
      <c r="D22" s="44"/>
      <c r="E22" s="45"/>
      <c r="F22" s="44"/>
      <c r="G22" s="44"/>
      <c r="H22" s="44"/>
      <c r="I22" s="44"/>
      <c r="J22" s="44"/>
    </row>
    <row r="23" spans="1:13">
      <c r="A23" s="31" t="s">
        <v>18</v>
      </c>
      <c r="B23" s="22" t="s">
        <v>347</v>
      </c>
      <c r="C23" s="22" t="s">
        <v>348</v>
      </c>
      <c r="D23" s="22" t="s">
        <v>349</v>
      </c>
      <c r="E23" s="23" t="s">
        <v>430</v>
      </c>
      <c r="F23" s="22" t="s">
        <v>406</v>
      </c>
      <c r="G23" s="32" t="s">
        <v>138</v>
      </c>
      <c r="H23" s="32" t="s">
        <v>155</v>
      </c>
      <c r="I23" s="36" t="s">
        <v>148</v>
      </c>
      <c r="J23" s="31"/>
      <c r="K23" s="41" t="str">
        <f>"150,0"</f>
        <v>150,0</v>
      </c>
      <c r="L23" s="24" t="str">
        <f>"121,0050"</f>
        <v>121,0050</v>
      </c>
      <c r="M23" s="22" t="s">
        <v>53</v>
      </c>
    </row>
    <row r="24" spans="1:13">
      <c r="A24" s="37" t="s">
        <v>81</v>
      </c>
      <c r="B24" s="28" t="s">
        <v>85</v>
      </c>
      <c r="C24" s="28" t="s">
        <v>350</v>
      </c>
      <c r="D24" s="28" t="s">
        <v>86</v>
      </c>
      <c r="E24" s="29" t="s">
        <v>430</v>
      </c>
      <c r="F24" s="28" t="s">
        <v>417</v>
      </c>
      <c r="G24" s="39" t="s">
        <v>301</v>
      </c>
      <c r="H24" s="39" t="s">
        <v>301</v>
      </c>
      <c r="I24" s="39" t="s">
        <v>301</v>
      </c>
      <c r="J24" s="37"/>
      <c r="K24" s="43">
        <v>0</v>
      </c>
      <c r="L24" s="30" t="str">
        <f>"0,0000"</f>
        <v>0,0000</v>
      </c>
      <c r="M24" s="28" t="s">
        <v>87</v>
      </c>
    </row>
    <row r="25" spans="1:13">
      <c r="A25" s="33" t="s">
        <v>18</v>
      </c>
      <c r="B25" s="25" t="s">
        <v>351</v>
      </c>
      <c r="C25" s="25" t="s">
        <v>352</v>
      </c>
      <c r="D25" s="25" t="s">
        <v>353</v>
      </c>
      <c r="E25" s="26" t="s">
        <v>424</v>
      </c>
      <c r="F25" s="25" t="s">
        <v>400</v>
      </c>
      <c r="G25" s="35" t="s">
        <v>92</v>
      </c>
      <c r="H25" s="34" t="s">
        <v>93</v>
      </c>
      <c r="I25" s="34" t="s">
        <v>138</v>
      </c>
      <c r="J25" s="33"/>
      <c r="K25" s="42" t="str">
        <f>"140,0"</f>
        <v>140,0</v>
      </c>
      <c r="L25" s="27" t="str">
        <f>"109,5220"</f>
        <v>109,5220</v>
      </c>
      <c r="M25" s="25" t="s">
        <v>338</v>
      </c>
    </row>
    <row r="27" spans="1:13" ht="16">
      <c r="A27" s="44" t="s">
        <v>68</v>
      </c>
      <c r="B27" s="44"/>
      <c r="C27" s="44"/>
      <c r="D27" s="44"/>
      <c r="E27" s="45"/>
      <c r="F27" s="44"/>
      <c r="G27" s="44"/>
      <c r="H27" s="44"/>
      <c r="I27" s="44"/>
      <c r="J27" s="44"/>
    </row>
    <row r="28" spans="1:13">
      <c r="A28" s="19" t="s">
        <v>18</v>
      </c>
      <c r="B28" s="11" t="s">
        <v>100</v>
      </c>
      <c r="C28" s="11" t="s">
        <v>354</v>
      </c>
      <c r="D28" s="11" t="s">
        <v>101</v>
      </c>
      <c r="E28" s="12" t="s">
        <v>426</v>
      </c>
      <c r="F28" s="11" t="s">
        <v>408</v>
      </c>
      <c r="G28" s="20" t="s">
        <v>154</v>
      </c>
      <c r="H28" s="20" t="s">
        <v>129</v>
      </c>
      <c r="I28" s="20" t="s">
        <v>124</v>
      </c>
      <c r="J28" s="19"/>
      <c r="K28" s="40" t="str">
        <f>"250,0"</f>
        <v>250,0</v>
      </c>
      <c r="L28" s="13" t="str">
        <f>"161,5750"</f>
        <v>161,5750</v>
      </c>
      <c r="M28" s="11" t="s">
        <v>99</v>
      </c>
    </row>
    <row r="30" spans="1:13" ht="16">
      <c r="A30" s="44" t="s">
        <v>73</v>
      </c>
      <c r="B30" s="44"/>
      <c r="C30" s="44"/>
      <c r="D30" s="44"/>
      <c r="E30" s="45"/>
      <c r="F30" s="44"/>
      <c r="G30" s="44"/>
      <c r="H30" s="44"/>
      <c r="I30" s="44"/>
      <c r="J30" s="44"/>
    </row>
    <row r="31" spans="1:13">
      <c r="A31" s="31" t="s">
        <v>18</v>
      </c>
      <c r="B31" s="22" t="s">
        <v>103</v>
      </c>
      <c r="C31" s="22" t="s">
        <v>355</v>
      </c>
      <c r="D31" s="22" t="s">
        <v>104</v>
      </c>
      <c r="E31" s="23" t="s">
        <v>426</v>
      </c>
      <c r="F31" s="22" t="s">
        <v>406</v>
      </c>
      <c r="G31" s="32" t="s">
        <v>296</v>
      </c>
      <c r="H31" s="32" t="s">
        <v>128</v>
      </c>
      <c r="I31" s="31"/>
      <c r="J31" s="31"/>
      <c r="K31" s="41" t="str">
        <f>"200,0"</f>
        <v>200,0</v>
      </c>
      <c r="L31" s="24" t="str">
        <f>"123,3200"</f>
        <v>123,3200</v>
      </c>
      <c r="M31" s="22" t="s">
        <v>53</v>
      </c>
    </row>
    <row r="32" spans="1:13">
      <c r="A32" s="33" t="s">
        <v>18</v>
      </c>
      <c r="B32" s="25" t="s">
        <v>356</v>
      </c>
      <c r="C32" s="25" t="s">
        <v>357</v>
      </c>
      <c r="D32" s="25" t="s">
        <v>358</v>
      </c>
      <c r="E32" s="26" t="s">
        <v>424</v>
      </c>
      <c r="F32" s="25" t="s">
        <v>401</v>
      </c>
      <c r="G32" s="34" t="s">
        <v>183</v>
      </c>
      <c r="H32" s="35" t="s">
        <v>359</v>
      </c>
      <c r="I32" s="35" t="s">
        <v>359</v>
      </c>
      <c r="J32" s="33"/>
      <c r="K32" s="42" t="str">
        <f>"210,0"</f>
        <v>210,0</v>
      </c>
      <c r="L32" s="27" t="str">
        <f>"128,9190"</f>
        <v>128,9190</v>
      </c>
      <c r="M32" s="25"/>
    </row>
    <row r="34" spans="2:13" ht="16">
      <c r="F34" s="8"/>
      <c r="G34" s="5"/>
      <c r="M34" s="7"/>
    </row>
    <row r="35" spans="2:13">
      <c r="G35" s="5"/>
      <c r="M35" s="7"/>
    </row>
    <row r="36" spans="2:13" ht="18">
      <c r="B36" s="9" t="s">
        <v>7</v>
      </c>
      <c r="C36" s="9"/>
      <c r="G36" s="3"/>
      <c r="M36" s="7"/>
    </row>
    <row r="37" spans="2:13" ht="16">
      <c r="B37" s="14" t="s">
        <v>77</v>
      </c>
      <c r="C37" s="14"/>
      <c r="G37" s="3"/>
      <c r="M37" s="7"/>
    </row>
    <row r="38" spans="2:13" ht="14">
      <c r="B38" s="15" t="s">
        <v>15</v>
      </c>
      <c r="C38" s="15" t="s">
        <v>16</v>
      </c>
      <c r="D38" s="15" t="s">
        <v>397</v>
      </c>
      <c r="E38" s="16" t="s">
        <v>29</v>
      </c>
      <c r="F38" s="15" t="s">
        <v>17</v>
      </c>
      <c r="G38" s="3"/>
      <c r="M38" s="7"/>
    </row>
    <row r="39" spans="2:13">
      <c r="B39" s="5" t="s">
        <v>274</v>
      </c>
      <c r="C39" s="5" t="s">
        <v>14</v>
      </c>
      <c r="D39" s="10" t="s">
        <v>78</v>
      </c>
      <c r="E39" s="18">
        <v>180</v>
      </c>
      <c r="F39" s="17">
        <v>187.991995811462</v>
      </c>
      <c r="G39" s="3"/>
      <c r="M39" s="7"/>
    </row>
    <row r="40" spans="2:13">
      <c r="B40" s="5" t="s">
        <v>339</v>
      </c>
      <c r="C40" s="5" t="s">
        <v>360</v>
      </c>
      <c r="D40" s="10" t="s">
        <v>80</v>
      </c>
      <c r="E40" s="18">
        <v>130</v>
      </c>
      <c r="F40" s="17">
        <v>158.90277491211901</v>
      </c>
      <c r="G40" s="3"/>
      <c r="M40" s="7"/>
    </row>
    <row r="41" spans="2:13">
      <c r="B41" s="5" t="s">
        <v>332</v>
      </c>
      <c r="C41" s="5" t="s">
        <v>117</v>
      </c>
      <c r="D41" s="10" t="s">
        <v>78</v>
      </c>
      <c r="E41" s="18">
        <v>122.5</v>
      </c>
      <c r="F41" s="17">
        <v>145.06793089628201</v>
      </c>
      <c r="G41" s="3"/>
      <c r="M41" s="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B3:B4"/>
    <mergeCell ref="A8:J8"/>
    <mergeCell ref="A13:J13"/>
    <mergeCell ref="A16:J16"/>
    <mergeCell ref="A19:J19"/>
    <mergeCell ref="A22:J22"/>
    <mergeCell ref="A27:J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" style="5" bestFit="1" customWidth="1"/>
    <col min="14" max="16384" width="9.1640625" style="3"/>
  </cols>
  <sheetData>
    <row r="1" spans="1:13" s="2" customFormat="1" ht="29" customHeight="1">
      <c r="A1" s="54" t="s">
        <v>382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120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30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319</v>
      </c>
      <c r="C6" s="11" t="s">
        <v>320</v>
      </c>
      <c r="D6" s="11" t="s">
        <v>321</v>
      </c>
      <c r="E6" s="12" t="s">
        <v>428</v>
      </c>
      <c r="F6" s="11" t="s">
        <v>400</v>
      </c>
      <c r="G6" s="20" t="s">
        <v>138</v>
      </c>
      <c r="H6" s="20" t="s">
        <v>155</v>
      </c>
      <c r="I6" s="20" t="s">
        <v>126</v>
      </c>
      <c r="J6" s="19"/>
      <c r="K6" s="13" t="str">
        <f>"160,0"</f>
        <v>160,0</v>
      </c>
      <c r="L6" s="13" t="str">
        <f>"119,6306"</f>
        <v>119,6306</v>
      </c>
      <c r="M6" s="11" t="s">
        <v>201</v>
      </c>
    </row>
    <row r="8" spans="1:13" ht="16">
      <c r="A8" s="44" t="s">
        <v>68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19" t="s">
        <v>18</v>
      </c>
      <c r="B9" s="11" t="s">
        <v>322</v>
      </c>
      <c r="C9" s="11" t="s">
        <v>323</v>
      </c>
      <c r="D9" s="11" t="s">
        <v>324</v>
      </c>
      <c r="E9" s="12" t="s">
        <v>429</v>
      </c>
      <c r="F9" s="11" t="s">
        <v>400</v>
      </c>
      <c r="G9" s="20" t="s">
        <v>126</v>
      </c>
      <c r="H9" s="20" t="s">
        <v>185</v>
      </c>
      <c r="I9" s="21" t="s">
        <v>127</v>
      </c>
      <c r="J9" s="19"/>
      <c r="K9" s="13" t="str">
        <f>"170,0"</f>
        <v>170,0</v>
      </c>
      <c r="L9" s="13" t="str">
        <f>"127,9548"</f>
        <v>127,9548</v>
      </c>
      <c r="M9" s="11" t="s">
        <v>201</v>
      </c>
    </row>
    <row r="11" spans="1:13" ht="16">
      <c r="A11" s="44" t="s">
        <v>111</v>
      </c>
      <c r="B11" s="44"/>
      <c r="C11" s="44"/>
      <c r="D11" s="44"/>
      <c r="E11" s="45"/>
      <c r="F11" s="44"/>
      <c r="G11" s="44"/>
      <c r="H11" s="44"/>
      <c r="I11" s="44"/>
      <c r="J11" s="44"/>
    </row>
    <row r="12" spans="1:13">
      <c r="A12" s="19" t="s">
        <v>18</v>
      </c>
      <c r="B12" s="11" t="s">
        <v>325</v>
      </c>
      <c r="C12" s="11" t="s">
        <v>326</v>
      </c>
      <c r="D12" s="11" t="s">
        <v>327</v>
      </c>
      <c r="E12" s="12" t="s">
        <v>429</v>
      </c>
      <c r="F12" s="11" t="s">
        <v>400</v>
      </c>
      <c r="G12" s="20" t="s">
        <v>205</v>
      </c>
      <c r="H12" s="20" t="s">
        <v>206</v>
      </c>
      <c r="I12" s="20" t="s">
        <v>207</v>
      </c>
      <c r="J12" s="19"/>
      <c r="K12" s="13" t="str">
        <f>"212,5"</f>
        <v>212,5</v>
      </c>
      <c r="L12" s="13" t="str">
        <f>"162,6114"</f>
        <v>162,6114</v>
      </c>
      <c r="M12" s="11" t="s">
        <v>328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0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54" t="s">
        <v>380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120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91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361</v>
      </c>
      <c r="C6" s="11" t="s">
        <v>362</v>
      </c>
      <c r="D6" s="11" t="s">
        <v>363</v>
      </c>
      <c r="E6" s="12" t="s">
        <v>428</v>
      </c>
      <c r="F6" s="11" t="s">
        <v>402</v>
      </c>
      <c r="G6" s="20" t="s">
        <v>364</v>
      </c>
      <c r="H6" s="20" t="s">
        <v>365</v>
      </c>
      <c r="I6" s="21" t="s">
        <v>366</v>
      </c>
      <c r="J6" s="19"/>
      <c r="K6" s="13" t="str">
        <f>"300,0"</f>
        <v>300,0</v>
      </c>
      <c r="L6" s="13" t="str">
        <f>"198,7339"</f>
        <v>198,7339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34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6" style="5" customWidth="1"/>
    <col min="7" max="9" width="5.5" style="10" customWidth="1"/>
    <col min="10" max="10" width="4.83203125" style="10" customWidth="1"/>
    <col min="11" max="11" width="10.5" style="18" bestFit="1" customWidth="1"/>
    <col min="12" max="12" width="7.5" style="7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54" t="s">
        <v>395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421</v>
      </c>
      <c r="H3" s="66"/>
      <c r="I3" s="66"/>
      <c r="J3" s="66"/>
      <c r="K3" s="67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68"/>
      <c r="L4" s="49"/>
      <c r="M4" s="51"/>
    </row>
    <row r="5" spans="1:13" ht="16">
      <c r="A5" s="52" t="s">
        <v>38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39</v>
      </c>
      <c r="C6" s="11" t="s">
        <v>40</v>
      </c>
      <c r="D6" s="11" t="s">
        <v>41</v>
      </c>
      <c r="E6" s="12" t="s">
        <v>424</v>
      </c>
      <c r="F6" s="11" t="s">
        <v>406</v>
      </c>
      <c r="G6" s="20" t="s">
        <v>42</v>
      </c>
      <c r="H6" s="20" t="s">
        <v>43</v>
      </c>
      <c r="I6" s="20" t="s">
        <v>44</v>
      </c>
      <c r="J6" s="19"/>
      <c r="K6" s="40" t="str">
        <f>"30,0"</f>
        <v>30,0</v>
      </c>
      <c r="L6" s="13" t="str">
        <f>"31,4070"</f>
        <v>31,4070</v>
      </c>
      <c r="M6" s="11"/>
    </row>
    <row r="8" spans="1:13" ht="16">
      <c r="A8" s="44" t="s">
        <v>45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31" t="s">
        <v>18</v>
      </c>
      <c r="B9" s="22" t="s">
        <v>46</v>
      </c>
      <c r="C9" s="22" t="s">
        <v>375</v>
      </c>
      <c r="D9" s="22" t="s">
        <v>47</v>
      </c>
      <c r="E9" s="23" t="s">
        <v>433</v>
      </c>
      <c r="F9" s="22" t="s">
        <v>418</v>
      </c>
      <c r="G9" s="32" t="s">
        <v>12</v>
      </c>
      <c r="H9" s="32" t="s">
        <v>48</v>
      </c>
      <c r="I9" s="32" t="s">
        <v>49</v>
      </c>
      <c r="J9" s="31"/>
      <c r="K9" s="41" t="str">
        <f>"47,5"</f>
        <v>47,5</v>
      </c>
      <c r="L9" s="24" t="str">
        <f>"36,2900"</f>
        <v>36,2900</v>
      </c>
      <c r="M9" s="22"/>
    </row>
    <row r="10" spans="1:13">
      <c r="A10" s="33" t="s">
        <v>18</v>
      </c>
      <c r="B10" s="25" t="s">
        <v>50</v>
      </c>
      <c r="C10" s="25" t="s">
        <v>51</v>
      </c>
      <c r="D10" s="25" t="s">
        <v>52</v>
      </c>
      <c r="E10" s="26" t="s">
        <v>424</v>
      </c>
      <c r="F10" s="25" t="s">
        <v>406</v>
      </c>
      <c r="G10" s="34" t="s">
        <v>48</v>
      </c>
      <c r="H10" s="35" t="s">
        <v>21</v>
      </c>
      <c r="I10" s="35" t="s">
        <v>21</v>
      </c>
      <c r="J10" s="33"/>
      <c r="K10" s="42" t="str">
        <f>"45,0"</f>
        <v>45,0</v>
      </c>
      <c r="L10" s="27" t="str">
        <f>"34,8435"</f>
        <v>34,8435</v>
      </c>
      <c r="M10" s="25" t="s">
        <v>53</v>
      </c>
    </row>
    <row r="12" spans="1:13" ht="16">
      <c r="A12" s="44" t="s">
        <v>54</v>
      </c>
      <c r="B12" s="44"/>
      <c r="C12" s="44"/>
      <c r="D12" s="44"/>
      <c r="E12" s="45"/>
      <c r="F12" s="44"/>
      <c r="G12" s="44"/>
      <c r="H12" s="44"/>
      <c r="I12" s="44"/>
      <c r="J12" s="44"/>
    </row>
    <row r="13" spans="1:13">
      <c r="A13" s="31" t="s">
        <v>18</v>
      </c>
      <c r="B13" s="22" t="s">
        <v>55</v>
      </c>
      <c r="C13" s="22" t="s">
        <v>56</v>
      </c>
      <c r="D13" s="22" t="s">
        <v>57</v>
      </c>
      <c r="E13" s="23" t="s">
        <v>424</v>
      </c>
      <c r="F13" s="22" t="s">
        <v>406</v>
      </c>
      <c r="G13" s="32" t="s">
        <v>22</v>
      </c>
      <c r="H13" s="32" t="s">
        <v>58</v>
      </c>
      <c r="I13" s="36" t="s">
        <v>33</v>
      </c>
      <c r="J13" s="31"/>
      <c r="K13" s="41" t="str">
        <f>"62,5"</f>
        <v>62,5</v>
      </c>
      <c r="L13" s="24" t="str">
        <f>"44,0094"</f>
        <v>44,0094</v>
      </c>
      <c r="M13" s="22"/>
    </row>
    <row r="14" spans="1:13">
      <c r="A14" s="37" t="s">
        <v>18</v>
      </c>
      <c r="B14" s="28" t="s">
        <v>59</v>
      </c>
      <c r="C14" s="28" t="s">
        <v>278</v>
      </c>
      <c r="D14" s="28" t="s">
        <v>60</v>
      </c>
      <c r="E14" s="29" t="s">
        <v>429</v>
      </c>
      <c r="F14" s="28" t="s">
        <v>400</v>
      </c>
      <c r="G14" s="38" t="s">
        <v>61</v>
      </c>
      <c r="H14" s="39" t="s">
        <v>22</v>
      </c>
      <c r="I14" s="39" t="s">
        <v>22</v>
      </c>
      <c r="J14" s="37"/>
      <c r="K14" s="43" t="str">
        <f>"55,0"</f>
        <v>55,0</v>
      </c>
      <c r="L14" s="30" t="str">
        <f>"45,1054"</f>
        <v>45,1054</v>
      </c>
      <c r="M14" s="28" t="s">
        <v>62</v>
      </c>
    </row>
    <row r="15" spans="1:13">
      <c r="A15" s="33" t="s">
        <v>81</v>
      </c>
      <c r="B15" s="25" t="s">
        <v>19</v>
      </c>
      <c r="C15" s="25" t="s">
        <v>376</v>
      </c>
      <c r="D15" s="25" t="s">
        <v>20</v>
      </c>
      <c r="E15" s="26" t="s">
        <v>429</v>
      </c>
      <c r="F15" s="25" t="s">
        <v>400</v>
      </c>
      <c r="G15" s="35" t="s">
        <v>63</v>
      </c>
      <c r="H15" s="33"/>
      <c r="I15" s="33"/>
      <c r="J15" s="33"/>
      <c r="K15" s="42">
        <v>0</v>
      </c>
      <c r="L15" s="27" t="str">
        <f>"0,0000"</f>
        <v>0,0000</v>
      </c>
      <c r="M15" s="25" t="s">
        <v>24</v>
      </c>
    </row>
    <row r="17" spans="1:13" ht="16">
      <c r="A17" s="44" t="s">
        <v>30</v>
      </c>
      <c r="B17" s="44"/>
      <c r="C17" s="44"/>
      <c r="D17" s="44"/>
      <c r="E17" s="45"/>
      <c r="F17" s="44"/>
      <c r="G17" s="44"/>
      <c r="H17" s="44"/>
      <c r="I17" s="44"/>
      <c r="J17" s="44"/>
    </row>
    <row r="18" spans="1:13">
      <c r="A18" s="31" t="s">
        <v>18</v>
      </c>
      <c r="B18" s="22" t="s">
        <v>64</v>
      </c>
      <c r="C18" s="22" t="s">
        <v>65</v>
      </c>
      <c r="D18" s="22" t="s">
        <v>66</v>
      </c>
      <c r="E18" s="23" t="s">
        <v>424</v>
      </c>
      <c r="F18" s="22" t="s">
        <v>400</v>
      </c>
      <c r="G18" s="32" t="s">
        <v>33</v>
      </c>
      <c r="H18" s="36" t="s">
        <v>34</v>
      </c>
      <c r="I18" s="32" t="s">
        <v>34</v>
      </c>
      <c r="J18" s="31"/>
      <c r="K18" s="41" t="str">
        <f>"70,0"</f>
        <v>70,0</v>
      </c>
      <c r="L18" s="24" t="str">
        <f>"45,2305"</f>
        <v>45,2305</v>
      </c>
      <c r="M18" s="22"/>
    </row>
    <row r="19" spans="1:13">
      <c r="A19" s="33" t="s">
        <v>18</v>
      </c>
      <c r="B19" s="25" t="s">
        <v>25</v>
      </c>
      <c r="C19" s="25" t="s">
        <v>377</v>
      </c>
      <c r="D19" s="25" t="s">
        <v>26</v>
      </c>
      <c r="E19" s="26" t="s">
        <v>429</v>
      </c>
      <c r="F19" s="25" t="s">
        <v>400</v>
      </c>
      <c r="G19" s="34" t="s">
        <v>48</v>
      </c>
      <c r="H19" s="34" t="s">
        <v>67</v>
      </c>
      <c r="I19" s="35" t="s">
        <v>61</v>
      </c>
      <c r="J19" s="33"/>
      <c r="K19" s="42" t="str">
        <f>"50,0"</f>
        <v>50,0</v>
      </c>
      <c r="L19" s="27" t="str">
        <f>"43,6975"</f>
        <v>43,6975</v>
      </c>
      <c r="M19" s="25" t="s">
        <v>24</v>
      </c>
    </row>
    <row r="21" spans="1:13" ht="16">
      <c r="A21" s="44" t="s">
        <v>68</v>
      </c>
      <c r="B21" s="44"/>
      <c r="C21" s="44"/>
      <c r="D21" s="44"/>
      <c r="E21" s="45"/>
      <c r="F21" s="44"/>
      <c r="G21" s="44"/>
      <c r="H21" s="44"/>
      <c r="I21" s="44"/>
      <c r="J21" s="44"/>
    </row>
    <row r="22" spans="1:13">
      <c r="A22" s="19" t="s">
        <v>18</v>
      </c>
      <c r="B22" s="11" t="s">
        <v>69</v>
      </c>
      <c r="C22" s="11" t="s">
        <v>374</v>
      </c>
      <c r="D22" s="11" t="s">
        <v>70</v>
      </c>
      <c r="E22" s="12" t="s">
        <v>428</v>
      </c>
      <c r="F22" s="11" t="s">
        <v>400</v>
      </c>
      <c r="G22" s="20" t="s">
        <v>58</v>
      </c>
      <c r="H22" s="21" t="s">
        <v>71</v>
      </c>
      <c r="I22" s="21" t="s">
        <v>71</v>
      </c>
      <c r="J22" s="19"/>
      <c r="K22" s="40" t="str">
        <f>"62,5"</f>
        <v>62,5</v>
      </c>
      <c r="L22" s="13" t="str">
        <f>"40,0687"</f>
        <v>40,0687</v>
      </c>
      <c r="M22" s="11" t="s">
        <v>72</v>
      </c>
    </row>
    <row r="24" spans="1:13" ht="16">
      <c r="A24" s="44" t="s">
        <v>73</v>
      </c>
      <c r="B24" s="44"/>
      <c r="C24" s="44"/>
      <c r="D24" s="44"/>
      <c r="E24" s="45"/>
      <c r="F24" s="44"/>
      <c r="G24" s="44"/>
      <c r="H24" s="44"/>
      <c r="I24" s="44"/>
      <c r="J24" s="44"/>
    </row>
    <row r="25" spans="1:13">
      <c r="A25" s="19" t="s">
        <v>18</v>
      </c>
      <c r="B25" s="11" t="s">
        <v>74</v>
      </c>
      <c r="C25" s="11" t="s">
        <v>75</v>
      </c>
      <c r="D25" s="11" t="s">
        <v>76</v>
      </c>
      <c r="E25" s="12" t="s">
        <v>424</v>
      </c>
      <c r="F25" s="11" t="s">
        <v>400</v>
      </c>
      <c r="G25" s="20" t="s">
        <v>49</v>
      </c>
      <c r="H25" s="20" t="s">
        <v>61</v>
      </c>
      <c r="I25" s="21" t="s">
        <v>33</v>
      </c>
      <c r="J25" s="19"/>
      <c r="K25" s="40" t="str">
        <f>"55,0"</f>
        <v>55,0</v>
      </c>
      <c r="L25" s="13" t="str">
        <f>"32,8047"</f>
        <v>32,8047</v>
      </c>
      <c r="M25" s="11"/>
    </row>
    <row r="27" spans="1:13" ht="16">
      <c r="F27" s="8"/>
      <c r="G27" s="5"/>
      <c r="M27" s="7"/>
    </row>
    <row r="28" spans="1:13">
      <c r="G28" s="5"/>
      <c r="M28" s="7"/>
    </row>
    <row r="29" spans="1:13" ht="18">
      <c r="B29" s="9" t="s">
        <v>7</v>
      </c>
      <c r="C29" s="9"/>
      <c r="G29" s="3"/>
      <c r="M29" s="7"/>
    </row>
    <row r="30" spans="1:13" ht="16">
      <c r="B30" s="14" t="s">
        <v>13</v>
      </c>
      <c r="C30" s="14"/>
      <c r="G30" s="3"/>
      <c r="M30" s="7"/>
    </row>
    <row r="31" spans="1:13" ht="14">
      <c r="B31" s="15" t="s">
        <v>15</v>
      </c>
      <c r="C31" s="15" t="s">
        <v>16</v>
      </c>
      <c r="D31" s="15" t="s">
        <v>397</v>
      </c>
      <c r="E31" s="16" t="s">
        <v>29</v>
      </c>
      <c r="F31" s="15" t="s">
        <v>36</v>
      </c>
      <c r="G31" s="3"/>
      <c r="M31" s="7"/>
    </row>
    <row r="32" spans="1:13">
      <c r="B32" s="5" t="s">
        <v>64</v>
      </c>
      <c r="C32" s="5" t="s">
        <v>14</v>
      </c>
      <c r="D32" s="10" t="s">
        <v>37</v>
      </c>
      <c r="E32" s="18">
        <v>70</v>
      </c>
      <c r="F32" s="17">
        <v>45.230499505996697</v>
      </c>
      <c r="G32" s="3"/>
      <c r="M32" s="7"/>
    </row>
    <row r="33" spans="2:13">
      <c r="B33" s="5" t="s">
        <v>59</v>
      </c>
      <c r="C33" s="5" t="s">
        <v>308</v>
      </c>
      <c r="D33" s="10" t="s">
        <v>79</v>
      </c>
      <c r="E33" s="18">
        <v>55</v>
      </c>
      <c r="F33" s="17">
        <v>45.105369310378997</v>
      </c>
      <c r="G33" s="3"/>
      <c r="M33" s="7"/>
    </row>
    <row r="34" spans="2:13">
      <c r="B34" s="5" t="s">
        <v>55</v>
      </c>
      <c r="C34" s="5" t="s">
        <v>14</v>
      </c>
      <c r="D34" s="10" t="s">
        <v>79</v>
      </c>
      <c r="E34" s="18">
        <v>62.5</v>
      </c>
      <c r="F34" s="17">
        <v>44.0093763172626</v>
      </c>
      <c r="G34" s="3"/>
      <c r="M34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8:J8"/>
    <mergeCell ref="A12:J12"/>
    <mergeCell ref="A17:J17"/>
    <mergeCell ref="A21:J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0.6640625" style="5" customWidth="1"/>
    <col min="7" max="9" width="5.3320312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54" t="s">
        <v>396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421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30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31</v>
      </c>
      <c r="C6" s="11" t="s">
        <v>378</v>
      </c>
      <c r="D6" s="11" t="s">
        <v>32</v>
      </c>
      <c r="E6" s="12" t="s">
        <v>425</v>
      </c>
      <c r="F6" s="11" t="s">
        <v>400</v>
      </c>
      <c r="G6" s="20" t="s">
        <v>23</v>
      </c>
      <c r="H6" s="20" t="s">
        <v>33</v>
      </c>
      <c r="I6" s="21" t="s">
        <v>34</v>
      </c>
      <c r="J6" s="19"/>
      <c r="K6" s="13" t="str">
        <f>"65,0"</f>
        <v>65,0</v>
      </c>
      <c r="L6" s="13" t="str">
        <f>"42,0323"</f>
        <v>42,0323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1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2.5" style="5" customWidth="1"/>
    <col min="22" max="16384" width="9.1640625" style="3"/>
  </cols>
  <sheetData>
    <row r="1" spans="1:21" s="2" customFormat="1" ht="29" customHeight="1">
      <c r="A1" s="54" t="s">
        <v>391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119</v>
      </c>
      <c r="H3" s="66"/>
      <c r="I3" s="66"/>
      <c r="J3" s="66"/>
      <c r="K3" s="66" t="s">
        <v>107</v>
      </c>
      <c r="L3" s="66"/>
      <c r="M3" s="66"/>
      <c r="N3" s="66"/>
      <c r="O3" s="66" t="s">
        <v>120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73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9" t="s">
        <v>18</v>
      </c>
      <c r="B6" s="11" t="s">
        <v>168</v>
      </c>
      <c r="C6" s="11" t="s">
        <v>169</v>
      </c>
      <c r="D6" s="11" t="s">
        <v>170</v>
      </c>
      <c r="E6" s="12" t="s">
        <v>424</v>
      </c>
      <c r="F6" s="11" t="s">
        <v>402</v>
      </c>
      <c r="G6" s="20" t="s">
        <v>130</v>
      </c>
      <c r="H6" s="21" t="s">
        <v>171</v>
      </c>
      <c r="I6" s="21" t="s">
        <v>171</v>
      </c>
      <c r="J6" s="19"/>
      <c r="K6" s="20" t="s">
        <v>172</v>
      </c>
      <c r="L6" s="20" t="s">
        <v>127</v>
      </c>
      <c r="M6" s="21" t="s">
        <v>173</v>
      </c>
      <c r="N6" s="19"/>
      <c r="O6" s="20" t="s">
        <v>146</v>
      </c>
      <c r="P6" s="21" t="s">
        <v>174</v>
      </c>
      <c r="Q6" s="21" t="s">
        <v>174</v>
      </c>
      <c r="R6" s="19"/>
      <c r="S6" s="13" t="str">
        <f>"740,0"</f>
        <v>740,0</v>
      </c>
      <c r="T6" s="13" t="str">
        <f>"452,5840"</f>
        <v>452,5840</v>
      </c>
      <c r="U6" s="11" t="s">
        <v>399</v>
      </c>
    </row>
    <row r="8" spans="1:21" ht="16">
      <c r="A8" s="44" t="s">
        <v>111</v>
      </c>
      <c r="B8" s="44"/>
      <c r="C8" s="44"/>
      <c r="D8" s="44"/>
      <c r="E8" s="45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19" t="s">
        <v>18</v>
      </c>
      <c r="B9" s="11" t="s">
        <v>175</v>
      </c>
      <c r="C9" s="11" t="s">
        <v>176</v>
      </c>
      <c r="D9" s="11" t="s">
        <v>177</v>
      </c>
      <c r="E9" s="12" t="s">
        <v>427</v>
      </c>
      <c r="F9" s="11" t="s">
        <v>400</v>
      </c>
      <c r="G9" s="20" t="s">
        <v>115</v>
      </c>
      <c r="H9" s="20" t="s">
        <v>178</v>
      </c>
      <c r="I9" s="20" t="s">
        <v>137</v>
      </c>
      <c r="J9" s="19"/>
      <c r="K9" s="20" t="s">
        <v>165</v>
      </c>
      <c r="L9" s="20" t="s">
        <v>115</v>
      </c>
      <c r="M9" s="21" t="s">
        <v>178</v>
      </c>
      <c r="N9" s="19"/>
      <c r="O9" s="20" t="s">
        <v>148</v>
      </c>
      <c r="P9" s="20" t="s">
        <v>179</v>
      </c>
      <c r="Q9" s="19"/>
      <c r="R9" s="19"/>
      <c r="S9" s="13" t="str">
        <f>"400,0"</f>
        <v>400,0</v>
      </c>
      <c r="T9" s="13" t="str">
        <f>"435,1984"</f>
        <v>435,1984</v>
      </c>
      <c r="U9" s="11"/>
    </row>
    <row r="11" spans="1:21" ht="16">
      <c r="A11" s="44" t="s">
        <v>91</v>
      </c>
      <c r="B11" s="44"/>
      <c r="C11" s="44"/>
      <c r="D11" s="44"/>
      <c r="E11" s="45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>
      <c r="A12" s="19" t="s">
        <v>18</v>
      </c>
      <c r="B12" s="11" t="s">
        <v>180</v>
      </c>
      <c r="C12" s="11" t="s">
        <v>181</v>
      </c>
      <c r="D12" s="11" t="s">
        <v>182</v>
      </c>
      <c r="E12" s="12" t="s">
        <v>424</v>
      </c>
      <c r="F12" s="11" t="s">
        <v>403</v>
      </c>
      <c r="G12" s="20" t="s">
        <v>183</v>
      </c>
      <c r="H12" s="20" t="s">
        <v>135</v>
      </c>
      <c r="I12" s="21" t="s">
        <v>184</v>
      </c>
      <c r="J12" s="19"/>
      <c r="K12" s="20" t="s">
        <v>126</v>
      </c>
      <c r="L12" s="20" t="s">
        <v>185</v>
      </c>
      <c r="M12" s="20" t="s">
        <v>186</v>
      </c>
      <c r="N12" s="19"/>
      <c r="O12" s="20" t="s">
        <v>129</v>
      </c>
      <c r="P12" s="21" t="s">
        <v>187</v>
      </c>
      <c r="Q12" s="21" t="s">
        <v>187</v>
      </c>
      <c r="R12" s="19"/>
      <c r="S12" s="13" t="str">
        <f>"640,0"</f>
        <v>640,0</v>
      </c>
      <c r="T12" s="13" t="str">
        <f>"376,1280"</f>
        <v>376,1280</v>
      </c>
      <c r="U12" s="11" t="s">
        <v>188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0.6640625" style="5" customWidth="1"/>
    <col min="7" max="9" width="5.5" style="10" customWidth="1"/>
    <col min="10" max="10" width="4.83203125" style="10" customWidth="1"/>
    <col min="11" max="13" width="5.3320312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33203125" style="5" bestFit="1" customWidth="1"/>
    <col min="22" max="16384" width="9.1640625" style="3"/>
  </cols>
  <sheetData>
    <row r="1" spans="1:21" s="2" customFormat="1" ht="29" customHeight="1">
      <c r="A1" s="54" t="s">
        <v>392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119</v>
      </c>
      <c r="H3" s="66"/>
      <c r="I3" s="66"/>
      <c r="J3" s="66"/>
      <c r="K3" s="66" t="s">
        <v>107</v>
      </c>
      <c r="L3" s="66"/>
      <c r="M3" s="66"/>
      <c r="N3" s="66"/>
      <c r="O3" s="66" t="s">
        <v>120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158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9" t="s">
        <v>18</v>
      </c>
      <c r="B6" s="11" t="s">
        <v>159</v>
      </c>
      <c r="C6" s="11" t="s">
        <v>160</v>
      </c>
      <c r="D6" s="11" t="s">
        <v>161</v>
      </c>
      <c r="E6" s="12" t="s">
        <v>424</v>
      </c>
      <c r="F6" s="11" t="s">
        <v>400</v>
      </c>
      <c r="G6" s="20" t="s">
        <v>162</v>
      </c>
      <c r="H6" s="20" t="s">
        <v>163</v>
      </c>
      <c r="I6" s="21" t="s">
        <v>164</v>
      </c>
      <c r="J6" s="19"/>
      <c r="K6" s="20" t="s">
        <v>84</v>
      </c>
      <c r="L6" s="21" t="s">
        <v>49</v>
      </c>
      <c r="M6" s="21" t="s">
        <v>67</v>
      </c>
      <c r="N6" s="19"/>
      <c r="O6" s="20" t="s">
        <v>105</v>
      </c>
      <c r="P6" s="20" t="s">
        <v>165</v>
      </c>
      <c r="Q6" s="20" t="s">
        <v>106</v>
      </c>
      <c r="R6" s="19"/>
      <c r="S6" s="13" t="str">
        <f>"240,0"</f>
        <v>240,0</v>
      </c>
      <c r="T6" s="13" t="str">
        <f>"267,5760"</f>
        <v>267,5760</v>
      </c>
      <c r="U6" s="11" t="s">
        <v>166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11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8.6640625" style="5" bestFit="1" customWidth="1"/>
    <col min="22" max="16384" width="9.1640625" style="3"/>
  </cols>
  <sheetData>
    <row r="1" spans="1:21" s="2" customFormat="1" ht="29" customHeight="1">
      <c r="A1" s="54" t="s">
        <v>393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119</v>
      </c>
      <c r="H3" s="66"/>
      <c r="I3" s="66"/>
      <c r="J3" s="66"/>
      <c r="K3" s="66" t="s">
        <v>107</v>
      </c>
      <c r="L3" s="66"/>
      <c r="M3" s="66"/>
      <c r="N3" s="66"/>
      <c r="O3" s="66" t="s">
        <v>120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73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31" t="s">
        <v>18</v>
      </c>
      <c r="B6" s="22" t="s">
        <v>121</v>
      </c>
      <c r="C6" s="22" t="s">
        <v>122</v>
      </c>
      <c r="D6" s="22" t="s">
        <v>123</v>
      </c>
      <c r="E6" s="23" t="s">
        <v>424</v>
      </c>
      <c r="F6" s="22" t="s">
        <v>402</v>
      </c>
      <c r="G6" s="36" t="s">
        <v>124</v>
      </c>
      <c r="H6" s="36" t="s">
        <v>125</v>
      </c>
      <c r="I6" s="32" t="s">
        <v>125</v>
      </c>
      <c r="J6" s="31"/>
      <c r="K6" s="32" t="s">
        <v>126</v>
      </c>
      <c r="L6" s="32" t="s">
        <v>127</v>
      </c>
      <c r="M6" s="36" t="s">
        <v>128</v>
      </c>
      <c r="N6" s="31"/>
      <c r="O6" s="32" t="s">
        <v>129</v>
      </c>
      <c r="P6" s="32" t="s">
        <v>125</v>
      </c>
      <c r="Q6" s="36" t="s">
        <v>130</v>
      </c>
      <c r="R6" s="31"/>
      <c r="S6" s="24" t="str">
        <f>"700,0"</f>
        <v>700,0</v>
      </c>
      <c r="T6" s="24" t="str">
        <f>"439,0400"</f>
        <v>439,0400</v>
      </c>
      <c r="U6" s="22" t="s">
        <v>131</v>
      </c>
    </row>
    <row r="7" spans="1:21">
      <c r="A7" s="33" t="s">
        <v>18</v>
      </c>
      <c r="B7" s="25" t="s">
        <v>132</v>
      </c>
      <c r="C7" s="25" t="s">
        <v>133</v>
      </c>
      <c r="D7" s="25" t="s">
        <v>134</v>
      </c>
      <c r="E7" s="26" t="s">
        <v>428</v>
      </c>
      <c r="F7" s="25" t="s">
        <v>402</v>
      </c>
      <c r="G7" s="34" t="s">
        <v>135</v>
      </c>
      <c r="H7" s="34" t="s">
        <v>136</v>
      </c>
      <c r="I7" s="34" t="s">
        <v>129</v>
      </c>
      <c r="J7" s="33"/>
      <c r="K7" s="34" t="s">
        <v>137</v>
      </c>
      <c r="L7" s="34" t="s">
        <v>138</v>
      </c>
      <c r="M7" s="34" t="s">
        <v>139</v>
      </c>
      <c r="N7" s="33"/>
      <c r="O7" s="34" t="s">
        <v>135</v>
      </c>
      <c r="P7" s="34" t="s">
        <v>140</v>
      </c>
      <c r="Q7" s="34" t="s">
        <v>141</v>
      </c>
      <c r="R7" s="33"/>
      <c r="S7" s="27" t="str">
        <f>"627,5"</f>
        <v>627,5</v>
      </c>
      <c r="T7" s="27" t="str">
        <f>"420,7593"</f>
        <v>420,7593</v>
      </c>
      <c r="U7" s="25"/>
    </row>
    <row r="9" spans="1:21" ht="16">
      <c r="A9" s="44" t="s">
        <v>111</v>
      </c>
      <c r="B9" s="44"/>
      <c r="C9" s="44"/>
      <c r="D9" s="44"/>
      <c r="E9" s="45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21">
      <c r="A10" s="31" t="s">
        <v>18</v>
      </c>
      <c r="B10" s="22" t="s">
        <v>142</v>
      </c>
      <c r="C10" s="22" t="s">
        <v>143</v>
      </c>
      <c r="D10" s="22" t="s">
        <v>144</v>
      </c>
      <c r="E10" s="23" t="s">
        <v>424</v>
      </c>
      <c r="F10" s="22" t="s">
        <v>400</v>
      </c>
      <c r="G10" s="32" t="s">
        <v>130</v>
      </c>
      <c r="H10" s="32" t="s">
        <v>145</v>
      </c>
      <c r="I10" s="36" t="s">
        <v>146</v>
      </c>
      <c r="J10" s="31"/>
      <c r="K10" s="32" t="s">
        <v>147</v>
      </c>
      <c r="L10" s="32" t="s">
        <v>148</v>
      </c>
      <c r="M10" s="32" t="s">
        <v>126</v>
      </c>
      <c r="N10" s="31"/>
      <c r="O10" s="32" t="s">
        <v>124</v>
      </c>
      <c r="P10" s="32" t="s">
        <v>149</v>
      </c>
      <c r="Q10" s="32" t="s">
        <v>130</v>
      </c>
      <c r="R10" s="31"/>
      <c r="S10" s="24" t="str">
        <f>"710,0"</f>
        <v>710,0</v>
      </c>
      <c r="T10" s="24" t="str">
        <f>"421,6690"</f>
        <v>421,6690</v>
      </c>
      <c r="U10" s="22" t="s">
        <v>150</v>
      </c>
    </row>
    <row r="11" spans="1:21">
      <c r="A11" s="33" t="s">
        <v>157</v>
      </c>
      <c r="B11" s="25" t="s">
        <v>151</v>
      </c>
      <c r="C11" s="25" t="s">
        <v>152</v>
      </c>
      <c r="D11" s="25" t="s">
        <v>153</v>
      </c>
      <c r="E11" s="26" t="s">
        <v>424</v>
      </c>
      <c r="F11" s="25" t="s">
        <v>404</v>
      </c>
      <c r="G11" s="35" t="s">
        <v>154</v>
      </c>
      <c r="H11" s="35" t="s">
        <v>154</v>
      </c>
      <c r="I11" s="34" t="s">
        <v>154</v>
      </c>
      <c r="J11" s="33"/>
      <c r="K11" s="34" t="s">
        <v>138</v>
      </c>
      <c r="L11" s="34" t="s">
        <v>155</v>
      </c>
      <c r="M11" s="34" t="s">
        <v>148</v>
      </c>
      <c r="N11" s="33"/>
      <c r="O11" s="34" t="s">
        <v>125</v>
      </c>
      <c r="P11" s="34" t="s">
        <v>156</v>
      </c>
      <c r="Q11" s="35" t="s">
        <v>146</v>
      </c>
      <c r="R11" s="33"/>
      <c r="S11" s="27" t="str">
        <f>"660,0"</f>
        <v>660,0</v>
      </c>
      <c r="T11" s="27" t="str">
        <f>"389,9940"</f>
        <v>389,9940</v>
      </c>
      <c r="U11" s="25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1.16406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0.33203125" style="5" customWidth="1"/>
    <col min="18" max="16384" width="9.1640625" style="3"/>
  </cols>
  <sheetData>
    <row r="1" spans="1:17" s="2" customFormat="1" ht="29" customHeight="1">
      <c r="A1" s="54" t="s">
        <v>379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66" t="s">
        <v>120</v>
      </c>
      <c r="L3" s="66"/>
      <c r="M3" s="66"/>
      <c r="N3" s="66"/>
      <c r="O3" s="48" t="s">
        <v>1</v>
      </c>
      <c r="P3" s="48" t="s">
        <v>3</v>
      </c>
      <c r="Q3" s="50" t="s">
        <v>2</v>
      </c>
    </row>
    <row r="4" spans="1:17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9"/>
      <c r="Q4" s="51"/>
    </row>
    <row r="5" spans="1:17" ht="16">
      <c r="A5" s="52" t="s">
        <v>45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19" t="s">
        <v>18</v>
      </c>
      <c r="B6" s="11" t="s">
        <v>274</v>
      </c>
      <c r="C6" s="11" t="s">
        <v>275</v>
      </c>
      <c r="D6" s="11" t="s">
        <v>276</v>
      </c>
      <c r="E6" s="12" t="s">
        <v>424</v>
      </c>
      <c r="F6" s="11" t="s">
        <v>400</v>
      </c>
      <c r="G6" s="20" t="s">
        <v>27</v>
      </c>
      <c r="H6" s="20" t="s">
        <v>102</v>
      </c>
      <c r="I6" s="21" t="s">
        <v>11</v>
      </c>
      <c r="J6" s="19"/>
      <c r="K6" s="20" t="s">
        <v>179</v>
      </c>
      <c r="L6" s="20" t="s">
        <v>277</v>
      </c>
      <c r="M6" s="20" t="s">
        <v>127</v>
      </c>
      <c r="N6" s="19"/>
      <c r="O6" s="13" t="str">
        <f>"257,5"</f>
        <v>257,5</v>
      </c>
      <c r="P6" s="13" t="str">
        <f>"268,9330"</f>
        <v>268,9330</v>
      </c>
      <c r="Q6" s="11" t="s">
        <v>24</v>
      </c>
    </row>
    <row r="8" spans="1:17" ht="16">
      <c r="A8" s="44" t="s">
        <v>54</v>
      </c>
      <c r="B8" s="44"/>
      <c r="C8" s="44"/>
      <c r="D8" s="44"/>
      <c r="E8" s="45"/>
      <c r="F8" s="44"/>
      <c r="G8" s="44"/>
      <c r="H8" s="44"/>
      <c r="I8" s="44"/>
      <c r="J8" s="44"/>
      <c r="K8" s="44"/>
      <c r="L8" s="44"/>
      <c r="M8" s="44"/>
      <c r="N8" s="44"/>
    </row>
    <row r="9" spans="1:17">
      <c r="A9" s="19" t="s">
        <v>18</v>
      </c>
      <c r="B9" s="11" t="s">
        <v>367</v>
      </c>
      <c r="C9" s="11" t="s">
        <v>368</v>
      </c>
      <c r="D9" s="11" t="s">
        <v>369</v>
      </c>
      <c r="E9" s="12" t="s">
        <v>424</v>
      </c>
      <c r="F9" s="11" t="s">
        <v>400</v>
      </c>
      <c r="G9" s="20" t="s">
        <v>200</v>
      </c>
      <c r="H9" s="20" t="s">
        <v>301</v>
      </c>
      <c r="I9" s="20" t="s">
        <v>302</v>
      </c>
      <c r="J9" s="19"/>
      <c r="K9" s="20" t="s">
        <v>296</v>
      </c>
      <c r="L9" s="20" t="s">
        <v>128</v>
      </c>
      <c r="M9" s="20" t="s">
        <v>254</v>
      </c>
      <c r="N9" s="19"/>
      <c r="O9" s="13" t="str">
        <f>"327,5"</f>
        <v>327,5</v>
      </c>
      <c r="P9" s="13" t="str">
        <f>"235,5707"</f>
        <v>235,5707</v>
      </c>
      <c r="Q9" s="11"/>
    </row>
    <row r="11" spans="1:17" ht="16">
      <c r="A11" s="44" t="s">
        <v>30</v>
      </c>
      <c r="B11" s="44"/>
      <c r="C11" s="44"/>
      <c r="D11" s="44"/>
      <c r="E11" s="45"/>
      <c r="F11" s="44"/>
      <c r="G11" s="44"/>
      <c r="H11" s="44"/>
      <c r="I11" s="44"/>
      <c r="J11" s="44"/>
      <c r="K11" s="44"/>
      <c r="L11" s="44"/>
      <c r="M11" s="44"/>
      <c r="N11" s="44"/>
    </row>
    <row r="12" spans="1:17">
      <c r="A12" s="31" t="s">
        <v>18</v>
      </c>
      <c r="B12" s="22" t="s">
        <v>370</v>
      </c>
      <c r="C12" s="22" t="s">
        <v>371</v>
      </c>
      <c r="D12" s="22" t="s">
        <v>66</v>
      </c>
      <c r="E12" s="23" t="s">
        <v>424</v>
      </c>
      <c r="F12" s="22" t="s">
        <v>400</v>
      </c>
      <c r="G12" s="32" t="s">
        <v>92</v>
      </c>
      <c r="H12" s="36" t="s">
        <v>93</v>
      </c>
      <c r="I12" s="32" t="s">
        <v>93</v>
      </c>
      <c r="J12" s="31"/>
      <c r="K12" s="32" t="s">
        <v>127</v>
      </c>
      <c r="L12" s="32" t="s">
        <v>296</v>
      </c>
      <c r="M12" s="32" t="s">
        <v>253</v>
      </c>
      <c r="N12" s="31"/>
      <c r="O12" s="24" t="str">
        <f>"320,0"</f>
        <v>320,0</v>
      </c>
      <c r="P12" s="24" t="str">
        <f>"214,8480"</f>
        <v>214,8480</v>
      </c>
      <c r="Q12" s="22" t="s">
        <v>338</v>
      </c>
    </row>
    <row r="13" spans="1:17">
      <c r="A13" s="33" t="s">
        <v>81</v>
      </c>
      <c r="B13" s="25" t="s">
        <v>372</v>
      </c>
      <c r="C13" s="25" t="s">
        <v>373</v>
      </c>
      <c r="D13" s="25" t="s">
        <v>249</v>
      </c>
      <c r="E13" s="26" t="s">
        <v>424</v>
      </c>
      <c r="F13" s="25" t="s">
        <v>405</v>
      </c>
      <c r="G13" s="35" t="s">
        <v>93</v>
      </c>
      <c r="H13" s="35" t="s">
        <v>93</v>
      </c>
      <c r="I13" s="35" t="s">
        <v>93</v>
      </c>
      <c r="J13" s="33"/>
      <c r="K13" s="35"/>
      <c r="L13" s="33"/>
      <c r="M13" s="33"/>
      <c r="N13" s="33"/>
      <c r="O13" s="42">
        <v>0</v>
      </c>
      <c r="P13" s="27" t="str">
        <f>"0,0000"</f>
        <v>0,0000</v>
      </c>
      <c r="Q13" s="25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3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8.5" style="5" bestFit="1" customWidth="1"/>
    <col min="7" max="9" width="5.5" style="10" customWidth="1"/>
    <col min="10" max="10" width="4.83203125" style="10" customWidth="1"/>
    <col min="11" max="11" width="10.5" style="18" bestFit="1" customWidth="1"/>
    <col min="12" max="12" width="8.5" style="7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54" t="s">
        <v>386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67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68"/>
      <c r="L4" s="49"/>
      <c r="M4" s="51"/>
    </row>
    <row r="5" spans="1:13" ht="16">
      <c r="A5" s="52" t="s">
        <v>45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274</v>
      </c>
      <c r="C6" s="11" t="s">
        <v>275</v>
      </c>
      <c r="D6" s="11" t="s">
        <v>276</v>
      </c>
      <c r="E6" s="12" t="s">
        <v>424</v>
      </c>
      <c r="F6" s="11" t="s">
        <v>400</v>
      </c>
      <c r="G6" s="20" t="s">
        <v>27</v>
      </c>
      <c r="H6" s="20" t="s">
        <v>102</v>
      </c>
      <c r="I6" s="21" t="s">
        <v>11</v>
      </c>
      <c r="J6" s="19"/>
      <c r="K6" s="40" t="str">
        <f>"77,5"</f>
        <v>77,5</v>
      </c>
      <c r="L6" s="13" t="str">
        <f>"80,9410"</f>
        <v>80,9410</v>
      </c>
      <c r="M6" s="11" t="s">
        <v>24</v>
      </c>
    </row>
    <row r="8" spans="1:13" ht="16">
      <c r="A8" s="44" t="s">
        <v>158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19" t="s">
        <v>18</v>
      </c>
      <c r="B9" s="11" t="s">
        <v>193</v>
      </c>
      <c r="C9" s="11" t="s">
        <v>194</v>
      </c>
      <c r="D9" s="11" t="s">
        <v>195</v>
      </c>
      <c r="E9" s="12" t="s">
        <v>425</v>
      </c>
      <c r="F9" s="11" t="s">
        <v>400</v>
      </c>
      <c r="G9" s="20" t="s">
        <v>106</v>
      </c>
      <c r="H9" s="20" t="s">
        <v>116</v>
      </c>
      <c r="I9" s="20" t="s">
        <v>196</v>
      </c>
      <c r="J9" s="19"/>
      <c r="K9" s="40" t="str">
        <f>"112,5"</f>
        <v>112,5</v>
      </c>
      <c r="L9" s="13" t="str">
        <f>"96,5362"</f>
        <v>96,5362</v>
      </c>
      <c r="M9" s="11"/>
    </row>
    <row r="11" spans="1:13" ht="16">
      <c r="A11" s="44" t="s">
        <v>54</v>
      </c>
      <c r="B11" s="44"/>
      <c r="C11" s="44"/>
      <c r="D11" s="44"/>
      <c r="E11" s="45"/>
      <c r="F11" s="44"/>
      <c r="G11" s="44"/>
      <c r="H11" s="44"/>
      <c r="I11" s="44"/>
      <c r="J11" s="44"/>
    </row>
    <row r="12" spans="1:13">
      <c r="A12" s="31" t="s">
        <v>18</v>
      </c>
      <c r="B12" s="22" t="s">
        <v>55</v>
      </c>
      <c r="C12" s="22" t="s">
        <v>56</v>
      </c>
      <c r="D12" s="22" t="s">
        <v>57</v>
      </c>
      <c r="E12" s="23" t="s">
        <v>424</v>
      </c>
      <c r="F12" s="22" t="s">
        <v>406</v>
      </c>
      <c r="G12" s="32" t="s">
        <v>126</v>
      </c>
      <c r="H12" s="32" t="s">
        <v>258</v>
      </c>
      <c r="I12" s="32" t="s">
        <v>179</v>
      </c>
      <c r="J12" s="31"/>
      <c r="K12" s="41" t="str">
        <f>"165,0"</f>
        <v>165,0</v>
      </c>
      <c r="L12" s="24" t="str">
        <f>"120,0870"</f>
        <v>120,0870</v>
      </c>
      <c r="M12" s="22"/>
    </row>
    <row r="13" spans="1:13">
      <c r="A13" s="33" t="s">
        <v>81</v>
      </c>
      <c r="B13" s="25" t="s">
        <v>59</v>
      </c>
      <c r="C13" s="25" t="s">
        <v>278</v>
      </c>
      <c r="D13" s="25" t="s">
        <v>60</v>
      </c>
      <c r="E13" s="26" t="s">
        <v>429</v>
      </c>
      <c r="F13" s="25" t="s">
        <v>400</v>
      </c>
      <c r="G13" s="35" t="s">
        <v>279</v>
      </c>
      <c r="H13" s="35" t="s">
        <v>280</v>
      </c>
      <c r="I13" s="35" t="s">
        <v>280</v>
      </c>
      <c r="J13" s="33"/>
      <c r="K13" s="42">
        <v>0</v>
      </c>
      <c r="L13" s="27" t="str">
        <f>"0,0000"</f>
        <v>0,0000</v>
      </c>
      <c r="M13" s="25" t="s">
        <v>62</v>
      </c>
    </row>
    <row r="15" spans="1:13" ht="16">
      <c r="A15" s="44" t="s">
        <v>73</v>
      </c>
      <c r="B15" s="44"/>
      <c r="C15" s="44"/>
      <c r="D15" s="44"/>
      <c r="E15" s="45"/>
      <c r="F15" s="44"/>
      <c r="G15" s="44"/>
      <c r="H15" s="44"/>
      <c r="I15" s="44"/>
      <c r="J15" s="44"/>
    </row>
    <row r="16" spans="1:13">
      <c r="A16" s="31" t="s">
        <v>18</v>
      </c>
      <c r="B16" s="22" t="s">
        <v>281</v>
      </c>
      <c r="C16" s="22" t="s">
        <v>282</v>
      </c>
      <c r="D16" s="22" t="s">
        <v>219</v>
      </c>
      <c r="E16" s="23" t="s">
        <v>425</v>
      </c>
      <c r="F16" s="22" t="s">
        <v>407</v>
      </c>
      <c r="G16" s="32" t="s">
        <v>93</v>
      </c>
      <c r="H16" s="32" t="s">
        <v>280</v>
      </c>
      <c r="I16" s="36" t="s">
        <v>138</v>
      </c>
      <c r="J16" s="31"/>
      <c r="K16" s="41" t="str">
        <f>"135,0"</f>
        <v>135,0</v>
      </c>
      <c r="L16" s="24" t="str">
        <f>"82,1610"</f>
        <v>82,1610</v>
      </c>
      <c r="M16" s="22" t="s">
        <v>283</v>
      </c>
    </row>
    <row r="17" spans="1:13">
      <c r="A17" s="33" t="s">
        <v>18</v>
      </c>
      <c r="B17" s="25" t="s">
        <v>74</v>
      </c>
      <c r="C17" s="25" t="s">
        <v>75</v>
      </c>
      <c r="D17" s="25" t="s">
        <v>76</v>
      </c>
      <c r="E17" s="26" t="s">
        <v>424</v>
      </c>
      <c r="F17" s="25" t="s">
        <v>400</v>
      </c>
      <c r="G17" s="34" t="s">
        <v>93</v>
      </c>
      <c r="H17" s="34" t="s">
        <v>94</v>
      </c>
      <c r="I17" s="34" t="s">
        <v>138</v>
      </c>
      <c r="J17" s="33"/>
      <c r="K17" s="42" t="str">
        <f>"140,0"</f>
        <v>140,0</v>
      </c>
      <c r="L17" s="27" t="str">
        <f>"87,2900"</f>
        <v>87,2900</v>
      </c>
      <c r="M17" s="25"/>
    </row>
    <row r="19" spans="1:13" ht="16">
      <c r="A19" s="44" t="s">
        <v>111</v>
      </c>
      <c r="B19" s="44"/>
      <c r="C19" s="44"/>
      <c r="D19" s="44"/>
      <c r="E19" s="45"/>
      <c r="F19" s="44"/>
      <c r="G19" s="44"/>
      <c r="H19" s="44"/>
      <c r="I19" s="44"/>
      <c r="J19" s="44"/>
    </row>
    <row r="20" spans="1:13">
      <c r="A20" s="31" t="s">
        <v>18</v>
      </c>
      <c r="B20" s="22" t="s">
        <v>284</v>
      </c>
      <c r="C20" s="22" t="s">
        <v>285</v>
      </c>
      <c r="D20" s="22" t="s">
        <v>286</v>
      </c>
      <c r="E20" s="23" t="s">
        <v>424</v>
      </c>
      <c r="F20" s="22" t="s">
        <v>408</v>
      </c>
      <c r="G20" s="32" t="s">
        <v>148</v>
      </c>
      <c r="H20" s="32" t="s">
        <v>126</v>
      </c>
      <c r="I20" s="36" t="s">
        <v>179</v>
      </c>
      <c r="J20" s="31"/>
      <c r="K20" s="41" t="str">
        <f>"160,0"</f>
        <v>160,0</v>
      </c>
      <c r="L20" s="24" t="str">
        <f>"94,6240"</f>
        <v>94,6240</v>
      </c>
      <c r="M20" s="22" t="s">
        <v>99</v>
      </c>
    </row>
    <row r="21" spans="1:13">
      <c r="A21" s="33" t="s">
        <v>157</v>
      </c>
      <c r="B21" s="25" t="s">
        <v>287</v>
      </c>
      <c r="C21" s="25" t="s">
        <v>288</v>
      </c>
      <c r="D21" s="25" t="s">
        <v>289</v>
      </c>
      <c r="E21" s="26" t="s">
        <v>424</v>
      </c>
      <c r="F21" s="25" t="s">
        <v>401</v>
      </c>
      <c r="G21" s="34" t="s">
        <v>93</v>
      </c>
      <c r="H21" s="34" t="s">
        <v>137</v>
      </c>
      <c r="I21" s="35" t="s">
        <v>94</v>
      </c>
      <c r="J21" s="33"/>
      <c r="K21" s="42" t="str">
        <f>"130,0"</f>
        <v>130,0</v>
      </c>
      <c r="L21" s="27" t="str">
        <f>"78,8060"</f>
        <v>78,8060</v>
      </c>
      <c r="M21" s="25"/>
    </row>
    <row r="23" spans="1:13" ht="16">
      <c r="A23" s="44" t="s">
        <v>91</v>
      </c>
      <c r="B23" s="44"/>
      <c r="C23" s="44"/>
      <c r="D23" s="44"/>
      <c r="E23" s="45"/>
      <c r="F23" s="44"/>
      <c r="G23" s="44"/>
      <c r="H23" s="44"/>
      <c r="I23" s="44"/>
      <c r="J23" s="44"/>
    </row>
    <row r="24" spans="1:13">
      <c r="A24" s="19" t="s">
        <v>18</v>
      </c>
      <c r="B24" s="11" t="s">
        <v>290</v>
      </c>
      <c r="C24" s="11" t="s">
        <v>291</v>
      </c>
      <c r="D24" s="11" t="s">
        <v>292</v>
      </c>
      <c r="E24" s="12" t="s">
        <v>428</v>
      </c>
      <c r="F24" s="11" t="s">
        <v>409</v>
      </c>
      <c r="G24" s="20" t="s">
        <v>277</v>
      </c>
      <c r="H24" s="19"/>
      <c r="I24" s="19"/>
      <c r="J24" s="19"/>
      <c r="K24" s="40" t="str">
        <f>"177,5"</f>
        <v>177,5</v>
      </c>
      <c r="L24" s="13" t="str">
        <f>"102,1090"</f>
        <v>102,1090</v>
      </c>
      <c r="M24" s="11"/>
    </row>
    <row r="26" spans="1:13" ht="16">
      <c r="F26" s="8"/>
      <c r="G26" s="5"/>
      <c r="M26" s="7"/>
    </row>
    <row r="27" spans="1:13">
      <c r="G27" s="5"/>
      <c r="M27" s="7"/>
    </row>
    <row r="28" spans="1:13" ht="18">
      <c r="B28" s="9" t="s">
        <v>7</v>
      </c>
      <c r="C28" s="9"/>
      <c r="G28" s="3"/>
      <c r="M28" s="7"/>
    </row>
    <row r="29" spans="1:13" ht="16">
      <c r="B29" s="14" t="s">
        <v>13</v>
      </c>
      <c r="C29" s="14"/>
      <c r="G29" s="3"/>
      <c r="M29" s="7"/>
    </row>
    <row r="30" spans="1:13" ht="14">
      <c r="B30" s="15" t="s">
        <v>15</v>
      </c>
      <c r="C30" s="15" t="s">
        <v>16</v>
      </c>
      <c r="D30" s="15" t="s">
        <v>397</v>
      </c>
      <c r="E30" s="16" t="s">
        <v>29</v>
      </c>
      <c r="F30" s="15" t="s">
        <v>17</v>
      </c>
      <c r="G30" s="3"/>
      <c r="M30" s="7"/>
    </row>
    <row r="31" spans="1:13">
      <c r="B31" s="5" t="s">
        <v>55</v>
      </c>
      <c r="C31" s="5" t="s">
        <v>14</v>
      </c>
      <c r="D31" s="10" t="s">
        <v>79</v>
      </c>
      <c r="E31" s="18">
        <v>165</v>
      </c>
      <c r="F31" s="17">
        <v>120.087001919746</v>
      </c>
      <c r="G31" s="3"/>
      <c r="M31" s="7"/>
    </row>
    <row r="32" spans="1:13">
      <c r="B32" s="5" t="s">
        <v>290</v>
      </c>
      <c r="C32" s="5" t="s">
        <v>117</v>
      </c>
      <c r="D32" s="10" t="s">
        <v>96</v>
      </c>
      <c r="E32" s="18">
        <v>177.5</v>
      </c>
      <c r="F32" s="17">
        <v>102.109000338614</v>
      </c>
      <c r="G32" s="3"/>
      <c r="M32" s="7"/>
    </row>
    <row r="33" spans="2:13">
      <c r="B33" s="5" t="s">
        <v>193</v>
      </c>
      <c r="C33" s="5" t="s">
        <v>35</v>
      </c>
      <c r="D33" s="10" t="s">
        <v>167</v>
      </c>
      <c r="E33" s="18">
        <v>112.5</v>
      </c>
      <c r="F33" s="17">
        <v>96.536249667406096</v>
      </c>
      <c r="G33" s="3"/>
      <c r="M33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1:J11"/>
    <mergeCell ref="A15:J15"/>
    <mergeCell ref="A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83203125" style="5" customWidth="1"/>
    <col min="4" max="4" width="21.5" style="5" bestFit="1" customWidth="1"/>
    <col min="5" max="5" width="10.5" style="6" bestFit="1" customWidth="1"/>
    <col min="6" max="6" width="21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4" t="s">
        <v>387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236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237</v>
      </c>
      <c r="C6" s="11" t="s">
        <v>238</v>
      </c>
      <c r="D6" s="11" t="s">
        <v>239</v>
      </c>
      <c r="E6" s="12" t="s">
        <v>430</v>
      </c>
      <c r="F6" s="11" t="s">
        <v>400</v>
      </c>
      <c r="G6" s="20" t="s">
        <v>43</v>
      </c>
      <c r="H6" s="20" t="s">
        <v>97</v>
      </c>
      <c r="I6" s="21" t="s">
        <v>98</v>
      </c>
      <c r="J6" s="19"/>
      <c r="K6" s="13" t="str">
        <f>"32,5"</f>
        <v>32,5</v>
      </c>
      <c r="L6" s="13" t="str">
        <f>"43,9107"</f>
        <v>43,9107</v>
      </c>
      <c r="M6" s="11" t="s">
        <v>240</v>
      </c>
    </row>
    <row r="8" spans="1:13" ht="16">
      <c r="A8" s="44" t="s">
        <v>54</v>
      </c>
      <c r="B8" s="44"/>
      <c r="C8" s="44"/>
      <c r="D8" s="44"/>
      <c r="E8" s="45"/>
      <c r="F8" s="44"/>
      <c r="G8" s="44"/>
      <c r="H8" s="44"/>
      <c r="I8" s="44"/>
      <c r="J8" s="44"/>
    </row>
    <row r="9" spans="1:13">
      <c r="A9" s="31" t="s">
        <v>18</v>
      </c>
      <c r="B9" s="22" t="s">
        <v>241</v>
      </c>
      <c r="C9" s="22" t="s">
        <v>242</v>
      </c>
      <c r="D9" s="22" t="s">
        <v>243</v>
      </c>
      <c r="E9" s="23" t="s">
        <v>424</v>
      </c>
      <c r="F9" s="22" t="s">
        <v>410</v>
      </c>
      <c r="G9" s="32" t="s">
        <v>178</v>
      </c>
      <c r="H9" s="32" t="s">
        <v>92</v>
      </c>
      <c r="I9" s="36" t="s">
        <v>93</v>
      </c>
      <c r="J9" s="31"/>
      <c r="K9" s="24" t="str">
        <f>"120,0"</f>
        <v>120,0</v>
      </c>
      <c r="L9" s="24" t="str">
        <f>"114,3600"</f>
        <v>114,3600</v>
      </c>
      <c r="M9" s="22" t="s">
        <v>62</v>
      </c>
    </row>
    <row r="10" spans="1:13">
      <c r="A10" s="33" t="s">
        <v>157</v>
      </c>
      <c r="B10" s="25" t="s">
        <v>208</v>
      </c>
      <c r="C10" s="25" t="s">
        <v>209</v>
      </c>
      <c r="D10" s="25" t="s">
        <v>210</v>
      </c>
      <c r="E10" s="26" t="s">
        <v>424</v>
      </c>
      <c r="F10" s="25" t="s">
        <v>400</v>
      </c>
      <c r="G10" s="34" t="s">
        <v>10</v>
      </c>
      <c r="H10" s="34" t="s">
        <v>28</v>
      </c>
      <c r="I10" s="34" t="s">
        <v>105</v>
      </c>
      <c r="J10" s="33"/>
      <c r="K10" s="27" t="str">
        <f>"90,0"</f>
        <v>90,0</v>
      </c>
      <c r="L10" s="27" t="str">
        <f>"88,6680"</f>
        <v>88,6680</v>
      </c>
      <c r="M10" s="25" t="s">
        <v>211</v>
      </c>
    </row>
    <row r="12" spans="1:13" ht="16">
      <c r="A12" s="44" t="s">
        <v>45</v>
      </c>
      <c r="B12" s="44"/>
      <c r="C12" s="44"/>
      <c r="D12" s="44"/>
      <c r="E12" s="45"/>
      <c r="F12" s="44"/>
      <c r="G12" s="44"/>
      <c r="H12" s="44"/>
      <c r="I12" s="44"/>
      <c r="J12" s="44"/>
    </row>
    <row r="13" spans="1:13">
      <c r="A13" s="19" t="s">
        <v>18</v>
      </c>
      <c r="B13" s="11" t="s">
        <v>244</v>
      </c>
      <c r="C13" s="11" t="s">
        <v>245</v>
      </c>
      <c r="D13" s="11" t="s">
        <v>246</v>
      </c>
      <c r="E13" s="12" t="s">
        <v>427</v>
      </c>
      <c r="F13" s="11" t="s">
        <v>400</v>
      </c>
      <c r="G13" s="20" t="s">
        <v>23</v>
      </c>
      <c r="H13" s="20" t="s">
        <v>34</v>
      </c>
      <c r="I13" s="21" t="s">
        <v>10</v>
      </c>
      <c r="J13" s="19"/>
      <c r="K13" s="13" t="str">
        <f>"70,0"</f>
        <v>70,0</v>
      </c>
      <c r="L13" s="13" t="str">
        <f>"94,4681"</f>
        <v>94,4681</v>
      </c>
      <c r="M13" s="11"/>
    </row>
    <row r="15" spans="1:13" ht="16">
      <c r="A15" s="44" t="s">
        <v>54</v>
      </c>
      <c r="B15" s="44"/>
      <c r="C15" s="44"/>
      <c r="D15" s="44"/>
      <c r="E15" s="45"/>
      <c r="F15" s="44"/>
      <c r="G15" s="44"/>
      <c r="H15" s="44"/>
      <c r="I15" s="44"/>
      <c r="J15" s="44"/>
    </row>
    <row r="16" spans="1:13">
      <c r="A16" s="19" t="s">
        <v>18</v>
      </c>
      <c r="B16" s="11" t="s">
        <v>220</v>
      </c>
      <c r="C16" s="11" t="s">
        <v>221</v>
      </c>
      <c r="D16" s="11" t="s">
        <v>222</v>
      </c>
      <c r="E16" s="12" t="s">
        <v>424</v>
      </c>
      <c r="F16" s="11" t="s">
        <v>401</v>
      </c>
      <c r="G16" s="20" t="s">
        <v>138</v>
      </c>
      <c r="H16" s="20" t="s">
        <v>147</v>
      </c>
      <c r="I16" s="21" t="s">
        <v>155</v>
      </c>
      <c r="J16" s="19"/>
      <c r="K16" s="13" t="str">
        <f>"145,0"</f>
        <v>145,0</v>
      </c>
      <c r="L16" s="13" t="str">
        <f>"106,5025"</f>
        <v>106,5025</v>
      </c>
      <c r="M16" s="11"/>
    </row>
    <row r="18" spans="1:13" ht="16">
      <c r="A18" s="44" t="s">
        <v>30</v>
      </c>
      <c r="B18" s="44"/>
      <c r="C18" s="44"/>
      <c r="D18" s="44"/>
      <c r="E18" s="45"/>
      <c r="F18" s="44"/>
      <c r="G18" s="44"/>
      <c r="H18" s="44"/>
      <c r="I18" s="44"/>
      <c r="J18" s="44"/>
    </row>
    <row r="19" spans="1:13">
      <c r="A19" s="19" t="s">
        <v>18</v>
      </c>
      <c r="B19" s="11" t="s">
        <v>247</v>
      </c>
      <c r="C19" s="11" t="s">
        <v>248</v>
      </c>
      <c r="D19" s="11" t="s">
        <v>249</v>
      </c>
      <c r="E19" s="12" t="s">
        <v>431</v>
      </c>
      <c r="F19" s="11" t="s">
        <v>400</v>
      </c>
      <c r="G19" s="20" t="s">
        <v>10</v>
      </c>
      <c r="H19" s="20" t="s">
        <v>28</v>
      </c>
      <c r="I19" s="19"/>
      <c r="J19" s="19"/>
      <c r="K19" s="13" t="str">
        <f>"85,0"</f>
        <v>85,0</v>
      </c>
      <c r="L19" s="13" t="str">
        <f>"118,2625"</f>
        <v>118,2625</v>
      </c>
      <c r="M19" s="11"/>
    </row>
    <row r="21" spans="1:13" ht="16">
      <c r="A21" s="44" t="s">
        <v>68</v>
      </c>
      <c r="B21" s="44"/>
      <c r="C21" s="44"/>
      <c r="D21" s="44"/>
      <c r="E21" s="45"/>
      <c r="F21" s="44"/>
      <c r="G21" s="44"/>
      <c r="H21" s="44"/>
      <c r="I21" s="44"/>
      <c r="J21" s="44"/>
    </row>
    <row r="22" spans="1:13">
      <c r="A22" s="31" t="s">
        <v>18</v>
      </c>
      <c r="B22" s="22" t="s">
        <v>250</v>
      </c>
      <c r="C22" s="22" t="s">
        <v>251</v>
      </c>
      <c r="D22" s="22" t="s">
        <v>252</v>
      </c>
      <c r="E22" s="23" t="s">
        <v>424</v>
      </c>
      <c r="F22" s="22" t="s">
        <v>411</v>
      </c>
      <c r="G22" s="32" t="s">
        <v>253</v>
      </c>
      <c r="H22" s="36" t="s">
        <v>254</v>
      </c>
      <c r="I22" s="36" t="s">
        <v>254</v>
      </c>
      <c r="J22" s="31"/>
      <c r="K22" s="24" t="str">
        <f>"195,0"</f>
        <v>195,0</v>
      </c>
      <c r="L22" s="24" t="str">
        <f>"129,3435"</f>
        <v>129,3435</v>
      </c>
      <c r="M22" s="22"/>
    </row>
    <row r="23" spans="1:13">
      <c r="A23" s="37" t="s">
        <v>157</v>
      </c>
      <c r="B23" s="28" t="s">
        <v>223</v>
      </c>
      <c r="C23" s="28" t="s">
        <v>224</v>
      </c>
      <c r="D23" s="28" t="s">
        <v>225</v>
      </c>
      <c r="E23" s="29" t="s">
        <v>424</v>
      </c>
      <c r="F23" s="28" t="s">
        <v>419</v>
      </c>
      <c r="G23" s="39" t="s">
        <v>126</v>
      </c>
      <c r="H23" s="39" t="s">
        <v>179</v>
      </c>
      <c r="I23" s="38" t="s">
        <v>179</v>
      </c>
      <c r="J23" s="37"/>
      <c r="K23" s="30" t="str">
        <f>"165,0"</f>
        <v>165,0</v>
      </c>
      <c r="L23" s="30" t="str">
        <f>"108,1245"</f>
        <v>108,1245</v>
      </c>
      <c r="M23" s="28"/>
    </row>
    <row r="24" spans="1:13">
      <c r="A24" s="37" t="s">
        <v>273</v>
      </c>
      <c r="B24" s="28" t="s">
        <v>255</v>
      </c>
      <c r="C24" s="28" t="s">
        <v>256</v>
      </c>
      <c r="D24" s="28" t="s">
        <v>257</v>
      </c>
      <c r="E24" s="29" t="s">
        <v>424</v>
      </c>
      <c r="F24" s="28" t="s">
        <v>412</v>
      </c>
      <c r="G24" s="38" t="s">
        <v>148</v>
      </c>
      <c r="H24" s="38" t="s">
        <v>126</v>
      </c>
      <c r="I24" s="38" t="s">
        <v>258</v>
      </c>
      <c r="J24" s="37"/>
      <c r="K24" s="30" t="str">
        <f>"162,5"</f>
        <v>162,5</v>
      </c>
      <c r="L24" s="30" t="str">
        <f>"104,1625"</f>
        <v>104,1625</v>
      </c>
      <c r="M24" s="28"/>
    </row>
    <row r="25" spans="1:13">
      <c r="A25" s="33" t="s">
        <v>18</v>
      </c>
      <c r="B25" s="25" t="s">
        <v>259</v>
      </c>
      <c r="C25" s="25" t="s">
        <v>260</v>
      </c>
      <c r="D25" s="25" t="s">
        <v>90</v>
      </c>
      <c r="E25" s="26" t="s">
        <v>428</v>
      </c>
      <c r="F25" s="25" t="s">
        <v>402</v>
      </c>
      <c r="G25" s="34" t="s">
        <v>148</v>
      </c>
      <c r="H25" s="34" t="s">
        <v>179</v>
      </c>
      <c r="I25" s="34" t="s">
        <v>185</v>
      </c>
      <c r="J25" s="33"/>
      <c r="K25" s="27" t="str">
        <f>"170,0"</f>
        <v>170,0</v>
      </c>
      <c r="L25" s="27" t="str">
        <f>"109,0706"</f>
        <v>109,0706</v>
      </c>
      <c r="M25" s="25" t="s">
        <v>261</v>
      </c>
    </row>
    <row r="27" spans="1:13" ht="16">
      <c r="A27" s="44" t="s">
        <v>73</v>
      </c>
      <c r="B27" s="44"/>
      <c r="C27" s="44"/>
      <c r="D27" s="44"/>
      <c r="E27" s="45"/>
      <c r="F27" s="44"/>
      <c r="G27" s="44"/>
      <c r="H27" s="44"/>
      <c r="I27" s="44"/>
      <c r="J27" s="44"/>
    </row>
    <row r="28" spans="1:13">
      <c r="A28" s="31" t="s">
        <v>18</v>
      </c>
      <c r="B28" s="22" t="s">
        <v>262</v>
      </c>
      <c r="C28" s="22" t="s">
        <v>263</v>
      </c>
      <c r="D28" s="22" t="s">
        <v>264</v>
      </c>
      <c r="E28" s="23" t="s">
        <v>430</v>
      </c>
      <c r="F28" s="22" t="s">
        <v>413</v>
      </c>
      <c r="G28" s="32" t="s">
        <v>105</v>
      </c>
      <c r="H28" s="32" t="s">
        <v>115</v>
      </c>
      <c r="I28" s="32" t="s">
        <v>196</v>
      </c>
      <c r="J28" s="31"/>
      <c r="K28" s="24" t="str">
        <f>"112,5"</f>
        <v>112,5</v>
      </c>
      <c r="L28" s="24" t="str">
        <f>"69,2100"</f>
        <v>69,2100</v>
      </c>
      <c r="M28" s="22" t="s">
        <v>201</v>
      </c>
    </row>
    <row r="29" spans="1:13">
      <c r="A29" s="33" t="s">
        <v>18</v>
      </c>
      <c r="B29" s="25" t="s">
        <v>265</v>
      </c>
      <c r="C29" s="25" t="s">
        <v>266</v>
      </c>
      <c r="D29" s="25" t="s">
        <v>267</v>
      </c>
      <c r="E29" s="26" t="s">
        <v>424</v>
      </c>
      <c r="F29" s="25" t="s">
        <v>400</v>
      </c>
      <c r="G29" s="34" t="s">
        <v>147</v>
      </c>
      <c r="H29" s="34" t="s">
        <v>155</v>
      </c>
      <c r="I29" s="35" t="s">
        <v>148</v>
      </c>
      <c r="J29" s="33"/>
      <c r="K29" s="27" t="str">
        <f>"150,0"</f>
        <v>150,0</v>
      </c>
      <c r="L29" s="27" t="str">
        <f>"92,5350"</f>
        <v>92,5350</v>
      </c>
      <c r="M29" s="25" t="s">
        <v>268</v>
      </c>
    </row>
    <row r="31" spans="1:13" ht="16">
      <c r="A31" s="44" t="s">
        <v>111</v>
      </c>
      <c r="B31" s="44"/>
      <c r="C31" s="44"/>
      <c r="D31" s="44"/>
      <c r="E31" s="45"/>
      <c r="F31" s="44"/>
      <c r="G31" s="44"/>
      <c r="H31" s="44"/>
      <c r="I31" s="44"/>
      <c r="J31" s="44"/>
    </row>
    <row r="32" spans="1:13">
      <c r="A32" s="19" t="s">
        <v>18</v>
      </c>
      <c r="B32" s="11" t="s">
        <v>269</v>
      </c>
      <c r="C32" s="11" t="s">
        <v>270</v>
      </c>
      <c r="D32" s="11" t="s">
        <v>114</v>
      </c>
      <c r="E32" s="12" t="s">
        <v>424</v>
      </c>
      <c r="F32" s="11" t="s">
        <v>400</v>
      </c>
      <c r="G32" s="20" t="s">
        <v>128</v>
      </c>
      <c r="H32" s="21" t="s">
        <v>205</v>
      </c>
      <c r="I32" s="19"/>
      <c r="J32" s="19"/>
      <c r="K32" s="13" t="str">
        <f>"200,0"</f>
        <v>200,0</v>
      </c>
      <c r="L32" s="13" t="str">
        <f>"117,7000"</f>
        <v>117,7000</v>
      </c>
      <c r="M32" s="11" t="s">
        <v>271</v>
      </c>
    </row>
    <row r="34" spans="2:13" ht="16">
      <c r="F34" s="8"/>
      <c r="G34" s="5"/>
      <c r="K34" s="10"/>
      <c r="M34" s="7"/>
    </row>
    <row r="35" spans="2:13">
      <c r="G35" s="5"/>
      <c r="K35" s="10"/>
      <c r="M35" s="7"/>
    </row>
    <row r="36" spans="2:13" ht="18">
      <c r="B36" s="9" t="s">
        <v>7</v>
      </c>
      <c r="C36" s="9"/>
      <c r="G36" s="3"/>
      <c r="K36" s="10"/>
      <c r="M36" s="7"/>
    </row>
    <row r="37" spans="2:13" ht="16">
      <c r="B37" s="14" t="s">
        <v>13</v>
      </c>
      <c r="C37" s="14"/>
      <c r="G37" s="3"/>
      <c r="K37" s="10"/>
      <c r="M37" s="7"/>
    </row>
    <row r="38" spans="2:13" ht="14">
      <c r="B38" s="15" t="s">
        <v>15</v>
      </c>
      <c r="C38" s="15" t="s">
        <v>16</v>
      </c>
      <c r="D38" s="15" t="s">
        <v>397</v>
      </c>
      <c r="E38" s="16" t="s">
        <v>29</v>
      </c>
      <c r="F38" s="15" t="s">
        <v>17</v>
      </c>
      <c r="G38" s="3"/>
      <c r="K38" s="10"/>
      <c r="M38" s="7"/>
    </row>
    <row r="39" spans="2:13">
      <c r="B39" s="5" t="s">
        <v>250</v>
      </c>
      <c r="C39" s="5" t="s">
        <v>14</v>
      </c>
      <c r="D39" s="10" t="s">
        <v>80</v>
      </c>
      <c r="E39" s="18">
        <v>195</v>
      </c>
      <c r="F39" s="17">
        <v>129.343495666981</v>
      </c>
      <c r="G39" s="3"/>
      <c r="K39" s="10"/>
      <c r="M39" s="7"/>
    </row>
    <row r="40" spans="2:13">
      <c r="B40" s="5" t="s">
        <v>247</v>
      </c>
      <c r="C40" s="5" t="s">
        <v>272</v>
      </c>
      <c r="D40" s="10" t="s">
        <v>37</v>
      </c>
      <c r="E40" s="18">
        <v>85</v>
      </c>
      <c r="F40" s="17">
        <v>118.262543272972</v>
      </c>
      <c r="G40" s="3"/>
      <c r="K40" s="10"/>
      <c r="M40" s="7"/>
    </row>
    <row r="41" spans="2:13">
      <c r="B41" s="5" t="s">
        <v>269</v>
      </c>
      <c r="C41" s="5" t="s">
        <v>14</v>
      </c>
      <c r="D41" s="10" t="s">
        <v>118</v>
      </c>
      <c r="E41" s="18">
        <v>200</v>
      </c>
      <c r="F41" s="17">
        <v>117.700004577637</v>
      </c>
      <c r="G41" s="3"/>
      <c r="K41" s="10"/>
      <c r="M41" s="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B3:B4"/>
    <mergeCell ref="A8:J8"/>
    <mergeCell ref="A12:J12"/>
    <mergeCell ref="A15:J15"/>
    <mergeCell ref="A18:J18"/>
    <mergeCell ref="A21:J21"/>
    <mergeCell ref="A27:J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6.33203125" style="5" bestFit="1" customWidth="1"/>
    <col min="14" max="16384" width="9.1640625" style="3"/>
  </cols>
  <sheetData>
    <row r="1" spans="1:13" s="2" customFormat="1" ht="29" customHeight="1">
      <c r="A1" s="54" t="s">
        <v>385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9" t="s">
        <v>18</v>
      </c>
      <c r="B6" s="11" t="s">
        <v>293</v>
      </c>
      <c r="C6" s="11" t="s">
        <v>294</v>
      </c>
      <c r="D6" s="11" t="s">
        <v>295</v>
      </c>
      <c r="E6" s="12" t="s">
        <v>424</v>
      </c>
      <c r="F6" s="11" t="s">
        <v>400</v>
      </c>
      <c r="G6" s="20" t="s">
        <v>185</v>
      </c>
      <c r="H6" s="20" t="s">
        <v>127</v>
      </c>
      <c r="I6" s="21" t="s">
        <v>296</v>
      </c>
      <c r="J6" s="19"/>
      <c r="K6" s="13" t="str">
        <f>"180,0"</f>
        <v>180,0</v>
      </c>
      <c r="L6" s="13" t="str">
        <f>"117,1980"</f>
        <v>117,1980</v>
      </c>
      <c r="M6" s="11" t="s">
        <v>24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37.33203125" style="5" customWidth="1"/>
    <col min="14" max="16384" width="9.1640625" style="3"/>
  </cols>
  <sheetData>
    <row r="1" spans="1:13" s="2" customFormat="1" ht="29" customHeight="1">
      <c r="A1" s="54" t="s">
        <v>383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420</v>
      </c>
      <c r="B3" s="46" t="s">
        <v>0</v>
      </c>
      <c r="C3" s="64" t="s">
        <v>422</v>
      </c>
      <c r="D3" s="64" t="s">
        <v>5</v>
      </c>
      <c r="E3" s="48" t="s">
        <v>423</v>
      </c>
      <c r="F3" s="66" t="s">
        <v>6</v>
      </c>
      <c r="G3" s="66" t="s">
        <v>107</v>
      </c>
      <c r="H3" s="66"/>
      <c r="I3" s="66"/>
      <c r="J3" s="66"/>
      <c r="K3" s="48" t="s">
        <v>8</v>
      </c>
      <c r="L3" s="48" t="s">
        <v>3</v>
      </c>
      <c r="M3" s="50" t="s">
        <v>2</v>
      </c>
    </row>
    <row r="4" spans="1:13" s="1" customFormat="1" ht="21" customHeight="1" thickBot="1">
      <c r="A4" s="63"/>
      <c r="B4" s="47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1" t="s">
        <v>18</v>
      </c>
      <c r="B6" s="22" t="s">
        <v>309</v>
      </c>
      <c r="C6" s="22" t="s">
        <v>310</v>
      </c>
      <c r="D6" s="22" t="s">
        <v>257</v>
      </c>
      <c r="E6" s="23" t="s">
        <v>424</v>
      </c>
      <c r="F6" s="22" t="s">
        <v>402</v>
      </c>
      <c r="G6" s="32" t="s">
        <v>311</v>
      </c>
      <c r="H6" s="32" t="s">
        <v>312</v>
      </c>
      <c r="I6" s="36" t="s">
        <v>313</v>
      </c>
      <c r="J6" s="31"/>
      <c r="K6" s="24" t="str">
        <f>"325,0"</f>
        <v>325,0</v>
      </c>
      <c r="L6" s="24" t="str">
        <f>"199,7287"</f>
        <v>199,7287</v>
      </c>
      <c r="M6" s="22" t="s">
        <v>398</v>
      </c>
    </row>
    <row r="7" spans="1:13">
      <c r="A7" s="33" t="s">
        <v>157</v>
      </c>
      <c r="B7" s="25" t="s">
        <v>314</v>
      </c>
      <c r="C7" s="25" t="s">
        <v>315</v>
      </c>
      <c r="D7" s="25" t="s">
        <v>316</v>
      </c>
      <c r="E7" s="26" t="s">
        <v>424</v>
      </c>
      <c r="F7" s="25" t="s">
        <v>402</v>
      </c>
      <c r="G7" s="34" t="s">
        <v>127</v>
      </c>
      <c r="H7" s="34" t="s">
        <v>296</v>
      </c>
      <c r="I7" s="35" t="s">
        <v>317</v>
      </c>
      <c r="J7" s="33"/>
      <c r="K7" s="27" t="str">
        <f>"190,0"</f>
        <v>190,0</v>
      </c>
      <c r="L7" s="27" t="str">
        <f>"118,0565"</f>
        <v>118,0565</v>
      </c>
      <c r="M7" s="25" t="s">
        <v>318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однослой</vt:lpstr>
      <vt:lpstr>WEPF Жим софт многопетельная</vt:lpstr>
      <vt:lpstr>WRPF Военный жим ДК</vt:lpstr>
      <vt:lpstr>WRPF Военный жим</vt:lpstr>
      <vt:lpstr>WEPF Жим софт однопетельная</vt:lpstr>
      <vt:lpstr>WRPF Жим СФО</vt:lpstr>
      <vt:lpstr>WRPF Тяга без экипировки ДК</vt:lpstr>
      <vt:lpstr>WRPF Тяга без экипировки</vt:lpstr>
      <vt:lpstr>WEPF Тяга экип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2022-12-12T18:51:01Z</dcterms:modified>
</cp:coreProperties>
</file>