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0/Октябрь/"/>
    </mc:Choice>
  </mc:AlternateContent>
  <xr:revisionPtr revIDLastSave="0" documentId="13_ncr:1_{348953A7-AD68-4145-9040-670BF7867281}" xr6:coauthVersionLast="45" xr6:coauthVersionMax="45" xr10:uidLastSave="{00000000-0000-0000-0000-000000000000}"/>
  <bookViews>
    <workbookView xWindow="0" yWindow="460" windowWidth="28800" windowHeight="16100" firstSheet="10" activeTab="15" xr2:uid="{00000000-000D-0000-FFFF-FFFF00000000}"/>
  </bookViews>
  <sheets>
    <sheet name="WRPF ПЛ без экипировки ДК" sheetId="8" r:id="rId1"/>
    <sheet name="WRPF ПЛ без экипировки" sheetId="7" r:id="rId2"/>
    <sheet name="WRPF ПЛ в бинтах ДК" sheetId="6" r:id="rId3"/>
    <sheet name="WRPF ПЛ в бинтах" sheetId="5" r:id="rId4"/>
    <sheet name="WRPF Двоеборье без экип ДК" sheetId="20" r:id="rId5"/>
    <sheet name="WRPF Жим лежа без экип ДК" sheetId="11" r:id="rId6"/>
    <sheet name="WRPF Жим лежа без экип" sheetId="10" r:id="rId7"/>
    <sheet name="WEPF Жим софт однопетельная ДК" sheetId="12" r:id="rId8"/>
    <sheet name="WEPF Жим софт однопетельная" sheetId="9" r:id="rId9"/>
    <sheet name="WEPF Жим софт многопетельнаяДК" sheetId="14" r:id="rId10"/>
    <sheet name="WEPF Жим софт многопетельная" sheetId="13" r:id="rId11"/>
    <sheet name="WRPF Жим СФО" sheetId="26" r:id="rId12"/>
    <sheet name="WRPF Тяга без экипировки ДК" sheetId="16" r:id="rId13"/>
    <sheet name="WRPF Тяга без экипировки" sheetId="15" r:id="rId14"/>
    <sheet name="WEPF Тяга экип ДК" sheetId="18" r:id="rId15"/>
    <sheet name="WRPF Подъем на бицепс" sheetId="25" r:id="rId16"/>
  </sheets>
  <definedNames>
    <definedName name="_FilterDatabase" localSheetId="3" hidden="1">'WRPF ПЛ в бинтах'!$A$1:$S$3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" i="26" l="1"/>
  <c r="K9" i="26"/>
  <c r="L6" i="26"/>
  <c r="K6" i="26"/>
  <c r="L24" i="25"/>
  <c r="K24" i="25"/>
  <c r="L21" i="25"/>
  <c r="K21" i="25"/>
  <c r="L18" i="25"/>
  <c r="K18" i="25"/>
  <c r="L17" i="25"/>
  <c r="K17" i="25"/>
  <c r="L16" i="25"/>
  <c r="K16" i="25"/>
  <c r="L13" i="25"/>
  <c r="K13" i="25"/>
  <c r="L12" i="25"/>
  <c r="K12" i="25"/>
  <c r="L9" i="25"/>
  <c r="K9" i="25"/>
  <c r="L6" i="25"/>
  <c r="K6" i="25"/>
  <c r="P6" i="20"/>
  <c r="O6" i="20"/>
  <c r="L6" i="18"/>
  <c r="K6" i="18"/>
  <c r="L22" i="16"/>
  <c r="K22" i="16"/>
  <c r="L19" i="16"/>
  <c r="K19" i="16"/>
  <c r="L18" i="16"/>
  <c r="K18" i="16"/>
  <c r="L15" i="16"/>
  <c r="K15" i="16"/>
  <c r="L12" i="16"/>
  <c r="K12" i="16"/>
  <c r="L9" i="16"/>
  <c r="K9" i="16"/>
  <c r="L6" i="16"/>
  <c r="K6" i="16"/>
  <c r="L22" i="15"/>
  <c r="K22" i="15"/>
  <c r="L19" i="15"/>
  <c r="K19" i="15"/>
  <c r="L16" i="15"/>
  <c r="K16" i="15"/>
  <c r="L15" i="15"/>
  <c r="K15" i="15"/>
  <c r="L12" i="15"/>
  <c r="K12" i="15"/>
  <c r="L9" i="15"/>
  <c r="K9" i="15"/>
  <c r="L6" i="15"/>
  <c r="K6" i="15"/>
  <c r="L6" i="14"/>
  <c r="K6" i="14"/>
  <c r="L9" i="13"/>
  <c r="K9" i="13"/>
  <c r="L6" i="13"/>
  <c r="K6" i="13"/>
  <c r="L10" i="12"/>
  <c r="K10" i="12"/>
  <c r="L9" i="12"/>
  <c r="K9" i="12"/>
  <c r="L6" i="12"/>
  <c r="K6" i="12"/>
  <c r="L50" i="11"/>
  <c r="K50" i="11"/>
  <c r="L49" i="11"/>
  <c r="K49" i="11"/>
  <c r="L48" i="11"/>
  <c r="K48" i="11"/>
  <c r="L45" i="11"/>
  <c r="K45" i="11"/>
  <c r="L42" i="11"/>
  <c r="K42" i="11"/>
  <c r="L39" i="11"/>
  <c r="K39" i="11"/>
  <c r="L38" i="11"/>
  <c r="K38" i="11"/>
  <c r="L37" i="11"/>
  <c r="K37" i="11"/>
  <c r="L34" i="11"/>
  <c r="K34" i="11"/>
  <c r="L33" i="11"/>
  <c r="K33" i="11"/>
  <c r="L32" i="11"/>
  <c r="K32" i="11"/>
  <c r="L31" i="11"/>
  <c r="K31" i="11"/>
  <c r="L30" i="11"/>
  <c r="K30" i="11"/>
  <c r="L29" i="11"/>
  <c r="K29" i="11"/>
  <c r="L26" i="11"/>
  <c r="K26" i="11"/>
  <c r="L25" i="11"/>
  <c r="K25" i="11"/>
  <c r="L24" i="11"/>
  <c r="K24" i="11"/>
  <c r="L23" i="11"/>
  <c r="K23" i="11"/>
  <c r="L22" i="11"/>
  <c r="K22" i="11"/>
  <c r="L19" i="11"/>
  <c r="K19" i="11"/>
  <c r="L18" i="11"/>
  <c r="K18" i="11"/>
  <c r="L15" i="11"/>
  <c r="K15" i="11"/>
  <c r="L14" i="11"/>
  <c r="K14" i="11"/>
  <c r="L13" i="11"/>
  <c r="K13" i="11"/>
  <c r="L10" i="11"/>
  <c r="K10" i="11"/>
  <c r="L7" i="11"/>
  <c r="L6" i="11"/>
  <c r="K6" i="11"/>
  <c r="L38" i="10"/>
  <c r="K38" i="10"/>
  <c r="L35" i="10"/>
  <c r="K35" i="10"/>
  <c r="L34" i="10"/>
  <c r="K34" i="10"/>
  <c r="L33" i="10"/>
  <c r="K33" i="10"/>
  <c r="L32" i="10"/>
  <c r="K32" i="10"/>
  <c r="L29" i="10"/>
  <c r="K29" i="10"/>
  <c r="L28" i="10"/>
  <c r="K28" i="10"/>
  <c r="L27" i="10"/>
  <c r="K27" i="10"/>
  <c r="L26" i="10"/>
  <c r="K26" i="10"/>
  <c r="L23" i="10"/>
  <c r="K23" i="10"/>
  <c r="L22" i="10"/>
  <c r="K22" i="10"/>
  <c r="L21" i="10"/>
  <c r="K21" i="10"/>
  <c r="L18" i="10"/>
  <c r="K18" i="10"/>
  <c r="L17" i="10"/>
  <c r="K17" i="10"/>
  <c r="L16" i="10"/>
  <c r="K16" i="10"/>
  <c r="L15" i="10"/>
  <c r="K15" i="10"/>
  <c r="L12" i="10"/>
  <c r="K12" i="10"/>
  <c r="L9" i="10"/>
  <c r="K9" i="10"/>
  <c r="L6" i="10"/>
  <c r="K6" i="10"/>
  <c r="L9" i="9"/>
  <c r="K9" i="9"/>
  <c r="L6" i="9"/>
  <c r="K6" i="9"/>
  <c r="T31" i="8"/>
  <c r="T28" i="8"/>
  <c r="S28" i="8"/>
  <c r="T27" i="8"/>
  <c r="S27" i="8"/>
  <c r="T24" i="8"/>
  <c r="S24" i="8"/>
  <c r="T21" i="8"/>
  <c r="S21" i="8"/>
  <c r="T18" i="8"/>
  <c r="S18" i="8"/>
  <c r="T15" i="8"/>
  <c r="T12" i="8"/>
  <c r="S12" i="8"/>
  <c r="T9" i="8"/>
  <c r="S9" i="8"/>
  <c r="T6" i="8"/>
  <c r="S6" i="8"/>
  <c r="T18" i="7"/>
  <c r="S18" i="7"/>
  <c r="T15" i="7"/>
  <c r="S15" i="7"/>
  <c r="T12" i="7"/>
  <c r="S12" i="7"/>
  <c r="T9" i="7"/>
  <c r="S9" i="7"/>
  <c r="T6" i="7"/>
  <c r="S6" i="7"/>
  <c r="T7" i="6"/>
  <c r="S7" i="6"/>
  <c r="T6" i="6"/>
  <c r="S6" i="6"/>
  <c r="T17" i="5"/>
  <c r="S17" i="5"/>
  <c r="T14" i="5"/>
  <c r="S14" i="5"/>
  <c r="T13" i="5"/>
  <c r="S13" i="5"/>
  <c r="T10" i="5"/>
  <c r="S10" i="5"/>
  <c r="T9" i="5"/>
  <c r="S9" i="5"/>
  <c r="T6" i="5"/>
  <c r="S6" i="5"/>
</calcChain>
</file>

<file path=xl/sharedStrings.xml><?xml version="1.0" encoding="utf-8"?>
<sst xmlns="http://schemas.openxmlformats.org/spreadsheetml/2006/main" count="1555" uniqueCount="499">
  <si>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</si>
  <si>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</si>
  <si>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</si>
  <si>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</si>
  <si>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</si>
  <si>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</si>
  <si>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</si>
  <si>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</si>
  <si>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</si>
  <si>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</si>
  <si>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90</t>
  </si>
  <si>
    <t>Газизулин Вячеслав</t>
  </si>
  <si>
    <t>Открытая (22.09.1982)/38</t>
  </si>
  <si>
    <t>90,00</t>
  </si>
  <si>
    <t xml:space="preserve">Чусовой/Пермский край </t>
  </si>
  <si>
    <t>210,0</t>
  </si>
  <si>
    <t>215,0</t>
  </si>
  <si>
    <t>115,0</t>
  </si>
  <si>
    <t>120,0</t>
  </si>
  <si>
    <t>125,0</t>
  </si>
  <si>
    <t>230,0</t>
  </si>
  <si>
    <t>240,0</t>
  </si>
  <si>
    <t>ВЕСОВАЯ КАТЕГОРИЯ   100</t>
  </si>
  <si>
    <t>Пшеницын Владимир</t>
  </si>
  <si>
    <t>Открытая (06.05.1982)/38</t>
  </si>
  <si>
    <t>97,90</t>
  </si>
  <si>
    <t xml:space="preserve">Лысьва/Пермский край </t>
  </si>
  <si>
    <t>285,0</t>
  </si>
  <si>
    <t>295,0</t>
  </si>
  <si>
    <t>300,0</t>
  </si>
  <si>
    <t>155,0</t>
  </si>
  <si>
    <t>160,0</t>
  </si>
  <si>
    <t>275,0</t>
  </si>
  <si>
    <t xml:space="preserve">Максимов В. </t>
  </si>
  <si>
    <t>Верхоланцев Алексей</t>
  </si>
  <si>
    <t>Открытая (21.06.1989)/31</t>
  </si>
  <si>
    <t>98,20</t>
  </si>
  <si>
    <t xml:space="preserve">Пермь/Пермский край </t>
  </si>
  <si>
    <t>200,0</t>
  </si>
  <si>
    <t>220,0</t>
  </si>
  <si>
    <t>135,0</t>
  </si>
  <si>
    <t>145,0</t>
  </si>
  <si>
    <t>152,5</t>
  </si>
  <si>
    <t>227,5</t>
  </si>
  <si>
    <t>ВЕСОВАЯ КАТЕГОРИЯ   110</t>
  </si>
  <si>
    <t>Меркурьев Александр</t>
  </si>
  <si>
    <t>Открытая (01.12.1985)/34</t>
  </si>
  <si>
    <t>107,70</t>
  </si>
  <si>
    <t>305,0</t>
  </si>
  <si>
    <t>315,0</t>
  </si>
  <si>
    <t>320,0</t>
  </si>
  <si>
    <t>205,0</t>
  </si>
  <si>
    <t xml:space="preserve">Голышев С. </t>
  </si>
  <si>
    <t>Новиков Иван</t>
  </si>
  <si>
    <t>Открытая (23.05.1996)/24</t>
  </si>
  <si>
    <t>107,60</t>
  </si>
  <si>
    <t>235,0</t>
  </si>
  <si>
    <t>250,0</t>
  </si>
  <si>
    <t>165,0</t>
  </si>
  <si>
    <t>172,5</t>
  </si>
  <si>
    <t>290,0</t>
  </si>
  <si>
    <t xml:space="preserve">Насонов Д. </t>
  </si>
  <si>
    <t>ВЕСОВАЯ КАТЕГОРИЯ   140</t>
  </si>
  <si>
    <t>Одегов Сергей</t>
  </si>
  <si>
    <t>Открытая (02.10.1976)/44</t>
  </si>
  <si>
    <t>125,80</t>
  </si>
  <si>
    <t>310,0</t>
  </si>
  <si>
    <t>190,0</t>
  </si>
  <si>
    <t>340,0</t>
  </si>
  <si>
    <t>360,0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</si>
  <si>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</si>
  <si>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</si>
  <si>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</si>
  <si>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</si>
  <si>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</si>
  <si>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Сумма </t>
  </si>
  <si>
    <t xml:space="preserve">Wilks </t>
  </si>
  <si>
    <t>140</t>
  </si>
  <si>
    <t>880,0</t>
  </si>
  <si>
    <t>500,8080</t>
  </si>
  <si>
    <t>110</t>
  </si>
  <si>
    <t>835,0</t>
  </si>
  <si>
    <t>494,6540</t>
  </si>
  <si>
    <t>100</t>
  </si>
  <si>
    <t>735,0</t>
  </si>
  <si>
    <t>451,2165</t>
  </si>
  <si>
    <t>1</t>
  </si>
  <si>
    <t/>
  </si>
  <si>
    <t>2</t>
  </si>
  <si>
    <t>ВЕСОВАЯ КАТЕГОРИЯ   60</t>
  </si>
  <si>
    <t>Юрашкова Ольга</t>
  </si>
  <si>
    <t>Открытая (30.06.1976)/44</t>
  </si>
  <si>
    <t>58,70</t>
  </si>
  <si>
    <t>97,5</t>
  </si>
  <si>
    <t>105,0</t>
  </si>
  <si>
    <t>55,0</t>
  </si>
  <si>
    <t>60,0</t>
  </si>
  <si>
    <t xml:space="preserve">Меркурьев А. </t>
  </si>
  <si>
    <t>Мастера 40-49 (30.06.1976)/44</t>
  </si>
  <si>
    <t>ВЕСОВАЯ КАТЕГОРИЯ   52</t>
  </si>
  <si>
    <t>Поносова Юлия</t>
  </si>
  <si>
    <t>Открытая (08.08.1986)/34</t>
  </si>
  <si>
    <t>52,00</t>
  </si>
  <si>
    <t>80,0</t>
  </si>
  <si>
    <t>82,5</t>
  </si>
  <si>
    <t>45,0</t>
  </si>
  <si>
    <t>47,5</t>
  </si>
  <si>
    <t>50,0</t>
  </si>
  <si>
    <t>75,0</t>
  </si>
  <si>
    <t xml:space="preserve">Койков Е. </t>
  </si>
  <si>
    <t>Ермаков Артем</t>
  </si>
  <si>
    <t>Юноши 14-16 (04.10.2005)/15</t>
  </si>
  <si>
    <t>58,20</t>
  </si>
  <si>
    <t>70,0</t>
  </si>
  <si>
    <t>90,0</t>
  </si>
  <si>
    <t>110,0</t>
  </si>
  <si>
    <t xml:space="preserve">Рогожников Е. </t>
  </si>
  <si>
    <t>ВЕСОВАЯ КАТЕГОРИЯ   67.5</t>
  </si>
  <si>
    <t>Карякин Никита</t>
  </si>
  <si>
    <t>Юноши 14-16 (26.10.2007)/12</t>
  </si>
  <si>
    <t>67,50</t>
  </si>
  <si>
    <t>100,0</t>
  </si>
  <si>
    <t>35,0</t>
  </si>
  <si>
    <t>40,0</t>
  </si>
  <si>
    <t>ВЕСОВАЯ КАТЕГОРИЯ   75</t>
  </si>
  <si>
    <t>Чугайнов Тимофей</t>
  </si>
  <si>
    <t>Юноши 14-16 (29.10.2003)/16</t>
  </si>
  <si>
    <t>71,80</t>
  </si>
  <si>
    <t xml:space="preserve">Нытва/Пермский край </t>
  </si>
  <si>
    <t>85,0</t>
  </si>
  <si>
    <t>140,0</t>
  </si>
  <si>
    <t xml:space="preserve">Филимоненко В. </t>
  </si>
  <si>
    <t>ВЕСОВАЯ КАТЕГОРИЯ   82.5</t>
  </si>
  <si>
    <t>Ермаков Никита</t>
  </si>
  <si>
    <t>76,10</t>
  </si>
  <si>
    <t>130,0</t>
  </si>
  <si>
    <t>82.5</t>
  </si>
  <si>
    <t>ВЕСОВАЯ КАТЕГОРИЯ   56</t>
  </si>
  <si>
    <t>Мальщукова Екатерина</t>
  </si>
  <si>
    <t>Открытая (22.12.1990)/29</t>
  </si>
  <si>
    <t>55,30</t>
  </si>
  <si>
    <t xml:space="preserve">Киров/Калужская область </t>
  </si>
  <si>
    <t>92,5</t>
  </si>
  <si>
    <t>95,0</t>
  </si>
  <si>
    <t xml:space="preserve">Мухаметдинов В. </t>
  </si>
  <si>
    <t>Ярославцева Ольга</t>
  </si>
  <si>
    <t>Открытая (27.08.1988)/32</t>
  </si>
  <si>
    <t>60,40</t>
  </si>
  <si>
    <t>52,5</t>
  </si>
  <si>
    <t>107,5</t>
  </si>
  <si>
    <t xml:space="preserve">Головизнин Н. </t>
  </si>
  <si>
    <t>Кивелева Ирина</t>
  </si>
  <si>
    <t>Открытая (25.07.1987)/33</t>
  </si>
  <si>
    <t>73,00</t>
  </si>
  <si>
    <t>65,0</t>
  </si>
  <si>
    <t>Махбуби Джавад</t>
  </si>
  <si>
    <t>Открытая (10.04.1995)/25</t>
  </si>
  <si>
    <t>55,80</t>
  </si>
  <si>
    <t xml:space="preserve">Кабул/Афганистан </t>
  </si>
  <si>
    <t xml:space="preserve">Халильзад А. </t>
  </si>
  <si>
    <t>Ширзад Фердус</t>
  </si>
  <si>
    <t>Открытая (12.05.1994)/26</t>
  </si>
  <si>
    <t>62,90</t>
  </si>
  <si>
    <t>Шпадин Александр</t>
  </si>
  <si>
    <t>Открытая (20.02.2001)/19</t>
  </si>
  <si>
    <t>73,60</t>
  </si>
  <si>
    <t>170,0</t>
  </si>
  <si>
    <t>122,5</t>
  </si>
  <si>
    <t>127,5</t>
  </si>
  <si>
    <t>207,5</t>
  </si>
  <si>
    <t>222,5</t>
  </si>
  <si>
    <t>Булатов Алексей</t>
  </si>
  <si>
    <t>Открытая (09.01.1986)/34</t>
  </si>
  <si>
    <t>82,00</t>
  </si>
  <si>
    <t>162,5</t>
  </si>
  <si>
    <t>175,0</t>
  </si>
  <si>
    <t>Головизнин Никита</t>
  </si>
  <si>
    <t>Открытая (24.11.1988)/31</t>
  </si>
  <si>
    <t>87,90</t>
  </si>
  <si>
    <t>185,0</t>
  </si>
  <si>
    <t>262,5</t>
  </si>
  <si>
    <t>282,5</t>
  </si>
  <si>
    <t>Халильзад Ахмад</t>
  </si>
  <si>
    <t>Открытая (15.01.1992)/28</t>
  </si>
  <si>
    <t>89,80</t>
  </si>
  <si>
    <t>ВЕСОВАЯ КАТЕГОРИЯ   125</t>
  </si>
  <si>
    <t>Шулаков Игорь</t>
  </si>
  <si>
    <t>Открытая (16.08.1980)/40</t>
  </si>
  <si>
    <t>116,00</t>
  </si>
  <si>
    <t>260,0</t>
  </si>
  <si>
    <t>90</t>
  </si>
  <si>
    <t>-</t>
  </si>
  <si>
    <t>Кивелёв Иван</t>
  </si>
  <si>
    <t>Открытая (01.01.1991)/29</t>
  </si>
  <si>
    <t>74,65</t>
  </si>
  <si>
    <t>180,0</t>
  </si>
  <si>
    <t>195,0</t>
  </si>
  <si>
    <t>Матюшев Фанис</t>
  </si>
  <si>
    <t>Открытая (12.07.1985)/35</t>
  </si>
  <si>
    <t>88,70</t>
  </si>
  <si>
    <t xml:space="preserve">Барда/Пермский край </t>
  </si>
  <si>
    <t xml:space="preserve">Результат </t>
  </si>
  <si>
    <t>Результат</t>
  </si>
  <si>
    <t>Лоскутова Инна</t>
  </si>
  <si>
    <t>Мастера 50-59 (05.10.1964)/56</t>
  </si>
  <si>
    <t>54,60</t>
  </si>
  <si>
    <t xml:space="preserve">Габов В. </t>
  </si>
  <si>
    <t>Филимоненко Тимур</t>
  </si>
  <si>
    <t>Юноши 14-16 (19.02.2008)/12</t>
  </si>
  <si>
    <t>72,5</t>
  </si>
  <si>
    <t>Киселев Денис</t>
  </si>
  <si>
    <t>Мастера 40-49 (23.02.1980)/40</t>
  </si>
  <si>
    <t>64,80</t>
  </si>
  <si>
    <t xml:space="preserve">Баландин С. </t>
  </si>
  <si>
    <t>Палкин Виталий</t>
  </si>
  <si>
    <t>Юноши 14-16 (09.05.2004)/16</t>
  </si>
  <si>
    <t>74,10</t>
  </si>
  <si>
    <t>Попков Александр</t>
  </si>
  <si>
    <t>Открытая (03.09.1985)/35</t>
  </si>
  <si>
    <t>72,60</t>
  </si>
  <si>
    <t>Южаков Антон</t>
  </si>
  <si>
    <t>Открытая (18.02.1995)/25</t>
  </si>
  <si>
    <t>71,70</t>
  </si>
  <si>
    <t xml:space="preserve">Верещагино/Пермский край </t>
  </si>
  <si>
    <t>Тепляшин Александр</t>
  </si>
  <si>
    <t>Мастера 60-69 (01.02.1957)/63</t>
  </si>
  <si>
    <t>75,00</t>
  </si>
  <si>
    <t xml:space="preserve">Третьяков А. </t>
  </si>
  <si>
    <t>Килин Роман</t>
  </si>
  <si>
    <t>Юниоры (02.06.1998)/22</t>
  </si>
  <si>
    <t>81,10</t>
  </si>
  <si>
    <t xml:space="preserve">Чайковский/Пермский край </t>
  </si>
  <si>
    <t>182,5</t>
  </si>
  <si>
    <t xml:space="preserve">Смирнов Д. </t>
  </si>
  <si>
    <t>Открытая (02.06.1998)/22</t>
  </si>
  <si>
    <t>Тиунов Сергей</t>
  </si>
  <si>
    <t>Мастера 50-59 (08.10.1968)/52</t>
  </si>
  <si>
    <t>81,90</t>
  </si>
  <si>
    <t>Бахматов Вадим</t>
  </si>
  <si>
    <t>Юниоры (05.03.1997)/23</t>
  </si>
  <si>
    <t>87,30</t>
  </si>
  <si>
    <t>147,5</t>
  </si>
  <si>
    <t>157,5</t>
  </si>
  <si>
    <t xml:space="preserve">Жилкин А. </t>
  </si>
  <si>
    <t>Смолоногов Владимир</t>
  </si>
  <si>
    <t>Открытая (13.12.1982)/37</t>
  </si>
  <si>
    <t>86,80</t>
  </si>
  <si>
    <t xml:space="preserve">Пашиев А. </t>
  </si>
  <si>
    <t>Резников Вячеслав</t>
  </si>
  <si>
    <t>Открытая (29.12.1982)/37</t>
  </si>
  <si>
    <t>89,10</t>
  </si>
  <si>
    <t xml:space="preserve">Никонов В. </t>
  </si>
  <si>
    <t>Баженов Валерий</t>
  </si>
  <si>
    <t>Мастера 60-69 (16.08.1960)/60</t>
  </si>
  <si>
    <t>84,80</t>
  </si>
  <si>
    <t xml:space="preserve">Глазов/Удмуртия </t>
  </si>
  <si>
    <t>Лузин Иван</t>
  </si>
  <si>
    <t>Юноши 14-16 (24.02.2004)/16</t>
  </si>
  <si>
    <t>98,80</t>
  </si>
  <si>
    <t xml:space="preserve">Попков А. </t>
  </si>
  <si>
    <t>Сергеев Игорь</t>
  </si>
  <si>
    <t>Открытая (07.08.1966)/54</t>
  </si>
  <si>
    <t>98,50</t>
  </si>
  <si>
    <t>Усов Степан</t>
  </si>
  <si>
    <t>Открытая (24.05.1996)/24</t>
  </si>
  <si>
    <t>99,30</t>
  </si>
  <si>
    <t>167,5</t>
  </si>
  <si>
    <t>Акатьев Илья</t>
  </si>
  <si>
    <t>Открытая (07.01.1994)/26</t>
  </si>
  <si>
    <t>99,40</t>
  </si>
  <si>
    <t>150,0</t>
  </si>
  <si>
    <t>Бажуков Никита</t>
  </si>
  <si>
    <t>Открытая (31.07.1985)/35</t>
  </si>
  <si>
    <t>108,60</t>
  </si>
  <si>
    <t>118,4575</t>
  </si>
  <si>
    <t>128,5830</t>
  </si>
  <si>
    <t>120,3795</t>
  </si>
  <si>
    <t>3</t>
  </si>
  <si>
    <t>Гвоздева Валерия</t>
  </si>
  <si>
    <t>Девушки 14-16 (13.11.2005)/14</t>
  </si>
  <si>
    <t>49,70</t>
  </si>
  <si>
    <t>27,5</t>
  </si>
  <si>
    <t>30,0</t>
  </si>
  <si>
    <t>Ефимова Дарья</t>
  </si>
  <si>
    <t>Открытая (29.10.1985)/34</t>
  </si>
  <si>
    <t>51,30</t>
  </si>
  <si>
    <t>42,5</t>
  </si>
  <si>
    <t xml:space="preserve">Бахматов В. </t>
  </si>
  <si>
    <t>Попов Валентин</t>
  </si>
  <si>
    <t>Юноши 14-16 (26.09.2006)/14</t>
  </si>
  <si>
    <t>59,60</t>
  </si>
  <si>
    <t>Бахарев Кирилл</t>
  </si>
  <si>
    <t>Юноши 14-16 (17.12.2004)/15</t>
  </si>
  <si>
    <t>65,00</t>
  </si>
  <si>
    <t>87,5</t>
  </si>
  <si>
    <t xml:space="preserve">Бахарев О. </t>
  </si>
  <si>
    <t>Яганов Артём</t>
  </si>
  <si>
    <t>Юниоры (22.12.1998)/21</t>
  </si>
  <si>
    <t>65,50</t>
  </si>
  <si>
    <t>132,5</t>
  </si>
  <si>
    <t xml:space="preserve">Сероваев К. </t>
  </si>
  <si>
    <t>Левин Дмитрий</t>
  </si>
  <si>
    <t>Открытая (26.06.1995)/25</t>
  </si>
  <si>
    <t>67,30</t>
  </si>
  <si>
    <t>102,5</t>
  </si>
  <si>
    <t>112,5</t>
  </si>
  <si>
    <t>Шавшуков Петр</t>
  </si>
  <si>
    <t>Открытая (04.09.1986)/34</t>
  </si>
  <si>
    <t>71,30</t>
  </si>
  <si>
    <t>137,5</t>
  </si>
  <si>
    <t>Деткин Александр</t>
  </si>
  <si>
    <t>Мастера 50-59 (26.08.1970)/50</t>
  </si>
  <si>
    <t>74,40</t>
  </si>
  <si>
    <t>Мясников Владимир</t>
  </si>
  <si>
    <t>Открытая (02.05.1991)/29</t>
  </si>
  <si>
    <t xml:space="preserve">Цаплин Н. </t>
  </si>
  <si>
    <t>Орлов Сергей</t>
  </si>
  <si>
    <t>Открытая (25.03.1996)/24</t>
  </si>
  <si>
    <t>82,20</t>
  </si>
  <si>
    <t>Солдатов Александр</t>
  </si>
  <si>
    <t>Открытая (29.09.1981)/39</t>
  </si>
  <si>
    <t>Ромодан Николай</t>
  </si>
  <si>
    <t>Открытая (06.08.1982)/38</t>
  </si>
  <si>
    <t>82,10</t>
  </si>
  <si>
    <t>Николаев Александр</t>
  </si>
  <si>
    <t>Мастера 60-69 (08.07.1959)/61</t>
  </si>
  <si>
    <t>77,60</t>
  </si>
  <si>
    <t>117,5</t>
  </si>
  <si>
    <t>Петров Илья</t>
  </si>
  <si>
    <t>Юниоры (16.06.1999)/21</t>
  </si>
  <si>
    <t>89,40</t>
  </si>
  <si>
    <t>Токарев Илья</t>
  </si>
  <si>
    <t>Открытая (28.06.1968)/52</t>
  </si>
  <si>
    <t>88,80</t>
  </si>
  <si>
    <t xml:space="preserve">Кунгур/Пермский край </t>
  </si>
  <si>
    <t>Открытая (16.06.1999)/21</t>
  </si>
  <si>
    <t>Черемных Максим</t>
  </si>
  <si>
    <t>Открытая (17.11.1994)/25</t>
  </si>
  <si>
    <t>88,30</t>
  </si>
  <si>
    <t>142,5</t>
  </si>
  <si>
    <t>Мастера 50-59 (28.06.1968)/52</t>
  </si>
  <si>
    <t>Харин Вячеслав</t>
  </si>
  <si>
    <t>Юноши 14-16 (03.10.2004)/16</t>
  </si>
  <si>
    <t>92,70</t>
  </si>
  <si>
    <t>Киселёв Денис</t>
  </si>
  <si>
    <t>Открытая (03.08.1997)/23</t>
  </si>
  <si>
    <t>92,30</t>
  </si>
  <si>
    <t xml:space="preserve">Усть-Катав/Челябинская область </t>
  </si>
  <si>
    <t>Ермишкин Алексей</t>
  </si>
  <si>
    <t>Открытая (31.03.1982)/38</t>
  </si>
  <si>
    <t>98,90</t>
  </si>
  <si>
    <t>Локис Сергей</t>
  </si>
  <si>
    <t>Открытая (27.01.1992)/28</t>
  </si>
  <si>
    <t>103,50</t>
  </si>
  <si>
    <t xml:space="preserve">Чердынь/Пермский край </t>
  </si>
  <si>
    <t>Серёгин Семён</t>
  </si>
  <si>
    <t>Открытая (10.02.1985)/35</t>
  </si>
  <si>
    <t>112,00</t>
  </si>
  <si>
    <t>Шушпанов Антон</t>
  </si>
  <si>
    <t>Открытая (04.10.1979)/41</t>
  </si>
  <si>
    <t>130,00</t>
  </si>
  <si>
    <t>Масюк Кирилл</t>
  </si>
  <si>
    <t>Открытая (08.06.1989)/31</t>
  </si>
  <si>
    <t>136,20</t>
  </si>
  <si>
    <t>177,5</t>
  </si>
  <si>
    <t>Мастера 40-49 (04.10.1979)/41</t>
  </si>
  <si>
    <t>117,1170</t>
  </si>
  <si>
    <t>107,4640</t>
  </si>
  <si>
    <t>104,4550</t>
  </si>
  <si>
    <t>4</t>
  </si>
  <si>
    <t>Митрошкин Максим</t>
  </si>
  <si>
    <t>Юноши 14-16 (11.05.2004)/16</t>
  </si>
  <si>
    <t>65,15</t>
  </si>
  <si>
    <t>Сажин Антон</t>
  </si>
  <si>
    <t>Открытая (27.12.1984)/35</t>
  </si>
  <si>
    <t>187,5</t>
  </si>
  <si>
    <t>Ксёнушко Олег</t>
  </si>
  <si>
    <t>Мастера 60-69 (01.06.1951)/69</t>
  </si>
  <si>
    <t>Койков Стас</t>
  </si>
  <si>
    <t>Открытая (10.11.1990)/29</t>
  </si>
  <si>
    <t>81,95</t>
  </si>
  <si>
    <t>Хлызов Александр</t>
  </si>
  <si>
    <t>Открытая (15.05.1984)/36</t>
  </si>
  <si>
    <t>137,30</t>
  </si>
  <si>
    <t xml:space="preserve">Соликамск/Пермский край </t>
  </si>
  <si>
    <t>350,0</t>
  </si>
  <si>
    <t>375,0</t>
  </si>
  <si>
    <t>385,0</t>
  </si>
  <si>
    <t>Бахарев Олег</t>
  </si>
  <si>
    <t>Открытая (12.05.1982)/38</t>
  </si>
  <si>
    <t>90,25</t>
  </si>
  <si>
    <t>242,5</t>
  </si>
  <si>
    <t>ВЕСОВАЯ КАТЕГОРИЯ   90+</t>
  </si>
  <si>
    <t>Титова Ирина</t>
  </si>
  <si>
    <t>Мастера 40-49 (03.01.1974)/46</t>
  </si>
  <si>
    <t>96,50</t>
  </si>
  <si>
    <t xml:space="preserve">Алербон Д. </t>
  </si>
  <si>
    <t>Ощепков Ярослав</t>
  </si>
  <si>
    <t>Юноши 14-16 (05.12.2008)/11</t>
  </si>
  <si>
    <t>44,00</t>
  </si>
  <si>
    <t xml:space="preserve">Новоильинский/Пермский край </t>
  </si>
  <si>
    <t>Гурьянов Олег</t>
  </si>
  <si>
    <t>Юноши 14-16 (06.07.2006)/14</t>
  </si>
  <si>
    <t>57,50</t>
  </si>
  <si>
    <t>Белов Александр</t>
  </si>
  <si>
    <t>Юноши 14-16 (23.06.2004)/16</t>
  </si>
  <si>
    <t>74,30</t>
  </si>
  <si>
    <t>Коротаев Роман</t>
  </si>
  <si>
    <t>Открытая (20.01.1987)/33</t>
  </si>
  <si>
    <t>70,90</t>
  </si>
  <si>
    <t>Бабаджанов Михаил</t>
  </si>
  <si>
    <t>Открытая (25.05.1988)/32</t>
  </si>
  <si>
    <t>104,00</t>
  </si>
  <si>
    <t xml:space="preserve">Подъячев С. </t>
  </si>
  <si>
    <t>Долина Варвара</t>
  </si>
  <si>
    <t>Мастера 40-49 (05.02.1972)/48</t>
  </si>
  <si>
    <t>71,50</t>
  </si>
  <si>
    <t xml:space="preserve">Брохман С. </t>
  </si>
  <si>
    <t>Бажгин Виталий</t>
  </si>
  <si>
    <t>Открытая (20.03.1991)/29</t>
  </si>
  <si>
    <t>68,20</t>
  </si>
  <si>
    <t>Подъячев Сергей</t>
  </si>
  <si>
    <t>Открытая (22.05.1985)/35</t>
  </si>
  <si>
    <t>78,20</t>
  </si>
  <si>
    <t>Заостровцев Владислав</t>
  </si>
  <si>
    <t>Открытая (05.10.1993)/27</t>
  </si>
  <si>
    <t>98,30</t>
  </si>
  <si>
    <t>Косков Сергей</t>
  </si>
  <si>
    <t>Мастера 60-69 (03.01.1957)/63</t>
  </si>
  <si>
    <t>93,50</t>
  </si>
  <si>
    <t>202,5</t>
  </si>
  <si>
    <t>Мастера 60+ (16.08.1960)/60</t>
  </si>
  <si>
    <t>20,0</t>
  </si>
  <si>
    <t>Ведерникова Елизавета</t>
  </si>
  <si>
    <t>57,25</t>
  </si>
  <si>
    <t>15,0</t>
  </si>
  <si>
    <t>17,5</t>
  </si>
  <si>
    <t>Сулейманов Рифат</t>
  </si>
  <si>
    <t>Открытая (10.03.1992)/28</t>
  </si>
  <si>
    <t>72,05</t>
  </si>
  <si>
    <t xml:space="preserve">Козин Н. </t>
  </si>
  <si>
    <t>Колясников Кирилл</t>
  </si>
  <si>
    <t>Открытая (30.08.1993)/27</t>
  </si>
  <si>
    <t>80,00</t>
  </si>
  <si>
    <t xml:space="preserve">Краснокамск/Пермский край </t>
  </si>
  <si>
    <t>67,5</t>
  </si>
  <si>
    <t>Давыдов Алексей</t>
  </si>
  <si>
    <t>Открытая (06.11.1984)/35</t>
  </si>
  <si>
    <t>57,5</t>
  </si>
  <si>
    <t>62,5</t>
  </si>
  <si>
    <t>Козин Николай</t>
  </si>
  <si>
    <t>Открытая (13.04.1996)/24</t>
  </si>
  <si>
    <t>87,35</t>
  </si>
  <si>
    <t>Оськин Сергей</t>
  </si>
  <si>
    <t>Открытая (12.12.1989)/30</t>
  </si>
  <si>
    <t>88,25</t>
  </si>
  <si>
    <t>Тагилов Александр</t>
  </si>
  <si>
    <t>92,25</t>
  </si>
  <si>
    <t>Алербон Дмитрий</t>
  </si>
  <si>
    <t>Открытая (23.08.1977)/43</t>
  </si>
  <si>
    <t>107,15</t>
  </si>
  <si>
    <t>Багаев Олег</t>
  </si>
  <si>
    <t>Открытая (17.08.1992)/28</t>
  </si>
  <si>
    <t xml:space="preserve">Некрасов И. </t>
  </si>
  <si>
    <t>Сергеев Олег</t>
  </si>
  <si>
    <t>Открытая (25.04.1988)/32</t>
  </si>
  <si>
    <t>130</t>
  </si>
  <si>
    <t>Кубок Пермского края "Сила Прикамья"
WRPF любители Пауэрлифтинг без экипировки ДК
Пермь/Пермский край, 17 октября 2020 года</t>
  </si>
  <si>
    <t>Кубок Пермского края "Сила Прикамья"
WRPF любители Пауэрлифтинг без экипировки
Пермь/Пермский край, 17 октября 2020 года</t>
  </si>
  <si>
    <t>Кубок Пермского края "Сила Прикамья"
WRPF любители Пауэрлифтинг классический в бинтах ДК
Пермь/Пермский край, 17 октября 2020 года</t>
  </si>
  <si>
    <t>Кубок Пермского края "Сила Прикамья"
WRPF любители Пауэрлифтинг классический в бинтах
Пермь/Пермский край, 17 октября 2020 года</t>
  </si>
  <si>
    <t>Кубок Пермского края "Сила Прикамья"
WRPF любители Силовое двоеборье без экипировки ДК
Пермь/Пермский край, 17 октября 2020 года</t>
  </si>
  <si>
    <t>Кубок Пермского края "Сила Прикамья"
WRPF любители Жим лежа без экипировки ДК
Пермь/Пермский край, 17 октября 2020 года</t>
  </si>
  <si>
    <t>Кубок Пермского края "Сила Прикамья"
WRPF любители Жим лежа без экипировки
Пермь/Пермский край, 17 октября 2020 года</t>
  </si>
  <si>
    <t>Кубок Пермского края "Сила Прикамья"
WEPF Жим лежа в однопетельной софт экипировке ДК
Пермь/Пермский край, 17 октября 2020 года</t>
  </si>
  <si>
    <t>Кубок Пермского края "Сила Прикамья"
WEPF Жим лежа в однопетельной софт экипировке
Пермь/Пермский край, 17 октября 2020 года</t>
  </si>
  <si>
    <t>Кубок Пермского края "Сила Прикамья"
WEPF Жим лежа в многопетельной софт экипировке ДК
Пермь/Пермский край, 17 октября 2020 года</t>
  </si>
  <si>
    <t>Кубок Пермского края "Сила Прикамья"
WEPF Жим лежа в многопетельной софт экипировке
Пермь/Пермский край, 17 октября 2020 года</t>
  </si>
  <si>
    <t>Кубок Пермского края "Сила Прикамья"
WRPF Жим лежа СФО
Пермь/Пермский край, 17 октября 2020 года</t>
  </si>
  <si>
    <t>Кубок Пермского края "Сила Прикамья"
WRPF любители Становая тяга без экипировки ДК
Пермь/Пермский край, 17 октября 2020 года</t>
  </si>
  <si>
    <t>Кубок Пермского края "Сила Прикамья"
WRPF любители Становая тяга без экипировки
Пермь/Пермский край, 17 октября 2020 года</t>
  </si>
  <si>
    <t>Кубок Пермского края "Сила Прикамья"
WEPF любители Становая тяга в экипировке ДК
Пермь/Пермский край, 17 октября 2020 года</t>
  </si>
  <si>
    <t>Кубок Пермского края "Сила Прикамья"
WRPF Строгий подъем штанги на бицепс
Пермь/Пермский край, 17 октября 2020 года</t>
  </si>
  <si>
    <t>Весовая категория</t>
  </si>
  <si>
    <t xml:space="preserve">Агрыз/Республика Татарстан </t>
  </si>
  <si>
    <t xml:space="preserve">Ксёнушко О. </t>
  </si>
  <si>
    <t>Девушки 13-19 (23.04.2007)/13</t>
  </si>
  <si>
    <t>Мастера 40-49 (14.07.1971)/49</t>
  </si>
  <si>
    <t>Жим</t>
  </si>
  <si>
    <t>№</t>
  </si>
  <si>
    <t xml:space="preserve">
Дата рождения/Возраст</t>
  </si>
  <si>
    <t>Возрастная группа</t>
  </si>
  <si>
    <t>O</t>
  </si>
  <si>
    <t>T1</t>
  </si>
  <si>
    <t>M1</t>
  </si>
  <si>
    <t>J</t>
  </si>
  <si>
    <t>M2</t>
  </si>
  <si>
    <t>M3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</si>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</sst>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zoomScaleNormal="100"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22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4.33203125" style="5" bestFit="1" customWidth="1"/>
    <col min="7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28" bestFit="1" customWidth="1"/>
    <col min="20" max="20" width="10.33203125" style="6" customWidth="1"/>
    <col min="21" max="21" width="16.83203125" style="5" bestFit="1" customWidth="1"/>
    <col min="22" max="16384" width="9.1640625" style="3"/>
  </cols>
  <sheetData>
    <row r="1" spans="1:21" s="2" customFormat="1" ht="29" customHeight="1">
      <c r="A1" s="41" t="s">
        <v>467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8"/>
    </row>
    <row r="3" spans="1:21" s="1" customFormat="1" ht="12.75" customHeight="1">
      <c r="A3" s="49" t="s">
        <v>489</v>
      </c>
      <c r="B3" s="54" t="s">
        <v>0</v>
      </c>
      <c r="C3" s="51" t="s">
        <v>490</v>
      </c>
      <c r="D3" s="51" t="s">
        <v>6</v>
      </c>
      <c r="E3" s="35" t="s">
        <v>491</v>
      </c>
      <c r="F3" s="35" t="s">
        <v>5</v>
      </c>
      <c r="G3" s="35" t="s">
        <v>7</v>
      </c>
      <c r="H3" s="35"/>
      <c r="I3" s="35"/>
      <c r="J3" s="35"/>
      <c r="K3" s="35" t="s">
        <v>8</v>
      </c>
      <c r="L3" s="35"/>
      <c r="M3" s="35"/>
      <c r="N3" s="35"/>
      <c r="O3" s="35" t="s">
        <v>9</v>
      </c>
      <c r="P3" s="35"/>
      <c r="Q3" s="35"/>
      <c r="R3" s="35"/>
      <c r="S3" s="33" t="s">
        <v>1</v>
      </c>
      <c r="T3" s="35" t="s">
        <v>3</v>
      </c>
      <c r="U3" s="37" t="s">
        <v>2</v>
      </c>
    </row>
    <row r="4" spans="1:21" s="1" customFormat="1" ht="21" customHeight="1" thickBot="1">
      <c r="A4" s="50"/>
      <c r="B4" s="55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4"/>
      <c r="T4" s="36"/>
      <c r="U4" s="38"/>
    </row>
    <row r="5" spans="1:21" ht="16">
      <c r="A5" s="39" t="s">
        <v>137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1">
      <c r="A6" s="8" t="s">
        <v>86</v>
      </c>
      <c r="B6" s="7" t="s">
        <v>138</v>
      </c>
      <c r="C6" s="7" t="s">
        <v>139</v>
      </c>
      <c r="D6" s="7" t="s">
        <v>140</v>
      </c>
      <c r="E6" s="7" t="s">
        <v>492</v>
      </c>
      <c r="F6" s="7" t="s">
        <v>141</v>
      </c>
      <c r="G6" s="19" t="s">
        <v>114</v>
      </c>
      <c r="H6" s="19" t="s">
        <v>142</v>
      </c>
      <c r="I6" s="19" t="s">
        <v>143</v>
      </c>
      <c r="J6" s="8"/>
      <c r="K6" s="18" t="s">
        <v>95</v>
      </c>
      <c r="L6" s="19" t="s">
        <v>95</v>
      </c>
      <c r="M6" s="18" t="s">
        <v>96</v>
      </c>
      <c r="N6" s="8"/>
      <c r="O6" s="19" t="s">
        <v>115</v>
      </c>
      <c r="P6" s="19" t="s">
        <v>18</v>
      </c>
      <c r="Q6" s="19" t="s">
        <v>19</v>
      </c>
      <c r="R6" s="8"/>
      <c r="S6" s="29" t="str">
        <f>"275,0"</f>
        <v>275,0</v>
      </c>
      <c r="T6" s="8" t="str">
        <f>"326,7825"</f>
        <v>326,7825</v>
      </c>
      <c r="U6" s="7" t="s">
        <v>144</v>
      </c>
    </row>
    <row r="7" spans="1:21">
      <c r="B7" s="5" t="s">
        <v>87</v>
      </c>
    </row>
    <row r="8" spans="1:21" ht="16">
      <c r="A8" s="52" t="s">
        <v>117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21">
      <c r="A9" s="8" t="s">
        <v>86</v>
      </c>
      <c r="B9" s="7" t="s">
        <v>145</v>
      </c>
      <c r="C9" s="7" t="s">
        <v>146</v>
      </c>
      <c r="D9" s="7" t="s">
        <v>147</v>
      </c>
      <c r="E9" s="7" t="s">
        <v>492</v>
      </c>
      <c r="F9" s="7" t="s">
        <v>37</v>
      </c>
      <c r="G9" s="19" t="s">
        <v>113</v>
      </c>
      <c r="H9" s="18" t="s">
        <v>129</v>
      </c>
      <c r="I9" s="19" t="s">
        <v>129</v>
      </c>
      <c r="J9" s="8"/>
      <c r="K9" s="19" t="s">
        <v>105</v>
      </c>
      <c r="L9" s="18" t="s">
        <v>148</v>
      </c>
      <c r="M9" s="18" t="s">
        <v>148</v>
      </c>
      <c r="N9" s="8"/>
      <c r="O9" s="19" t="s">
        <v>149</v>
      </c>
      <c r="P9" s="19" t="s">
        <v>17</v>
      </c>
      <c r="Q9" s="18" t="s">
        <v>18</v>
      </c>
      <c r="R9" s="8"/>
      <c r="S9" s="29" t="str">
        <f>"245,0"</f>
        <v>245,0</v>
      </c>
      <c r="T9" s="8" t="str">
        <f>"271,7540"</f>
        <v>271,7540</v>
      </c>
      <c r="U9" s="7" t="s">
        <v>150</v>
      </c>
    </row>
    <row r="10" spans="1:21">
      <c r="B10" s="5" t="s">
        <v>87</v>
      </c>
    </row>
    <row r="11" spans="1:21" ht="16">
      <c r="A11" s="52" t="s">
        <v>124</v>
      </c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spans="1:21">
      <c r="A12" s="8" t="s">
        <v>86</v>
      </c>
      <c r="B12" s="7" t="s">
        <v>151</v>
      </c>
      <c r="C12" s="7" t="s">
        <v>152</v>
      </c>
      <c r="D12" s="7" t="s">
        <v>153</v>
      </c>
      <c r="E12" s="7" t="s">
        <v>492</v>
      </c>
      <c r="F12" s="7" t="s">
        <v>37</v>
      </c>
      <c r="G12" s="18" t="s">
        <v>115</v>
      </c>
      <c r="H12" s="18" t="s">
        <v>115</v>
      </c>
      <c r="I12" s="19" t="s">
        <v>115</v>
      </c>
      <c r="J12" s="8"/>
      <c r="K12" s="19" t="s">
        <v>96</v>
      </c>
      <c r="L12" s="18" t="s">
        <v>154</v>
      </c>
      <c r="M12" s="18" t="s">
        <v>154</v>
      </c>
      <c r="N12" s="8"/>
      <c r="O12" s="19" t="s">
        <v>18</v>
      </c>
      <c r="P12" s="19" t="s">
        <v>19</v>
      </c>
      <c r="Q12" s="19" t="s">
        <v>135</v>
      </c>
      <c r="R12" s="8"/>
      <c r="S12" s="29" t="str">
        <f>"300,0"</f>
        <v>300,0</v>
      </c>
      <c r="T12" s="8" t="str">
        <f>"290,1600"</f>
        <v>290,1600</v>
      </c>
      <c r="U12" s="7"/>
    </row>
    <row r="13" spans="1:21">
      <c r="B13" s="5" t="s">
        <v>87</v>
      </c>
    </row>
    <row r="14" spans="1:21" ht="16">
      <c r="A14" s="52" t="s">
        <v>137</v>
      </c>
      <c r="B14" s="52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</row>
    <row r="15" spans="1:21">
      <c r="A15" s="8" t="s">
        <v>191</v>
      </c>
      <c r="B15" s="7" t="s">
        <v>155</v>
      </c>
      <c r="C15" s="7" t="s">
        <v>156</v>
      </c>
      <c r="D15" s="7" t="s">
        <v>157</v>
      </c>
      <c r="E15" s="7" t="s">
        <v>492</v>
      </c>
      <c r="F15" s="7" t="s">
        <v>158</v>
      </c>
      <c r="G15" s="18" t="s">
        <v>121</v>
      </c>
      <c r="H15" s="18" t="s">
        <v>121</v>
      </c>
      <c r="I15" s="18" t="s">
        <v>121</v>
      </c>
      <c r="J15" s="8"/>
      <c r="K15" s="18"/>
      <c r="L15" s="8"/>
      <c r="M15" s="8"/>
      <c r="N15" s="8"/>
      <c r="O15" s="18"/>
      <c r="P15" s="8"/>
      <c r="Q15" s="8"/>
      <c r="R15" s="8"/>
      <c r="S15" s="29">
        <v>0</v>
      </c>
      <c r="T15" s="8" t="str">
        <f>"0,0000"</f>
        <v>0,0000</v>
      </c>
      <c r="U15" s="7" t="s">
        <v>159</v>
      </c>
    </row>
    <row r="16" spans="1:21">
      <c r="B16" s="5" t="s">
        <v>87</v>
      </c>
    </row>
    <row r="17" spans="1:21" ht="16">
      <c r="A17" s="52" t="s">
        <v>117</v>
      </c>
      <c r="B17" s="52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21">
      <c r="A18" s="8" t="s">
        <v>86</v>
      </c>
      <c r="B18" s="7" t="s">
        <v>160</v>
      </c>
      <c r="C18" s="7" t="s">
        <v>161</v>
      </c>
      <c r="D18" s="7" t="s">
        <v>162</v>
      </c>
      <c r="E18" s="7" t="s">
        <v>492</v>
      </c>
      <c r="F18" s="7" t="s">
        <v>158</v>
      </c>
      <c r="G18" s="18" t="s">
        <v>121</v>
      </c>
      <c r="H18" s="19" t="s">
        <v>121</v>
      </c>
      <c r="I18" s="18" t="s">
        <v>115</v>
      </c>
      <c r="J18" s="8"/>
      <c r="K18" s="18" t="s">
        <v>96</v>
      </c>
      <c r="L18" s="19" t="s">
        <v>96</v>
      </c>
      <c r="M18" s="19" t="s">
        <v>113</v>
      </c>
      <c r="N18" s="8"/>
      <c r="O18" s="19" t="s">
        <v>18</v>
      </c>
      <c r="P18" s="19" t="s">
        <v>40</v>
      </c>
      <c r="Q18" s="18" t="s">
        <v>41</v>
      </c>
      <c r="R18" s="8"/>
      <c r="S18" s="29" t="str">
        <f>"305,0"</f>
        <v>305,0</v>
      </c>
      <c r="T18" s="8" t="str">
        <f>"249,4290"</f>
        <v>249,4290</v>
      </c>
      <c r="U18" s="7" t="s">
        <v>159</v>
      </c>
    </row>
    <row r="19" spans="1:21">
      <c r="B19" s="5" t="s">
        <v>87</v>
      </c>
    </row>
    <row r="20" spans="1:21" ht="16">
      <c r="A20" s="52" t="s">
        <v>124</v>
      </c>
      <c r="B20" s="52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</row>
    <row r="21" spans="1:21">
      <c r="A21" s="8" t="s">
        <v>86</v>
      </c>
      <c r="B21" s="7" t="s">
        <v>163</v>
      </c>
      <c r="C21" s="7" t="s">
        <v>164</v>
      </c>
      <c r="D21" s="7" t="s">
        <v>165</v>
      </c>
      <c r="E21" s="7" t="s">
        <v>492</v>
      </c>
      <c r="F21" s="7" t="s">
        <v>37</v>
      </c>
      <c r="G21" s="19" t="s">
        <v>130</v>
      </c>
      <c r="H21" s="19" t="s">
        <v>30</v>
      </c>
      <c r="I21" s="19" t="s">
        <v>166</v>
      </c>
      <c r="J21" s="8"/>
      <c r="K21" s="19" t="s">
        <v>17</v>
      </c>
      <c r="L21" s="19" t="s">
        <v>167</v>
      </c>
      <c r="M21" s="19" t="s">
        <v>168</v>
      </c>
      <c r="N21" s="8"/>
      <c r="O21" s="19" t="s">
        <v>38</v>
      </c>
      <c r="P21" s="19" t="s">
        <v>169</v>
      </c>
      <c r="Q21" s="18" t="s">
        <v>170</v>
      </c>
      <c r="R21" s="8"/>
      <c r="S21" s="29" t="str">
        <f>"505,0"</f>
        <v>505,0</v>
      </c>
      <c r="T21" s="8" t="str">
        <f>"364,6605"</f>
        <v>364,6605</v>
      </c>
      <c r="U21" s="7" t="s">
        <v>150</v>
      </c>
    </row>
    <row r="22" spans="1:21">
      <c r="B22" s="5" t="s">
        <v>87</v>
      </c>
    </row>
    <row r="23" spans="1:21" ht="16">
      <c r="A23" s="52" t="s">
        <v>132</v>
      </c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</row>
    <row r="24" spans="1:21">
      <c r="A24" s="8" t="s">
        <v>86</v>
      </c>
      <c r="B24" s="7" t="s">
        <v>171</v>
      </c>
      <c r="C24" s="7" t="s">
        <v>172</v>
      </c>
      <c r="D24" s="7" t="s">
        <v>173</v>
      </c>
      <c r="E24" s="7" t="s">
        <v>492</v>
      </c>
      <c r="F24" s="7" t="s">
        <v>37</v>
      </c>
      <c r="G24" s="18" t="s">
        <v>30</v>
      </c>
      <c r="H24" s="19" t="s">
        <v>30</v>
      </c>
      <c r="I24" s="18" t="s">
        <v>174</v>
      </c>
      <c r="J24" s="8"/>
      <c r="K24" s="19" t="s">
        <v>121</v>
      </c>
      <c r="L24" s="19" t="s">
        <v>149</v>
      </c>
      <c r="M24" s="18" t="s">
        <v>115</v>
      </c>
      <c r="N24" s="8"/>
      <c r="O24" s="19" t="s">
        <v>58</v>
      </c>
      <c r="P24" s="19" t="s">
        <v>175</v>
      </c>
      <c r="Q24" s="19" t="s">
        <v>67</v>
      </c>
      <c r="R24" s="8"/>
      <c r="S24" s="29" t="str">
        <f>"452,5"</f>
        <v>452,5</v>
      </c>
      <c r="T24" s="8" t="str">
        <f>"304,2610"</f>
        <v>304,2610</v>
      </c>
      <c r="U24" s="7" t="s">
        <v>150</v>
      </c>
    </row>
    <row r="25" spans="1:21">
      <c r="B25" s="5" t="s">
        <v>87</v>
      </c>
    </row>
    <row r="26" spans="1:21" ht="16">
      <c r="A26" s="52" t="s">
        <v>10</v>
      </c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</row>
    <row r="27" spans="1:21">
      <c r="A27" s="10" t="s">
        <v>86</v>
      </c>
      <c r="B27" s="9" t="s">
        <v>176</v>
      </c>
      <c r="C27" s="9" t="s">
        <v>177</v>
      </c>
      <c r="D27" s="9" t="s">
        <v>178</v>
      </c>
      <c r="E27" s="9" t="s">
        <v>492</v>
      </c>
      <c r="F27" s="9" t="s">
        <v>37</v>
      </c>
      <c r="G27" s="20" t="s">
        <v>166</v>
      </c>
      <c r="H27" s="20" t="s">
        <v>179</v>
      </c>
      <c r="I27" s="21" t="s">
        <v>67</v>
      </c>
      <c r="J27" s="10"/>
      <c r="K27" s="20" t="s">
        <v>41</v>
      </c>
      <c r="L27" s="20" t="s">
        <v>42</v>
      </c>
      <c r="M27" s="10"/>
      <c r="N27" s="10"/>
      <c r="O27" s="20" t="s">
        <v>180</v>
      </c>
      <c r="P27" s="20" t="s">
        <v>181</v>
      </c>
      <c r="Q27" s="21" t="s">
        <v>29</v>
      </c>
      <c r="R27" s="10"/>
      <c r="S27" s="30" t="str">
        <f>"620,0"</f>
        <v>620,0</v>
      </c>
      <c r="T27" s="10" t="str">
        <f>"400,7060"</f>
        <v>400,7060</v>
      </c>
      <c r="U27" s="9"/>
    </row>
    <row r="28" spans="1:21">
      <c r="A28" s="12" t="s">
        <v>88</v>
      </c>
      <c r="B28" s="11" t="s">
        <v>182</v>
      </c>
      <c r="C28" s="11" t="s">
        <v>183</v>
      </c>
      <c r="D28" s="11" t="s">
        <v>184</v>
      </c>
      <c r="E28" s="11" t="s">
        <v>492</v>
      </c>
      <c r="F28" s="11" t="s">
        <v>158</v>
      </c>
      <c r="G28" s="22" t="s">
        <v>466</v>
      </c>
      <c r="H28" s="23" t="s">
        <v>135</v>
      </c>
      <c r="I28" s="23" t="s">
        <v>31</v>
      </c>
      <c r="J28" s="12"/>
      <c r="K28" s="23" t="s">
        <v>121</v>
      </c>
      <c r="L28" s="23" t="s">
        <v>115</v>
      </c>
      <c r="M28" s="22" t="s">
        <v>17</v>
      </c>
      <c r="N28" s="12"/>
      <c r="O28" s="23" t="s">
        <v>58</v>
      </c>
      <c r="P28" s="22" t="s">
        <v>20</v>
      </c>
      <c r="Q28" s="12"/>
      <c r="R28" s="12"/>
      <c r="S28" s="31" t="str">
        <f>"435,0"</f>
        <v>435,0</v>
      </c>
      <c r="T28" s="12" t="str">
        <f>"278,0085"</f>
        <v>278,0085</v>
      </c>
      <c r="U28" s="11"/>
    </row>
    <row r="29" spans="1:21">
      <c r="B29" s="5" t="s">
        <v>87</v>
      </c>
    </row>
    <row r="30" spans="1:21" ht="16">
      <c r="A30" s="52" t="s">
        <v>185</v>
      </c>
      <c r="B30" s="5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</row>
    <row r="31" spans="1:21">
      <c r="A31" s="8" t="s">
        <v>191</v>
      </c>
      <c r="B31" s="7" t="s">
        <v>186</v>
      </c>
      <c r="C31" s="7" t="s">
        <v>187</v>
      </c>
      <c r="D31" s="7" t="s">
        <v>188</v>
      </c>
      <c r="E31" s="7" t="s">
        <v>492</v>
      </c>
      <c r="F31" s="7" t="s">
        <v>37</v>
      </c>
      <c r="G31" s="19" t="s">
        <v>15</v>
      </c>
      <c r="H31" s="18" t="s">
        <v>20</v>
      </c>
      <c r="I31" s="18" t="s">
        <v>20</v>
      </c>
      <c r="J31" s="8"/>
      <c r="K31" s="18"/>
      <c r="L31" s="18"/>
      <c r="M31" s="8"/>
      <c r="N31" s="8"/>
      <c r="O31" s="8"/>
      <c r="P31" s="8"/>
      <c r="Q31" s="8"/>
      <c r="R31" s="8"/>
      <c r="S31" s="29">
        <v>0</v>
      </c>
      <c r="T31" s="8" t="str">
        <f>"0,0000"</f>
        <v>0,0000</v>
      </c>
      <c r="U31" s="7"/>
    </row>
    <row r="32" spans="1:21">
      <c r="B32" s="5" t="s">
        <v>87</v>
      </c>
    </row>
    <row r="33" spans="2:2">
      <c r="B33" s="5" t="s">
        <v>87</v>
      </c>
    </row>
    <row r="34" spans="2:2">
      <c r="B34" s="5" t="s">
        <v>87</v>
      </c>
    </row>
    <row r="35" spans="2:2">
      <c r="B35" s="5" t="s">
        <v>87</v>
      </c>
    </row>
  </sheetData>
  <mergeCells count="22">
    <mergeCell ref="A26:R26"/>
    <mergeCell ref="A30:R30"/>
    <mergeCell ref="B3:B4"/>
    <mergeCell ref="A8:R8"/>
    <mergeCell ref="A11:R11"/>
    <mergeCell ref="A14:R14"/>
    <mergeCell ref="A17:R17"/>
    <mergeCell ref="A20:R20"/>
    <mergeCell ref="A23:R23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8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6.832031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0.8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1.83203125" style="5" customWidth="1"/>
    <col min="14" max="16384" width="9.1640625" style="3"/>
  </cols>
  <sheetData>
    <row r="1" spans="1:13" s="2" customFormat="1" ht="29" customHeight="1">
      <c r="A1" s="41" t="s">
        <v>476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489</v>
      </c>
      <c r="B3" s="54" t="s">
        <v>0</v>
      </c>
      <c r="C3" s="51" t="s">
        <v>490</v>
      </c>
      <c r="D3" s="51" t="s">
        <v>6</v>
      </c>
      <c r="E3" s="35" t="s">
        <v>491</v>
      </c>
      <c r="F3" s="35" t="s">
        <v>5</v>
      </c>
      <c r="G3" s="35" t="s">
        <v>8</v>
      </c>
      <c r="H3" s="35"/>
      <c r="I3" s="35"/>
      <c r="J3" s="35"/>
      <c r="K3" s="35" t="s">
        <v>202</v>
      </c>
      <c r="L3" s="35" t="s">
        <v>3</v>
      </c>
      <c r="M3" s="37" t="s">
        <v>2</v>
      </c>
    </row>
    <row r="4" spans="1:13" s="1" customFormat="1" ht="21" customHeight="1" thickBot="1">
      <c r="A4" s="50"/>
      <c r="B4" s="55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22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8" t="s">
        <v>86</v>
      </c>
      <c r="B6" s="7" t="s">
        <v>388</v>
      </c>
      <c r="C6" s="7" t="s">
        <v>389</v>
      </c>
      <c r="D6" s="7" t="s">
        <v>390</v>
      </c>
      <c r="E6" s="7" t="s">
        <v>492</v>
      </c>
      <c r="F6" s="7" t="s">
        <v>37</v>
      </c>
      <c r="G6" s="19" t="s">
        <v>39</v>
      </c>
      <c r="H6" s="19" t="s">
        <v>20</v>
      </c>
      <c r="I6" s="19" t="s">
        <v>391</v>
      </c>
      <c r="J6" s="8"/>
      <c r="K6" s="8" t="str">
        <f>"242,5"</f>
        <v>242,5</v>
      </c>
      <c r="L6" s="8" t="str">
        <f>"148,1554"</f>
        <v>148,1554</v>
      </c>
      <c r="M6" s="7"/>
    </row>
    <row r="7" spans="1:13">
      <c r="B7" s="5" t="s">
        <v>87</v>
      </c>
    </row>
    <row r="8" spans="1:13">
      <c r="B8" s="5" t="s">
        <v>87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1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7.332031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4.6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0" style="5" customWidth="1"/>
    <col min="14" max="16384" width="9.1640625" style="3"/>
  </cols>
  <sheetData>
    <row r="1" spans="1:13" s="2" customFormat="1" ht="29" customHeight="1">
      <c r="A1" s="41" t="s">
        <v>477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489</v>
      </c>
      <c r="B3" s="54" t="s">
        <v>0</v>
      </c>
      <c r="C3" s="51" t="s">
        <v>490</v>
      </c>
      <c r="D3" s="51" t="s">
        <v>6</v>
      </c>
      <c r="E3" s="35" t="s">
        <v>491</v>
      </c>
      <c r="F3" s="35" t="s">
        <v>5</v>
      </c>
      <c r="G3" s="35" t="s">
        <v>8</v>
      </c>
      <c r="H3" s="35"/>
      <c r="I3" s="35"/>
      <c r="J3" s="35"/>
      <c r="K3" s="35" t="s">
        <v>202</v>
      </c>
      <c r="L3" s="35" t="s">
        <v>3</v>
      </c>
      <c r="M3" s="37" t="s">
        <v>2</v>
      </c>
    </row>
    <row r="4" spans="1:13" s="1" customFormat="1" ht="21" customHeight="1" thickBot="1">
      <c r="A4" s="50"/>
      <c r="B4" s="55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132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8" t="s">
        <v>86</v>
      </c>
      <c r="B6" s="7" t="s">
        <v>378</v>
      </c>
      <c r="C6" s="7" t="s">
        <v>379</v>
      </c>
      <c r="D6" s="7" t="s">
        <v>380</v>
      </c>
      <c r="E6" s="7" t="s">
        <v>492</v>
      </c>
      <c r="F6" s="7" t="s">
        <v>37</v>
      </c>
      <c r="G6" s="19" t="s">
        <v>196</v>
      </c>
      <c r="H6" s="19" t="s">
        <v>51</v>
      </c>
      <c r="I6" s="18" t="s">
        <v>15</v>
      </c>
      <c r="J6" s="8"/>
      <c r="K6" s="8" t="str">
        <f>"205,0"</f>
        <v>205,0</v>
      </c>
      <c r="L6" s="8" t="str">
        <f>"132,7170"</f>
        <v>132,7170</v>
      </c>
      <c r="M6" s="7"/>
    </row>
    <row r="7" spans="1:13">
      <c r="B7" s="5" t="s">
        <v>87</v>
      </c>
    </row>
    <row r="8" spans="1:13" ht="16">
      <c r="A8" s="52" t="s">
        <v>62</v>
      </c>
      <c r="B8" s="52"/>
      <c r="C8" s="53"/>
      <c r="D8" s="53"/>
      <c r="E8" s="53"/>
      <c r="F8" s="53"/>
      <c r="G8" s="53"/>
      <c r="H8" s="53"/>
      <c r="I8" s="53"/>
      <c r="J8" s="53"/>
    </row>
    <row r="9" spans="1:13">
      <c r="A9" s="8" t="s">
        <v>86</v>
      </c>
      <c r="B9" s="7" t="s">
        <v>381</v>
      </c>
      <c r="C9" s="7" t="s">
        <v>382</v>
      </c>
      <c r="D9" s="7" t="s">
        <v>383</v>
      </c>
      <c r="E9" s="7" t="s">
        <v>492</v>
      </c>
      <c r="F9" s="7" t="s">
        <v>384</v>
      </c>
      <c r="G9" s="19" t="s">
        <v>385</v>
      </c>
      <c r="H9" s="18" t="s">
        <v>386</v>
      </c>
      <c r="I9" s="18" t="s">
        <v>387</v>
      </c>
      <c r="J9" s="8"/>
      <c r="K9" s="8" t="str">
        <f>"350,0"</f>
        <v>350,0</v>
      </c>
      <c r="L9" s="8" t="str">
        <f>"186,7268"</f>
        <v>186,7268</v>
      </c>
      <c r="M9" s="7"/>
    </row>
    <row r="10" spans="1:13">
      <c r="B10" s="5" t="s">
        <v>87</v>
      </c>
    </row>
    <row r="11" spans="1:13">
      <c r="B11" s="5" t="s">
        <v>87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1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7.332031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31.5" style="5" bestFit="1" customWidth="1"/>
    <col min="7" max="8" width="4.5" style="6" customWidth="1"/>
    <col min="9" max="9" width="5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16.33203125" style="5" bestFit="1" customWidth="1"/>
    <col min="14" max="16384" width="9.1640625" style="3"/>
  </cols>
  <sheetData>
    <row r="1" spans="1:13" s="2" customFormat="1" ht="29" customHeight="1">
      <c r="A1" s="41" t="s">
        <v>478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489</v>
      </c>
      <c r="B3" s="54" t="s">
        <v>0</v>
      </c>
      <c r="C3" s="51" t="s">
        <v>490</v>
      </c>
      <c r="D3" s="51" t="s">
        <v>6</v>
      </c>
      <c r="E3" s="35" t="s">
        <v>491</v>
      </c>
      <c r="F3" s="35" t="s">
        <v>5</v>
      </c>
      <c r="G3" s="35" t="s">
        <v>8</v>
      </c>
      <c r="H3" s="35"/>
      <c r="I3" s="35"/>
      <c r="J3" s="35"/>
      <c r="K3" s="35" t="s">
        <v>202</v>
      </c>
      <c r="L3" s="35" t="s">
        <v>3</v>
      </c>
      <c r="M3" s="37" t="s">
        <v>2</v>
      </c>
    </row>
    <row r="4" spans="1:13" s="1" customFormat="1" ht="21" customHeight="1" thickBot="1">
      <c r="A4" s="50"/>
      <c r="B4" s="55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52" t="s">
        <v>137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8" t="s">
        <v>86</v>
      </c>
      <c r="B6" s="7" t="s">
        <v>461</v>
      </c>
      <c r="C6" s="7" t="s">
        <v>462</v>
      </c>
      <c r="D6" s="7" t="s">
        <v>205</v>
      </c>
      <c r="E6" s="7" t="s">
        <v>492</v>
      </c>
      <c r="F6" s="7" t="s">
        <v>37</v>
      </c>
      <c r="G6" s="19" t="s">
        <v>95</v>
      </c>
      <c r="H6" s="19" t="s">
        <v>154</v>
      </c>
      <c r="I6" s="18" t="s">
        <v>445</v>
      </c>
      <c r="J6" s="8"/>
      <c r="K6" s="8" t="str">
        <f>"65,0"</f>
        <v>65,0</v>
      </c>
      <c r="L6" s="8" t="str">
        <f>"59,5790"</f>
        <v>59,5790</v>
      </c>
      <c r="M6" s="7" t="s">
        <v>463</v>
      </c>
    </row>
    <row r="7" spans="1:13">
      <c r="B7" s="5" t="s">
        <v>87</v>
      </c>
    </row>
    <row r="8" spans="1:13" ht="16">
      <c r="A8" s="52" t="s">
        <v>124</v>
      </c>
      <c r="B8" s="52"/>
      <c r="C8" s="53"/>
      <c r="D8" s="53"/>
      <c r="E8" s="53"/>
      <c r="F8" s="53"/>
      <c r="G8" s="53"/>
      <c r="H8" s="53"/>
      <c r="I8" s="53"/>
      <c r="J8" s="53"/>
    </row>
    <row r="9" spans="1:13">
      <c r="A9" s="8" t="s">
        <v>86</v>
      </c>
      <c r="B9" s="7" t="s">
        <v>464</v>
      </c>
      <c r="C9" s="7" t="s">
        <v>465</v>
      </c>
      <c r="D9" s="7" t="s">
        <v>226</v>
      </c>
      <c r="E9" s="7" t="s">
        <v>492</v>
      </c>
      <c r="F9" s="7" t="s">
        <v>26</v>
      </c>
      <c r="G9" s="19" t="s">
        <v>114</v>
      </c>
      <c r="H9" s="19" t="s">
        <v>143</v>
      </c>
      <c r="I9" s="18" t="s">
        <v>121</v>
      </c>
      <c r="J9" s="8"/>
      <c r="K9" s="8" t="str">
        <f>"95,0"</f>
        <v>95,0</v>
      </c>
      <c r="L9" s="8" t="str">
        <f>"65,4122"</f>
        <v>65,4122</v>
      </c>
      <c r="M9" s="7"/>
    </row>
    <row r="10" spans="1:13">
      <c r="B10" s="5" t="s">
        <v>87</v>
      </c>
    </row>
    <row r="11" spans="1:13">
      <c r="B11" s="5" t="s">
        <v>87</v>
      </c>
    </row>
  </sheetData>
  <mergeCells count="13">
    <mergeCell ref="A5:J5"/>
    <mergeCell ref="A8:J8"/>
    <mergeCell ref="B3:B4"/>
    <mergeCell ref="K3:K4"/>
    <mergeCell ref="L3:L4"/>
    <mergeCell ref="M3:M4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24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2.332031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2.6640625" style="5" bestFit="1" customWidth="1"/>
    <col min="7" max="10" width="5.5" style="6" customWidth="1"/>
    <col min="11" max="11" width="10.5" style="6" bestFit="1" customWidth="1"/>
    <col min="12" max="12" width="8.5" style="6" bestFit="1" customWidth="1"/>
    <col min="13" max="13" width="19.1640625" style="5" customWidth="1"/>
    <col min="14" max="16384" width="9.1640625" style="3"/>
  </cols>
  <sheetData>
    <row r="1" spans="1:13" s="2" customFormat="1" ht="29" customHeight="1">
      <c r="A1" s="41" t="s">
        <v>479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489</v>
      </c>
      <c r="B3" s="54" t="s">
        <v>0</v>
      </c>
      <c r="C3" s="51" t="s">
        <v>490</v>
      </c>
      <c r="D3" s="51" t="s">
        <v>6</v>
      </c>
      <c r="E3" s="35" t="s">
        <v>491</v>
      </c>
      <c r="F3" s="35" t="s">
        <v>5</v>
      </c>
      <c r="G3" s="35" t="s">
        <v>9</v>
      </c>
      <c r="H3" s="35"/>
      <c r="I3" s="35"/>
      <c r="J3" s="35"/>
      <c r="K3" s="35" t="s">
        <v>202</v>
      </c>
      <c r="L3" s="35" t="s">
        <v>3</v>
      </c>
      <c r="M3" s="37" t="s">
        <v>2</v>
      </c>
    </row>
    <row r="4" spans="1:13" s="1" customFormat="1" ht="21" customHeight="1" thickBot="1">
      <c r="A4" s="50"/>
      <c r="B4" s="55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124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8" t="s">
        <v>86</v>
      </c>
      <c r="B6" s="7" t="s">
        <v>414</v>
      </c>
      <c r="C6" s="7" t="s">
        <v>415</v>
      </c>
      <c r="D6" s="7" t="s">
        <v>416</v>
      </c>
      <c r="E6" s="7" t="s">
        <v>494</v>
      </c>
      <c r="F6" s="7" t="s">
        <v>37</v>
      </c>
      <c r="G6" s="19" t="s">
        <v>121</v>
      </c>
      <c r="H6" s="19" t="s">
        <v>115</v>
      </c>
      <c r="I6" s="19" t="s">
        <v>327</v>
      </c>
      <c r="J6" s="8"/>
      <c r="K6" s="8" t="str">
        <f>"117,5"</f>
        <v>117,5</v>
      </c>
      <c r="L6" s="8" t="str">
        <f>"128,3556"</f>
        <v>128,3556</v>
      </c>
      <c r="M6" s="7" t="s">
        <v>417</v>
      </c>
    </row>
    <row r="7" spans="1:13">
      <c r="B7" s="5" t="s">
        <v>87</v>
      </c>
    </row>
    <row r="8" spans="1:13" ht="16">
      <c r="A8" s="52" t="s">
        <v>124</v>
      </c>
      <c r="B8" s="52"/>
      <c r="C8" s="53"/>
      <c r="D8" s="53"/>
      <c r="E8" s="53"/>
      <c r="F8" s="53"/>
      <c r="G8" s="53"/>
      <c r="H8" s="53"/>
      <c r="I8" s="53"/>
      <c r="J8" s="53"/>
    </row>
    <row r="9" spans="1:13">
      <c r="A9" s="8" t="s">
        <v>86</v>
      </c>
      <c r="B9" s="7" t="s">
        <v>418</v>
      </c>
      <c r="C9" s="7" t="s">
        <v>419</v>
      </c>
      <c r="D9" s="7" t="s">
        <v>420</v>
      </c>
      <c r="E9" s="7" t="s">
        <v>492</v>
      </c>
      <c r="F9" s="7" t="s">
        <v>37</v>
      </c>
      <c r="G9" s="19" t="s">
        <v>31</v>
      </c>
      <c r="H9" s="19" t="s">
        <v>166</v>
      </c>
      <c r="I9" s="19" t="s">
        <v>175</v>
      </c>
      <c r="J9" s="8"/>
      <c r="K9" s="8" t="str">
        <f>"175,0"</f>
        <v>175,0</v>
      </c>
      <c r="L9" s="8" t="str">
        <f>"133,8225"</f>
        <v>133,8225</v>
      </c>
      <c r="M9" s="7"/>
    </row>
    <row r="10" spans="1:13">
      <c r="B10" s="5" t="s">
        <v>87</v>
      </c>
    </row>
    <row r="11" spans="1:13" ht="16">
      <c r="A11" s="52" t="s">
        <v>132</v>
      </c>
      <c r="B11" s="52"/>
      <c r="C11" s="53"/>
      <c r="D11" s="53"/>
      <c r="E11" s="53"/>
      <c r="F11" s="53"/>
      <c r="G11" s="53"/>
      <c r="H11" s="53"/>
      <c r="I11" s="53"/>
      <c r="J11" s="53"/>
    </row>
    <row r="12" spans="1:13">
      <c r="A12" s="8" t="s">
        <v>86</v>
      </c>
      <c r="B12" s="7" t="s">
        <v>421</v>
      </c>
      <c r="C12" s="7" t="s">
        <v>422</v>
      </c>
      <c r="D12" s="7" t="s">
        <v>423</v>
      </c>
      <c r="E12" s="7" t="s">
        <v>492</v>
      </c>
      <c r="F12" s="7" t="s">
        <v>14</v>
      </c>
      <c r="G12" s="19" t="s">
        <v>51</v>
      </c>
      <c r="H12" s="19" t="s">
        <v>16</v>
      </c>
      <c r="I12" s="18" t="s">
        <v>39</v>
      </c>
      <c r="J12" s="8"/>
      <c r="K12" s="8" t="str">
        <f>"215,0"</f>
        <v>215,0</v>
      </c>
      <c r="L12" s="8" t="str">
        <f>"148,9305"</f>
        <v>148,9305</v>
      </c>
      <c r="M12" s="7" t="s">
        <v>52</v>
      </c>
    </row>
    <row r="13" spans="1:13">
      <c r="B13" s="5" t="s">
        <v>87</v>
      </c>
    </row>
    <row r="14" spans="1:13" ht="16">
      <c r="A14" s="52" t="s">
        <v>10</v>
      </c>
      <c r="B14" s="52"/>
      <c r="C14" s="53"/>
      <c r="D14" s="53"/>
      <c r="E14" s="53"/>
      <c r="F14" s="53"/>
      <c r="G14" s="53"/>
      <c r="H14" s="53"/>
      <c r="I14" s="53"/>
      <c r="J14" s="53"/>
    </row>
    <row r="15" spans="1:13">
      <c r="A15" s="8" t="s">
        <v>86</v>
      </c>
      <c r="B15" s="7" t="s">
        <v>176</v>
      </c>
      <c r="C15" s="7" t="s">
        <v>177</v>
      </c>
      <c r="D15" s="7" t="s">
        <v>178</v>
      </c>
      <c r="E15" s="7" t="s">
        <v>492</v>
      </c>
      <c r="F15" s="7" t="s">
        <v>37</v>
      </c>
      <c r="G15" s="19" t="s">
        <v>180</v>
      </c>
      <c r="H15" s="19" t="s">
        <v>181</v>
      </c>
      <c r="I15" s="18" t="s">
        <v>29</v>
      </c>
      <c r="J15" s="8"/>
      <c r="K15" s="8" t="str">
        <f>"282,5"</f>
        <v>282,5</v>
      </c>
      <c r="L15" s="8" t="str">
        <f>"182,5798"</f>
        <v>182,5798</v>
      </c>
      <c r="M15" s="7"/>
    </row>
    <row r="16" spans="1:13">
      <c r="B16" s="5" t="s">
        <v>87</v>
      </c>
    </row>
    <row r="17" spans="1:13" ht="16">
      <c r="A17" s="52" t="s">
        <v>22</v>
      </c>
      <c r="B17" s="52"/>
      <c r="C17" s="53"/>
      <c r="D17" s="53"/>
      <c r="E17" s="53"/>
      <c r="F17" s="53"/>
      <c r="G17" s="53"/>
      <c r="H17" s="53"/>
      <c r="I17" s="53"/>
      <c r="J17" s="53"/>
    </row>
    <row r="18" spans="1:13">
      <c r="A18" s="10" t="s">
        <v>86</v>
      </c>
      <c r="B18" s="9" t="s">
        <v>424</v>
      </c>
      <c r="C18" s="9" t="s">
        <v>425</v>
      </c>
      <c r="D18" s="9" t="s">
        <v>426</v>
      </c>
      <c r="E18" s="9" t="s">
        <v>492</v>
      </c>
      <c r="F18" s="9" t="s">
        <v>37</v>
      </c>
      <c r="G18" s="20" t="s">
        <v>67</v>
      </c>
      <c r="H18" s="20" t="s">
        <v>38</v>
      </c>
      <c r="I18" s="20" t="s">
        <v>15</v>
      </c>
      <c r="J18" s="10"/>
      <c r="K18" s="10" t="str">
        <f>"210,0"</f>
        <v>210,0</v>
      </c>
      <c r="L18" s="10" t="str">
        <f>"128,7090"</f>
        <v>128,7090</v>
      </c>
      <c r="M18" s="9" t="s">
        <v>251</v>
      </c>
    </row>
    <row r="19" spans="1:13">
      <c r="A19" s="12" t="s">
        <v>86</v>
      </c>
      <c r="B19" s="11" t="s">
        <v>427</v>
      </c>
      <c r="C19" s="11" t="s">
        <v>428</v>
      </c>
      <c r="D19" s="11" t="s">
        <v>429</v>
      </c>
      <c r="E19" s="11" t="s">
        <v>497</v>
      </c>
      <c r="F19" s="11" t="s">
        <v>128</v>
      </c>
      <c r="G19" s="23" t="s">
        <v>179</v>
      </c>
      <c r="H19" s="23" t="s">
        <v>196</v>
      </c>
      <c r="I19" s="22" t="s">
        <v>430</v>
      </c>
      <c r="J19" s="12"/>
      <c r="K19" s="12" t="str">
        <f>"195,0"</f>
        <v>195,0</v>
      </c>
      <c r="L19" s="12" t="str">
        <f>"179,6149"</f>
        <v>179,6149</v>
      </c>
      <c r="M19" s="11"/>
    </row>
    <row r="20" spans="1:13">
      <c r="B20" s="5" t="s">
        <v>87</v>
      </c>
    </row>
    <row r="21" spans="1:13" ht="16">
      <c r="A21" s="52" t="s">
        <v>185</v>
      </c>
      <c r="B21" s="52"/>
      <c r="C21" s="53"/>
      <c r="D21" s="53"/>
      <c r="E21" s="53"/>
      <c r="F21" s="53"/>
      <c r="G21" s="53"/>
      <c r="H21" s="53"/>
      <c r="I21" s="53"/>
      <c r="J21" s="53"/>
    </row>
    <row r="22" spans="1:13">
      <c r="A22" s="8" t="s">
        <v>86</v>
      </c>
      <c r="B22" s="7" t="s">
        <v>186</v>
      </c>
      <c r="C22" s="7" t="s">
        <v>187</v>
      </c>
      <c r="D22" s="7" t="s">
        <v>188</v>
      </c>
      <c r="E22" s="7" t="s">
        <v>492</v>
      </c>
      <c r="F22" s="7" t="s">
        <v>37</v>
      </c>
      <c r="G22" s="19" t="s">
        <v>20</v>
      </c>
      <c r="H22" s="19" t="s">
        <v>57</v>
      </c>
      <c r="I22" s="19" t="s">
        <v>189</v>
      </c>
      <c r="J22" s="8"/>
      <c r="K22" s="8" t="str">
        <f>"260,0"</f>
        <v>260,0</v>
      </c>
      <c r="L22" s="8" t="str">
        <f>"150,7220"</f>
        <v>150,7220</v>
      </c>
      <c r="M22" s="7"/>
    </row>
    <row r="23" spans="1:13">
      <c r="B23" s="5" t="s">
        <v>87</v>
      </c>
    </row>
    <row r="24" spans="1:13">
      <c r="B24" s="5" t="s">
        <v>87</v>
      </c>
    </row>
  </sheetData>
  <mergeCells count="17">
    <mergeCell ref="A21:J21"/>
    <mergeCell ref="A5:J5"/>
    <mergeCell ref="A8:J8"/>
    <mergeCell ref="A11:J11"/>
    <mergeCell ref="A14:J14"/>
    <mergeCell ref="A17:J17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24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16406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8.6640625" style="5" bestFit="1" customWidth="1"/>
    <col min="7" max="10" width="5.5" style="6" customWidth="1"/>
    <col min="11" max="11" width="10.5" style="6" bestFit="1" customWidth="1"/>
    <col min="12" max="12" width="8.5" style="6" bestFit="1" customWidth="1"/>
    <col min="13" max="13" width="15.5" style="5" bestFit="1" customWidth="1"/>
    <col min="14" max="16384" width="9.1640625" style="3"/>
  </cols>
  <sheetData>
    <row r="1" spans="1:13" s="2" customFormat="1" ht="29" customHeight="1">
      <c r="A1" s="41" t="s">
        <v>480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489</v>
      </c>
      <c r="B3" s="54" t="s">
        <v>0</v>
      </c>
      <c r="C3" s="51" t="s">
        <v>490</v>
      </c>
      <c r="D3" s="51" t="s">
        <v>6</v>
      </c>
      <c r="E3" s="35" t="s">
        <v>491</v>
      </c>
      <c r="F3" s="35" t="s">
        <v>5</v>
      </c>
      <c r="G3" s="35" t="s">
        <v>9</v>
      </c>
      <c r="H3" s="35"/>
      <c r="I3" s="35"/>
      <c r="J3" s="35"/>
      <c r="K3" s="35" t="s">
        <v>202</v>
      </c>
      <c r="L3" s="35" t="s">
        <v>3</v>
      </c>
      <c r="M3" s="37" t="s">
        <v>2</v>
      </c>
    </row>
    <row r="4" spans="1:13" s="1" customFormat="1" ht="21" customHeight="1" thickBot="1">
      <c r="A4" s="50"/>
      <c r="B4" s="55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392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8" t="s">
        <v>86</v>
      </c>
      <c r="B6" s="7" t="s">
        <v>393</v>
      </c>
      <c r="C6" s="7" t="s">
        <v>394</v>
      </c>
      <c r="D6" s="7" t="s">
        <v>395</v>
      </c>
      <c r="E6" s="7" t="s">
        <v>494</v>
      </c>
      <c r="F6" s="7" t="s">
        <v>37</v>
      </c>
      <c r="G6" s="18" t="s">
        <v>40</v>
      </c>
      <c r="H6" s="19" t="s">
        <v>40</v>
      </c>
      <c r="I6" s="19" t="s">
        <v>130</v>
      </c>
      <c r="J6" s="8"/>
      <c r="K6" s="8" t="str">
        <f>"140,0"</f>
        <v>140,0</v>
      </c>
      <c r="L6" s="8" t="str">
        <f>"127,0595"</f>
        <v>127,0595</v>
      </c>
      <c r="M6" s="7" t="s">
        <v>396</v>
      </c>
    </row>
    <row r="7" spans="1:13">
      <c r="B7" s="5" t="s">
        <v>87</v>
      </c>
    </row>
    <row r="8" spans="1:13" ht="16">
      <c r="A8" s="52" t="s">
        <v>99</v>
      </c>
      <c r="B8" s="52"/>
      <c r="C8" s="53"/>
      <c r="D8" s="53"/>
      <c r="E8" s="53"/>
      <c r="F8" s="53"/>
      <c r="G8" s="53"/>
      <c r="H8" s="53"/>
      <c r="I8" s="53"/>
      <c r="J8" s="53"/>
    </row>
    <row r="9" spans="1:13">
      <c r="A9" s="8" t="s">
        <v>86</v>
      </c>
      <c r="B9" s="7" t="s">
        <v>397</v>
      </c>
      <c r="C9" s="7" t="s">
        <v>398</v>
      </c>
      <c r="D9" s="7" t="s">
        <v>399</v>
      </c>
      <c r="E9" s="7" t="s">
        <v>493</v>
      </c>
      <c r="F9" s="7" t="s">
        <v>400</v>
      </c>
      <c r="G9" s="19" t="s">
        <v>103</v>
      </c>
      <c r="H9" s="19" t="s">
        <v>114</v>
      </c>
      <c r="I9" s="19" t="s">
        <v>142</v>
      </c>
      <c r="J9" s="8"/>
      <c r="K9" s="8" t="str">
        <f>"92,5"</f>
        <v>92,5</v>
      </c>
      <c r="L9" s="8" t="str">
        <f>"109,5755"</f>
        <v>109,5755</v>
      </c>
      <c r="M9" s="7" t="s">
        <v>259</v>
      </c>
    </row>
    <row r="10" spans="1:13">
      <c r="B10" s="5" t="s">
        <v>87</v>
      </c>
    </row>
    <row r="11" spans="1:13" ht="16">
      <c r="A11" s="52" t="s">
        <v>89</v>
      </c>
      <c r="B11" s="52"/>
      <c r="C11" s="53"/>
      <c r="D11" s="53"/>
      <c r="E11" s="53"/>
      <c r="F11" s="53"/>
      <c r="G11" s="53"/>
      <c r="H11" s="53"/>
      <c r="I11" s="53"/>
      <c r="J11" s="53"/>
    </row>
    <row r="12" spans="1:13">
      <c r="A12" s="8" t="s">
        <v>86</v>
      </c>
      <c r="B12" s="7" t="s">
        <v>401</v>
      </c>
      <c r="C12" s="7" t="s">
        <v>402</v>
      </c>
      <c r="D12" s="7" t="s">
        <v>403</v>
      </c>
      <c r="E12" s="7" t="s">
        <v>493</v>
      </c>
      <c r="F12" s="7" t="s">
        <v>400</v>
      </c>
      <c r="G12" s="18" t="s">
        <v>18</v>
      </c>
      <c r="H12" s="19" t="s">
        <v>18</v>
      </c>
      <c r="I12" s="19" t="s">
        <v>135</v>
      </c>
      <c r="J12" s="8"/>
      <c r="K12" s="8" t="str">
        <f>"130,0"</f>
        <v>130,0</v>
      </c>
      <c r="L12" s="8" t="str">
        <f>"115,3620"</f>
        <v>115,3620</v>
      </c>
      <c r="M12" s="7" t="s">
        <v>259</v>
      </c>
    </row>
    <row r="13" spans="1:13">
      <c r="B13" s="5" t="s">
        <v>87</v>
      </c>
    </row>
    <row r="14" spans="1:13" ht="16">
      <c r="A14" s="52" t="s">
        <v>124</v>
      </c>
      <c r="B14" s="52"/>
      <c r="C14" s="53"/>
      <c r="D14" s="53"/>
      <c r="E14" s="53"/>
      <c r="F14" s="53"/>
      <c r="G14" s="53"/>
      <c r="H14" s="53"/>
      <c r="I14" s="53"/>
      <c r="J14" s="53"/>
    </row>
    <row r="15" spans="1:13">
      <c r="A15" s="10" t="s">
        <v>86</v>
      </c>
      <c r="B15" s="9" t="s">
        <v>404</v>
      </c>
      <c r="C15" s="9" t="s">
        <v>405</v>
      </c>
      <c r="D15" s="9" t="s">
        <v>406</v>
      </c>
      <c r="E15" s="9" t="s">
        <v>493</v>
      </c>
      <c r="F15" s="7" t="s">
        <v>400</v>
      </c>
      <c r="G15" s="20" t="s">
        <v>232</v>
      </c>
      <c r="H15" s="21" t="s">
        <v>67</v>
      </c>
      <c r="I15" s="10"/>
      <c r="J15" s="10"/>
      <c r="K15" s="10" t="str">
        <f>"182,5"</f>
        <v>182,5</v>
      </c>
      <c r="L15" s="10" t="str">
        <f>"130,9072"</f>
        <v>130,9072</v>
      </c>
      <c r="M15" s="9" t="s">
        <v>259</v>
      </c>
    </row>
    <row r="16" spans="1:13">
      <c r="A16" s="12" t="s">
        <v>86</v>
      </c>
      <c r="B16" s="11" t="s">
        <v>407</v>
      </c>
      <c r="C16" s="11" t="s">
        <v>408</v>
      </c>
      <c r="D16" s="11" t="s">
        <v>409</v>
      </c>
      <c r="E16" s="11" t="s">
        <v>492</v>
      </c>
      <c r="F16" s="11" t="s">
        <v>128</v>
      </c>
      <c r="G16" s="22" t="s">
        <v>16</v>
      </c>
      <c r="H16" s="23" t="s">
        <v>170</v>
      </c>
      <c r="I16" s="23" t="s">
        <v>20</v>
      </c>
      <c r="J16" s="12"/>
      <c r="K16" s="12" t="str">
        <f>"230,0"</f>
        <v>230,0</v>
      </c>
      <c r="L16" s="12" t="str">
        <f>"170,7060"</f>
        <v>170,7060</v>
      </c>
      <c r="M16" s="11"/>
    </row>
    <row r="17" spans="1:13">
      <c r="B17" s="5" t="s">
        <v>87</v>
      </c>
    </row>
    <row r="18" spans="1:13" ht="16">
      <c r="A18" s="52" t="s">
        <v>10</v>
      </c>
      <c r="B18" s="52"/>
      <c r="C18" s="53"/>
      <c r="D18" s="53"/>
      <c r="E18" s="53"/>
      <c r="F18" s="53"/>
      <c r="G18" s="53"/>
      <c r="H18" s="53"/>
      <c r="I18" s="53"/>
      <c r="J18" s="53"/>
    </row>
    <row r="19" spans="1:13">
      <c r="A19" s="8" t="s">
        <v>86</v>
      </c>
      <c r="B19" s="7" t="s">
        <v>176</v>
      </c>
      <c r="C19" s="7" t="s">
        <v>177</v>
      </c>
      <c r="D19" s="7" t="s">
        <v>178</v>
      </c>
      <c r="E19" s="7" t="s">
        <v>492</v>
      </c>
      <c r="F19" s="7" t="s">
        <v>37</v>
      </c>
      <c r="G19" s="19" t="s">
        <v>180</v>
      </c>
      <c r="H19" s="19" t="s">
        <v>181</v>
      </c>
      <c r="I19" s="18" t="s">
        <v>29</v>
      </c>
      <c r="J19" s="8"/>
      <c r="K19" s="8" t="str">
        <f>"282,5"</f>
        <v>282,5</v>
      </c>
      <c r="L19" s="8" t="str">
        <f>"182,5798"</f>
        <v>182,5798</v>
      </c>
      <c r="M19" s="7"/>
    </row>
    <row r="20" spans="1:13">
      <c r="B20" s="5" t="s">
        <v>87</v>
      </c>
    </row>
    <row r="21" spans="1:13" ht="16">
      <c r="A21" s="52" t="s">
        <v>44</v>
      </c>
      <c r="B21" s="52"/>
      <c r="C21" s="53"/>
      <c r="D21" s="53"/>
      <c r="E21" s="53"/>
      <c r="F21" s="53"/>
      <c r="G21" s="53"/>
      <c r="H21" s="53"/>
      <c r="I21" s="53"/>
      <c r="J21" s="53"/>
    </row>
    <row r="22" spans="1:13">
      <c r="A22" s="8" t="s">
        <v>86</v>
      </c>
      <c r="B22" s="7" t="s">
        <v>410</v>
      </c>
      <c r="C22" s="7" t="s">
        <v>411</v>
      </c>
      <c r="D22" s="7" t="s">
        <v>412</v>
      </c>
      <c r="E22" s="7" t="s">
        <v>492</v>
      </c>
      <c r="F22" s="7" t="s">
        <v>14</v>
      </c>
      <c r="G22" s="18" t="s">
        <v>58</v>
      </c>
      <c r="H22" s="19" t="s">
        <v>58</v>
      </c>
      <c r="I22" s="19" t="s">
        <v>59</v>
      </c>
      <c r="J22" s="8"/>
      <c r="K22" s="8" t="str">
        <f>"172,5"</f>
        <v>172,5</v>
      </c>
      <c r="L22" s="8" t="str">
        <f>"103,4310"</f>
        <v>103,4310</v>
      </c>
      <c r="M22" s="7" t="s">
        <v>413</v>
      </c>
    </row>
    <row r="23" spans="1:13">
      <c r="B23" s="5" t="s">
        <v>87</v>
      </c>
    </row>
    <row r="24" spans="1:13">
      <c r="B24" s="5" t="s">
        <v>87</v>
      </c>
    </row>
  </sheetData>
  <mergeCells count="17">
    <mergeCell ref="A21:J21"/>
    <mergeCell ref="A5:J5"/>
    <mergeCell ref="A8:J8"/>
    <mergeCell ref="A11:J11"/>
    <mergeCell ref="A14:J14"/>
    <mergeCell ref="A18:J18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8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7.832031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0.8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4" style="5" bestFit="1" customWidth="1"/>
    <col min="14" max="16384" width="9.1640625" style="3"/>
  </cols>
  <sheetData>
    <row r="1" spans="1:13" s="2" customFormat="1" ht="29" customHeight="1">
      <c r="A1" s="41" t="s">
        <v>481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489</v>
      </c>
      <c r="B3" s="54" t="s">
        <v>0</v>
      </c>
      <c r="C3" s="51" t="s">
        <v>490</v>
      </c>
      <c r="D3" s="51" t="s">
        <v>6</v>
      </c>
      <c r="E3" s="35" t="s">
        <v>491</v>
      </c>
      <c r="F3" s="35" t="s">
        <v>5</v>
      </c>
      <c r="G3" s="35" t="s">
        <v>9</v>
      </c>
      <c r="H3" s="35"/>
      <c r="I3" s="35"/>
      <c r="J3" s="35"/>
      <c r="K3" s="35" t="s">
        <v>202</v>
      </c>
      <c r="L3" s="35" t="s">
        <v>3</v>
      </c>
      <c r="M3" s="37" t="s">
        <v>2</v>
      </c>
    </row>
    <row r="4" spans="1:13" s="1" customFormat="1" ht="21" customHeight="1" thickBot="1">
      <c r="A4" s="50"/>
      <c r="B4" s="55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124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8" t="s">
        <v>86</v>
      </c>
      <c r="B6" s="7" t="s">
        <v>163</v>
      </c>
      <c r="C6" s="7" t="s">
        <v>164</v>
      </c>
      <c r="D6" s="7" t="s">
        <v>165</v>
      </c>
      <c r="E6" s="7" t="s">
        <v>492</v>
      </c>
      <c r="F6" s="7" t="s">
        <v>37</v>
      </c>
      <c r="G6" s="19" t="s">
        <v>38</v>
      </c>
      <c r="H6" s="19" t="s">
        <v>169</v>
      </c>
      <c r="I6" s="18" t="s">
        <v>170</v>
      </c>
      <c r="J6" s="8"/>
      <c r="K6" s="8" t="str">
        <f>"207,5"</f>
        <v>207,5</v>
      </c>
      <c r="L6" s="8" t="str">
        <f>"149,8358"</f>
        <v>149,8358</v>
      </c>
      <c r="M6" s="7" t="s">
        <v>150</v>
      </c>
    </row>
    <row r="7" spans="1:13">
      <c r="B7" s="5" t="s">
        <v>87</v>
      </c>
    </row>
    <row r="8" spans="1:13">
      <c r="B8" s="5" t="s">
        <v>87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26"/>
  <sheetViews>
    <sheetView tabSelected="1"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2.1640625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26.6640625" style="5" bestFit="1" customWidth="1"/>
    <col min="7" max="9" width="4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20.33203125" style="5" customWidth="1"/>
    <col min="14" max="16384" width="9.1640625" style="3"/>
  </cols>
  <sheetData>
    <row r="1" spans="1:13" s="2" customFormat="1" ht="29" customHeight="1">
      <c r="A1" s="41" t="s">
        <v>482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489</v>
      </c>
      <c r="B3" s="54" t="s">
        <v>0</v>
      </c>
      <c r="C3" s="51" t="s">
        <v>490</v>
      </c>
      <c r="D3" s="51" t="s">
        <v>6</v>
      </c>
      <c r="E3" s="35" t="s">
        <v>491</v>
      </c>
      <c r="F3" s="35" t="s">
        <v>5</v>
      </c>
      <c r="G3" s="35" t="s">
        <v>488</v>
      </c>
      <c r="H3" s="35"/>
      <c r="I3" s="35"/>
      <c r="J3" s="35"/>
      <c r="K3" s="35" t="s">
        <v>202</v>
      </c>
      <c r="L3" s="35" t="s">
        <v>3</v>
      </c>
      <c r="M3" s="37" t="s">
        <v>2</v>
      </c>
    </row>
    <row r="4" spans="1:13" s="1" customFormat="1" ht="21" customHeight="1" thickBot="1">
      <c r="A4" s="50"/>
      <c r="B4" s="55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89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8" t="s">
        <v>86</v>
      </c>
      <c r="B6" s="7" t="s">
        <v>433</v>
      </c>
      <c r="C6" s="7" t="s">
        <v>486</v>
      </c>
      <c r="D6" s="7" t="s">
        <v>434</v>
      </c>
      <c r="E6" s="7" t="s">
        <v>498</v>
      </c>
      <c r="F6" s="7" t="s">
        <v>37</v>
      </c>
      <c r="G6" s="18" t="s">
        <v>435</v>
      </c>
      <c r="H6" s="19" t="s">
        <v>436</v>
      </c>
      <c r="I6" s="19" t="s">
        <v>432</v>
      </c>
      <c r="J6" s="8"/>
      <c r="K6" s="8" t="str">
        <f>"20,0"</f>
        <v>20,0</v>
      </c>
      <c r="L6" s="8" t="str">
        <f>"20,5100"</f>
        <v>20,5100</v>
      </c>
      <c r="M6" s="7"/>
    </row>
    <row r="7" spans="1:13">
      <c r="B7" s="5" t="s">
        <v>87</v>
      </c>
    </row>
    <row r="8" spans="1:13" ht="16">
      <c r="A8" s="52" t="s">
        <v>124</v>
      </c>
      <c r="B8" s="52"/>
      <c r="C8" s="53"/>
      <c r="D8" s="53"/>
      <c r="E8" s="53"/>
      <c r="F8" s="53"/>
      <c r="G8" s="53"/>
      <c r="H8" s="53"/>
      <c r="I8" s="53"/>
      <c r="J8" s="53"/>
    </row>
    <row r="9" spans="1:13">
      <c r="A9" s="8" t="s">
        <v>86</v>
      </c>
      <c r="B9" s="7" t="s">
        <v>437</v>
      </c>
      <c r="C9" s="7" t="s">
        <v>438</v>
      </c>
      <c r="D9" s="7" t="s">
        <v>439</v>
      </c>
      <c r="E9" s="7" t="s">
        <v>492</v>
      </c>
      <c r="F9" s="7" t="s">
        <v>37</v>
      </c>
      <c r="G9" s="19" t="s">
        <v>286</v>
      </c>
      <c r="H9" s="19" t="s">
        <v>106</v>
      </c>
      <c r="I9" s="18" t="s">
        <v>107</v>
      </c>
      <c r="J9" s="8"/>
      <c r="K9" s="8" t="str">
        <f>"47,5"</f>
        <v>47,5</v>
      </c>
      <c r="L9" s="8" t="str">
        <f>"33,7164"</f>
        <v>33,7164</v>
      </c>
      <c r="M9" s="7" t="s">
        <v>440</v>
      </c>
    </row>
    <row r="10" spans="1:13">
      <c r="B10" s="5" t="s">
        <v>87</v>
      </c>
    </row>
    <row r="11" spans="1:13" ht="16">
      <c r="A11" s="52" t="s">
        <v>132</v>
      </c>
      <c r="B11" s="52"/>
      <c r="C11" s="53"/>
      <c r="D11" s="53"/>
      <c r="E11" s="53"/>
      <c r="F11" s="53"/>
      <c r="G11" s="53"/>
      <c r="H11" s="53"/>
      <c r="I11" s="53"/>
      <c r="J11" s="53"/>
    </row>
    <row r="12" spans="1:13">
      <c r="A12" s="10" t="s">
        <v>86</v>
      </c>
      <c r="B12" s="9" t="s">
        <v>441</v>
      </c>
      <c r="C12" s="9" t="s">
        <v>442</v>
      </c>
      <c r="D12" s="9" t="s">
        <v>443</v>
      </c>
      <c r="E12" s="9" t="s">
        <v>492</v>
      </c>
      <c r="F12" s="9" t="s">
        <v>444</v>
      </c>
      <c r="G12" s="20" t="s">
        <v>154</v>
      </c>
      <c r="H12" s="21" t="s">
        <v>445</v>
      </c>
      <c r="I12" s="21" t="s">
        <v>445</v>
      </c>
      <c r="J12" s="10"/>
      <c r="K12" s="10" t="str">
        <f>"65,0"</f>
        <v>65,0</v>
      </c>
      <c r="L12" s="10" t="str">
        <f>"42,7570"</f>
        <v>42,7570</v>
      </c>
      <c r="M12" s="9"/>
    </row>
    <row r="13" spans="1:13">
      <c r="A13" s="12" t="s">
        <v>88</v>
      </c>
      <c r="B13" s="11" t="s">
        <v>446</v>
      </c>
      <c r="C13" s="11" t="s">
        <v>447</v>
      </c>
      <c r="D13" s="11" t="s">
        <v>380</v>
      </c>
      <c r="E13" s="11" t="s">
        <v>492</v>
      </c>
      <c r="F13" s="11" t="s">
        <v>37</v>
      </c>
      <c r="G13" s="23" t="s">
        <v>107</v>
      </c>
      <c r="H13" s="22" t="s">
        <v>448</v>
      </c>
      <c r="I13" s="23" t="s">
        <v>449</v>
      </c>
      <c r="J13" s="12"/>
      <c r="K13" s="12" t="str">
        <f>"62,5"</f>
        <v>62,5</v>
      </c>
      <c r="L13" s="12" t="str">
        <f>"40,4625"</f>
        <v>40,4625</v>
      </c>
      <c r="M13" s="11"/>
    </row>
    <row r="14" spans="1:13">
      <c r="B14" s="5" t="s">
        <v>87</v>
      </c>
    </row>
    <row r="15" spans="1:13" ht="16">
      <c r="A15" s="52" t="s">
        <v>10</v>
      </c>
      <c r="B15" s="52"/>
      <c r="C15" s="53"/>
      <c r="D15" s="53"/>
      <c r="E15" s="53"/>
      <c r="F15" s="53"/>
      <c r="G15" s="53"/>
      <c r="H15" s="53"/>
      <c r="I15" s="53"/>
      <c r="J15" s="53"/>
    </row>
    <row r="16" spans="1:13">
      <c r="A16" s="10" t="s">
        <v>86</v>
      </c>
      <c r="B16" s="9" t="s">
        <v>450</v>
      </c>
      <c r="C16" s="9" t="s">
        <v>451</v>
      </c>
      <c r="D16" s="9" t="s">
        <v>452</v>
      </c>
      <c r="E16" s="9" t="s">
        <v>492</v>
      </c>
      <c r="F16" s="9" t="s">
        <v>37</v>
      </c>
      <c r="G16" s="20" t="s">
        <v>96</v>
      </c>
      <c r="H16" s="20" t="s">
        <v>445</v>
      </c>
      <c r="I16" s="20" t="s">
        <v>113</v>
      </c>
      <c r="J16" s="10"/>
      <c r="K16" s="10" t="str">
        <f>"70,0"</f>
        <v>70,0</v>
      </c>
      <c r="L16" s="10" t="str">
        <f>"43,5663"</f>
        <v>43,5663</v>
      </c>
      <c r="M16" s="9"/>
    </row>
    <row r="17" spans="1:13">
      <c r="A17" s="25" t="s">
        <v>88</v>
      </c>
      <c r="B17" s="24" t="s">
        <v>453</v>
      </c>
      <c r="C17" s="24" t="s">
        <v>454</v>
      </c>
      <c r="D17" s="24" t="s">
        <v>455</v>
      </c>
      <c r="E17" s="24" t="s">
        <v>492</v>
      </c>
      <c r="F17" s="24" t="s">
        <v>37</v>
      </c>
      <c r="G17" s="26" t="s">
        <v>96</v>
      </c>
      <c r="H17" s="26" t="s">
        <v>445</v>
      </c>
      <c r="I17" s="26" t="s">
        <v>113</v>
      </c>
      <c r="J17" s="25"/>
      <c r="K17" s="25" t="str">
        <f>"70,0"</f>
        <v>70,0</v>
      </c>
      <c r="L17" s="25" t="str">
        <f>"43,3055"</f>
        <v>43,3055</v>
      </c>
      <c r="M17" s="24"/>
    </row>
    <row r="18" spans="1:13">
      <c r="A18" s="12" t="s">
        <v>86</v>
      </c>
      <c r="B18" s="11" t="s">
        <v>252</v>
      </c>
      <c r="C18" s="11" t="s">
        <v>431</v>
      </c>
      <c r="D18" s="11" t="s">
        <v>254</v>
      </c>
      <c r="E18" s="11" t="s">
        <v>497</v>
      </c>
      <c r="F18" s="11" t="s">
        <v>255</v>
      </c>
      <c r="G18" s="23" t="s">
        <v>122</v>
      </c>
      <c r="H18" s="23" t="s">
        <v>105</v>
      </c>
      <c r="I18" s="23" t="s">
        <v>106</v>
      </c>
      <c r="J18" s="12"/>
      <c r="K18" s="12" t="str">
        <f>"47,5"</f>
        <v>47,5</v>
      </c>
      <c r="L18" s="12" t="str">
        <f>"40,3223"</f>
        <v>40,3223</v>
      </c>
      <c r="M18" s="11"/>
    </row>
    <row r="19" spans="1:13">
      <c r="B19" s="5" t="s">
        <v>87</v>
      </c>
    </row>
    <row r="20" spans="1:13" ht="16">
      <c r="A20" s="52" t="s">
        <v>22</v>
      </c>
      <c r="B20" s="52"/>
      <c r="C20" s="53"/>
      <c r="D20" s="53"/>
      <c r="E20" s="53"/>
      <c r="F20" s="53"/>
      <c r="G20" s="53"/>
      <c r="H20" s="53"/>
      <c r="I20" s="53"/>
      <c r="J20" s="53"/>
    </row>
    <row r="21" spans="1:13">
      <c r="A21" s="8" t="s">
        <v>86</v>
      </c>
      <c r="B21" s="7" t="s">
        <v>456</v>
      </c>
      <c r="C21" s="7" t="s">
        <v>487</v>
      </c>
      <c r="D21" s="7" t="s">
        <v>457</v>
      </c>
      <c r="E21" s="7" t="s">
        <v>494</v>
      </c>
      <c r="F21" s="7" t="s">
        <v>37</v>
      </c>
      <c r="G21" s="19" t="s">
        <v>96</v>
      </c>
      <c r="H21" s="19" t="s">
        <v>154</v>
      </c>
      <c r="I21" s="18" t="s">
        <v>445</v>
      </c>
      <c r="J21" s="8"/>
      <c r="K21" s="8" t="str">
        <f>"65,0"</f>
        <v>65,0</v>
      </c>
      <c r="L21" s="8" t="str">
        <f>"43,6837"</f>
        <v>43,6837</v>
      </c>
      <c r="M21" s="7"/>
    </row>
    <row r="22" spans="1:13">
      <c r="B22" s="5" t="s">
        <v>87</v>
      </c>
    </row>
    <row r="23" spans="1:13" ht="16">
      <c r="A23" s="52" t="s">
        <v>44</v>
      </c>
      <c r="B23" s="52"/>
      <c r="C23" s="53"/>
      <c r="D23" s="53"/>
      <c r="E23" s="53"/>
      <c r="F23" s="53"/>
      <c r="G23" s="53"/>
      <c r="H23" s="53"/>
      <c r="I23" s="53"/>
      <c r="J23" s="53"/>
    </row>
    <row r="24" spans="1:13">
      <c r="A24" s="8" t="s">
        <v>86</v>
      </c>
      <c r="B24" s="7" t="s">
        <v>458</v>
      </c>
      <c r="C24" s="7" t="s">
        <v>459</v>
      </c>
      <c r="D24" s="7" t="s">
        <v>460</v>
      </c>
      <c r="E24" s="7" t="s">
        <v>492</v>
      </c>
      <c r="F24" s="7" t="s">
        <v>37</v>
      </c>
      <c r="G24" s="19" t="s">
        <v>113</v>
      </c>
      <c r="H24" s="19" t="s">
        <v>209</v>
      </c>
      <c r="I24" s="19" t="s">
        <v>108</v>
      </c>
      <c r="J24" s="8"/>
      <c r="K24" s="8" t="str">
        <f>"75,0"</f>
        <v>75,0</v>
      </c>
      <c r="L24" s="8" t="str">
        <f>"42,5138"</f>
        <v>42,5138</v>
      </c>
      <c r="M24" s="7"/>
    </row>
    <row r="25" spans="1:13">
      <c r="B25" s="5" t="s">
        <v>87</v>
      </c>
    </row>
    <row r="26" spans="1:13">
      <c r="B26" s="5" t="s">
        <v>87</v>
      </c>
    </row>
  </sheetData>
  <mergeCells count="17">
    <mergeCell ref="A23:J23"/>
    <mergeCell ref="A5:J5"/>
    <mergeCell ref="A8:J8"/>
    <mergeCell ref="A11:J11"/>
    <mergeCell ref="A15:J15"/>
    <mergeCell ref="A20:J20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0"/>
  <sheetViews>
    <sheetView zoomScaleNormal="100"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7.5" style="5" bestFit="1" customWidth="1"/>
    <col min="3" max="3" width="30.33203125" style="5" customWidth="1"/>
    <col min="4" max="4" width="21.5" style="5" bestFit="1" customWidth="1"/>
    <col min="5" max="5" width="10.5" style="5" bestFit="1" customWidth="1"/>
    <col min="6" max="6" width="20.83203125" style="5" bestFit="1" customWidth="1"/>
    <col min="7" max="7" width="4.5" style="6" customWidth="1"/>
    <col min="8" max="9" width="5.5" style="6" customWidth="1"/>
    <col min="10" max="10" width="4.83203125" style="6" customWidth="1"/>
    <col min="11" max="13" width="4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10.6640625" style="6" customWidth="1"/>
    <col min="21" max="21" width="15.83203125" style="5" bestFit="1" customWidth="1"/>
    <col min="22" max="16384" width="9.1640625" style="3"/>
  </cols>
  <sheetData>
    <row r="1" spans="1:21" s="2" customFormat="1" ht="29" customHeight="1">
      <c r="A1" s="41" t="s">
        <v>468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8"/>
    </row>
    <row r="3" spans="1:21" s="1" customFormat="1" ht="12.75" customHeight="1">
      <c r="A3" s="49" t="s">
        <v>489</v>
      </c>
      <c r="B3" s="54" t="s">
        <v>0</v>
      </c>
      <c r="C3" s="51" t="s">
        <v>490</v>
      </c>
      <c r="D3" s="51" t="s">
        <v>6</v>
      </c>
      <c r="E3" s="35" t="s">
        <v>491</v>
      </c>
      <c r="F3" s="35" t="s">
        <v>5</v>
      </c>
      <c r="G3" s="35" t="s">
        <v>7</v>
      </c>
      <c r="H3" s="35"/>
      <c r="I3" s="35"/>
      <c r="J3" s="35"/>
      <c r="K3" s="35" t="s">
        <v>8</v>
      </c>
      <c r="L3" s="35"/>
      <c r="M3" s="35"/>
      <c r="N3" s="35"/>
      <c r="O3" s="35" t="s">
        <v>9</v>
      </c>
      <c r="P3" s="35"/>
      <c r="Q3" s="35"/>
      <c r="R3" s="35"/>
      <c r="S3" s="35" t="s">
        <v>1</v>
      </c>
      <c r="T3" s="35" t="s">
        <v>3</v>
      </c>
      <c r="U3" s="37" t="s">
        <v>2</v>
      </c>
    </row>
    <row r="4" spans="1:21" s="1" customFormat="1" ht="21" customHeight="1" thickBot="1">
      <c r="A4" s="50"/>
      <c r="B4" s="55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6"/>
      <c r="T4" s="36"/>
      <c r="U4" s="38"/>
    </row>
    <row r="5" spans="1:21" ht="16">
      <c r="A5" s="39" t="s">
        <v>99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1">
      <c r="A6" s="8" t="s">
        <v>86</v>
      </c>
      <c r="B6" s="7" t="s">
        <v>100</v>
      </c>
      <c r="C6" s="7" t="s">
        <v>101</v>
      </c>
      <c r="D6" s="7" t="s">
        <v>102</v>
      </c>
      <c r="E6" s="7" t="s">
        <v>493</v>
      </c>
      <c r="F6" s="7" t="s">
        <v>37</v>
      </c>
      <c r="G6" s="18" t="s">
        <v>103</v>
      </c>
      <c r="H6" s="19" t="s">
        <v>103</v>
      </c>
      <c r="I6" s="19" t="s">
        <v>104</v>
      </c>
      <c r="J6" s="8"/>
      <c r="K6" s="19" t="s">
        <v>105</v>
      </c>
      <c r="L6" s="19" t="s">
        <v>106</v>
      </c>
      <c r="M6" s="19" t="s">
        <v>107</v>
      </c>
      <c r="N6" s="8"/>
      <c r="O6" s="19" t="s">
        <v>108</v>
      </c>
      <c r="P6" s="19" t="s">
        <v>103</v>
      </c>
      <c r="Q6" s="19" t="s">
        <v>104</v>
      </c>
      <c r="R6" s="8"/>
      <c r="S6" s="8" t="str">
        <f>"215,0"</f>
        <v>215,0</v>
      </c>
      <c r="T6" s="8" t="str">
        <f>"268,0190"</f>
        <v>268,0190</v>
      </c>
      <c r="U6" s="7" t="s">
        <v>109</v>
      </c>
    </row>
    <row r="7" spans="1:21">
      <c r="B7" s="5" t="s">
        <v>87</v>
      </c>
    </row>
    <row r="8" spans="1:21" ht="16">
      <c r="A8" s="52" t="s">
        <v>89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21">
      <c r="A9" s="8" t="s">
        <v>86</v>
      </c>
      <c r="B9" s="7" t="s">
        <v>110</v>
      </c>
      <c r="C9" s="7" t="s">
        <v>111</v>
      </c>
      <c r="D9" s="7" t="s">
        <v>112</v>
      </c>
      <c r="E9" s="7" t="s">
        <v>493</v>
      </c>
      <c r="F9" s="7" t="s">
        <v>37</v>
      </c>
      <c r="G9" s="19" t="s">
        <v>96</v>
      </c>
      <c r="H9" s="19" t="s">
        <v>113</v>
      </c>
      <c r="I9" s="19" t="s">
        <v>103</v>
      </c>
      <c r="J9" s="8"/>
      <c r="K9" s="19" t="s">
        <v>107</v>
      </c>
      <c r="L9" s="19" t="s">
        <v>96</v>
      </c>
      <c r="M9" s="19" t="s">
        <v>113</v>
      </c>
      <c r="N9" s="8"/>
      <c r="O9" s="19" t="s">
        <v>114</v>
      </c>
      <c r="P9" s="19" t="s">
        <v>115</v>
      </c>
      <c r="Q9" s="19" t="s">
        <v>18</v>
      </c>
      <c r="R9" s="8"/>
      <c r="S9" s="8" t="str">
        <f>"270,0"</f>
        <v>270,0</v>
      </c>
      <c r="T9" s="8" t="str">
        <f>"236,8710"</f>
        <v>236,8710</v>
      </c>
      <c r="U9" s="7" t="s">
        <v>116</v>
      </c>
    </row>
    <row r="10" spans="1:21">
      <c r="B10" s="5" t="s">
        <v>87</v>
      </c>
    </row>
    <row r="11" spans="1:21" ht="16">
      <c r="A11" s="52" t="s">
        <v>117</v>
      </c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spans="1:21">
      <c r="A12" s="8" t="s">
        <v>86</v>
      </c>
      <c r="B12" s="7" t="s">
        <v>118</v>
      </c>
      <c r="C12" s="7" t="s">
        <v>119</v>
      </c>
      <c r="D12" s="7" t="s">
        <v>120</v>
      </c>
      <c r="E12" s="7" t="s">
        <v>493</v>
      </c>
      <c r="F12" s="7" t="s">
        <v>37</v>
      </c>
      <c r="G12" s="19" t="s">
        <v>103</v>
      </c>
      <c r="H12" s="19" t="s">
        <v>114</v>
      </c>
      <c r="I12" s="18" t="s">
        <v>121</v>
      </c>
      <c r="J12" s="8"/>
      <c r="K12" s="19" t="s">
        <v>122</v>
      </c>
      <c r="L12" s="19" t="s">
        <v>123</v>
      </c>
      <c r="M12" s="19" t="s">
        <v>105</v>
      </c>
      <c r="N12" s="8"/>
      <c r="O12" s="19" t="s">
        <v>113</v>
      </c>
      <c r="P12" s="19" t="s">
        <v>114</v>
      </c>
      <c r="Q12" s="18" t="s">
        <v>121</v>
      </c>
      <c r="R12" s="8"/>
      <c r="S12" s="8" t="str">
        <f>"225,0"</f>
        <v>225,0</v>
      </c>
      <c r="T12" s="8" t="str">
        <f>"173,4750"</f>
        <v>173,4750</v>
      </c>
      <c r="U12" s="7" t="s">
        <v>116</v>
      </c>
    </row>
    <row r="13" spans="1:21">
      <c r="B13" s="5" t="s">
        <v>87</v>
      </c>
    </row>
    <row r="14" spans="1:21" ht="16">
      <c r="A14" s="52" t="s">
        <v>124</v>
      </c>
      <c r="B14" s="52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</row>
    <row r="15" spans="1:21">
      <c r="A15" s="8" t="s">
        <v>86</v>
      </c>
      <c r="B15" s="7" t="s">
        <v>125</v>
      </c>
      <c r="C15" s="7" t="s">
        <v>126</v>
      </c>
      <c r="D15" s="7" t="s">
        <v>127</v>
      </c>
      <c r="E15" s="7" t="s">
        <v>493</v>
      </c>
      <c r="F15" s="7" t="s">
        <v>128</v>
      </c>
      <c r="G15" s="19" t="s">
        <v>114</v>
      </c>
      <c r="H15" s="19" t="s">
        <v>121</v>
      </c>
      <c r="I15" s="18" t="s">
        <v>94</v>
      </c>
      <c r="J15" s="8"/>
      <c r="K15" s="19" t="s">
        <v>113</v>
      </c>
      <c r="L15" s="19" t="s">
        <v>103</v>
      </c>
      <c r="M15" s="18" t="s">
        <v>129</v>
      </c>
      <c r="N15" s="8"/>
      <c r="O15" s="18" t="s">
        <v>130</v>
      </c>
      <c r="P15" s="18" t="s">
        <v>130</v>
      </c>
      <c r="Q15" s="19" t="s">
        <v>130</v>
      </c>
      <c r="R15" s="8"/>
      <c r="S15" s="8" t="str">
        <f>"320,0"</f>
        <v>320,0</v>
      </c>
      <c r="T15" s="8" t="str">
        <f>"235,2640"</f>
        <v>235,2640</v>
      </c>
      <c r="U15" s="7" t="s">
        <v>131</v>
      </c>
    </row>
    <row r="16" spans="1:21">
      <c r="B16" s="5" t="s">
        <v>87</v>
      </c>
    </row>
    <row r="17" spans="1:21" ht="16">
      <c r="A17" s="52" t="s">
        <v>132</v>
      </c>
      <c r="B17" s="52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21">
      <c r="A18" s="8" t="s">
        <v>86</v>
      </c>
      <c r="B18" s="7" t="s">
        <v>133</v>
      </c>
      <c r="C18" s="7" t="s">
        <v>111</v>
      </c>
      <c r="D18" s="7" t="s">
        <v>134</v>
      </c>
      <c r="E18" s="7" t="s">
        <v>493</v>
      </c>
      <c r="F18" s="7" t="s">
        <v>37</v>
      </c>
      <c r="G18" s="19" t="s">
        <v>114</v>
      </c>
      <c r="H18" s="19" t="s">
        <v>121</v>
      </c>
      <c r="I18" s="19" t="s">
        <v>115</v>
      </c>
      <c r="J18" s="8"/>
      <c r="K18" s="19" t="s">
        <v>96</v>
      </c>
      <c r="L18" s="19" t="s">
        <v>113</v>
      </c>
      <c r="M18" s="19" t="s">
        <v>103</v>
      </c>
      <c r="N18" s="8"/>
      <c r="O18" s="19" t="s">
        <v>121</v>
      </c>
      <c r="P18" s="19" t="s">
        <v>18</v>
      </c>
      <c r="Q18" s="19" t="s">
        <v>135</v>
      </c>
      <c r="R18" s="8"/>
      <c r="S18" s="8" t="str">
        <f>"320,0"</f>
        <v>320,0</v>
      </c>
      <c r="T18" s="8" t="str">
        <f>"225,7600"</f>
        <v>225,7600</v>
      </c>
      <c r="U18" s="7" t="s">
        <v>116</v>
      </c>
    </row>
    <row r="19" spans="1:21">
      <c r="B19" s="5" t="s">
        <v>87</v>
      </c>
    </row>
    <row r="28" spans="1:21" ht="18">
      <c r="C28" s="13"/>
      <c r="D28" s="13"/>
    </row>
    <row r="29" spans="1:21" ht="16">
      <c r="C29" s="14"/>
      <c r="D29" s="14"/>
    </row>
    <row r="30" spans="1:21" ht="14">
      <c r="C30" s="15"/>
      <c r="D30" s="16"/>
    </row>
    <row r="31" spans="1:21" ht="14">
      <c r="C31" s="1"/>
      <c r="D31" s="1"/>
      <c r="E31" s="1"/>
      <c r="F31" s="1"/>
    </row>
    <row r="32" spans="1:21">
      <c r="E32" s="6"/>
      <c r="F32" s="6"/>
    </row>
    <row r="35" spans="3:6" ht="16">
      <c r="C35" s="14"/>
      <c r="D35" s="14"/>
    </row>
    <row r="36" spans="3:6" ht="14">
      <c r="C36" s="15"/>
      <c r="D36" s="16"/>
    </row>
    <row r="37" spans="3:6" ht="14">
      <c r="C37" s="1"/>
      <c r="D37" s="1"/>
      <c r="E37" s="1"/>
      <c r="F37" s="1"/>
    </row>
    <row r="38" spans="3:6">
      <c r="E38" s="6"/>
      <c r="F38" s="6"/>
    </row>
    <row r="39" spans="3:6">
      <c r="E39" s="6"/>
      <c r="F39" s="6"/>
    </row>
    <row r="40" spans="3:6">
      <c r="E40" s="6"/>
      <c r="F40" s="6"/>
    </row>
  </sheetData>
  <mergeCells count="18">
    <mergeCell ref="A8:R8"/>
    <mergeCell ref="A11:R11"/>
    <mergeCell ref="A14:R14"/>
    <mergeCell ref="A17:R17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3"/>
  <sheetViews>
    <sheetView zoomScaleNormal="100"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20.6640625" style="5" customWidth="1"/>
    <col min="3" max="3" width="30.5" style="5" customWidth="1"/>
    <col min="4" max="4" width="21.5" style="5" bestFit="1" customWidth="1"/>
    <col min="5" max="5" width="10.5" style="5" bestFit="1" customWidth="1"/>
    <col min="6" max="6" width="22.6640625" style="5" bestFit="1" customWidth="1"/>
    <col min="7" max="8" width="4.5" style="6" customWidth="1"/>
    <col min="9" max="9" width="5.5" style="6" customWidth="1"/>
    <col min="10" max="10" width="4.83203125" style="6" customWidth="1"/>
    <col min="11" max="13" width="4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11" style="6" customWidth="1"/>
    <col min="21" max="21" width="17.5" style="5" customWidth="1"/>
    <col min="22" max="16384" width="9.1640625" style="3"/>
  </cols>
  <sheetData>
    <row r="1" spans="1:21" s="2" customFormat="1" ht="29" customHeight="1">
      <c r="A1" s="41" t="s">
        <v>469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8"/>
    </row>
    <row r="3" spans="1:21" s="1" customFormat="1" ht="12.75" customHeight="1">
      <c r="A3" s="49" t="s">
        <v>489</v>
      </c>
      <c r="B3" s="54" t="s">
        <v>0</v>
      </c>
      <c r="C3" s="51" t="s">
        <v>490</v>
      </c>
      <c r="D3" s="51" t="s">
        <v>6</v>
      </c>
      <c r="E3" s="35" t="s">
        <v>491</v>
      </c>
      <c r="F3" s="35" t="s">
        <v>5</v>
      </c>
      <c r="G3" s="35" t="s">
        <v>7</v>
      </c>
      <c r="H3" s="35"/>
      <c r="I3" s="35"/>
      <c r="J3" s="35"/>
      <c r="K3" s="35" t="s">
        <v>8</v>
      </c>
      <c r="L3" s="35"/>
      <c r="M3" s="35"/>
      <c r="N3" s="35"/>
      <c r="O3" s="35" t="s">
        <v>9</v>
      </c>
      <c r="P3" s="35"/>
      <c r="Q3" s="35"/>
      <c r="R3" s="35"/>
      <c r="S3" s="35" t="s">
        <v>1</v>
      </c>
      <c r="T3" s="35" t="s">
        <v>3</v>
      </c>
      <c r="U3" s="37" t="s">
        <v>2</v>
      </c>
    </row>
    <row r="4" spans="1:21" s="1" customFormat="1" ht="21" customHeight="1" thickBot="1">
      <c r="A4" s="50"/>
      <c r="B4" s="55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6"/>
      <c r="T4" s="36"/>
      <c r="U4" s="38"/>
    </row>
    <row r="5" spans="1:21" ht="16">
      <c r="A5" s="39" t="s">
        <v>89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1">
      <c r="A6" s="10" t="s">
        <v>86</v>
      </c>
      <c r="B6" s="9" t="s">
        <v>90</v>
      </c>
      <c r="C6" s="9" t="s">
        <v>91</v>
      </c>
      <c r="D6" s="9" t="s">
        <v>92</v>
      </c>
      <c r="E6" s="9" t="s">
        <v>492</v>
      </c>
      <c r="F6" s="9" t="s">
        <v>14</v>
      </c>
      <c r="G6" s="21" t="s">
        <v>93</v>
      </c>
      <c r="H6" s="20" t="s">
        <v>93</v>
      </c>
      <c r="I6" s="20" t="s">
        <v>94</v>
      </c>
      <c r="J6" s="10"/>
      <c r="K6" s="20" t="s">
        <v>95</v>
      </c>
      <c r="L6" s="21" t="s">
        <v>96</v>
      </c>
      <c r="M6" s="21" t="s">
        <v>96</v>
      </c>
      <c r="N6" s="10"/>
      <c r="O6" s="20" t="s">
        <v>17</v>
      </c>
      <c r="P6" s="21" t="s">
        <v>19</v>
      </c>
      <c r="Q6" s="20" t="s">
        <v>19</v>
      </c>
      <c r="R6" s="10"/>
      <c r="S6" s="10" t="str">
        <f>"285,0"</f>
        <v>285,0</v>
      </c>
      <c r="T6" s="10" t="str">
        <f>"323,1900"</f>
        <v>323,1900</v>
      </c>
      <c r="U6" s="9" t="s">
        <v>97</v>
      </c>
    </row>
    <row r="7" spans="1:21">
      <c r="A7" s="12" t="s">
        <v>86</v>
      </c>
      <c r="B7" s="11" t="s">
        <v>90</v>
      </c>
      <c r="C7" s="11" t="s">
        <v>98</v>
      </c>
      <c r="D7" s="11" t="s">
        <v>92</v>
      </c>
      <c r="E7" s="11" t="s">
        <v>494</v>
      </c>
      <c r="F7" s="11" t="s">
        <v>14</v>
      </c>
      <c r="G7" s="22" t="s">
        <v>93</v>
      </c>
      <c r="H7" s="23" t="s">
        <v>93</v>
      </c>
      <c r="I7" s="23" t="s">
        <v>94</v>
      </c>
      <c r="J7" s="12"/>
      <c r="K7" s="23" t="s">
        <v>95</v>
      </c>
      <c r="L7" s="22" t="s">
        <v>96</v>
      </c>
      <c r="M7" s="22" t="s">
        <v>96</v>
      </c>
      <c r="N7" s="12"/>
      <c r="O7" s="23" t="s">
        <v>17</v>
      </c>
      <c r="P7" s="22" t="s">
        <v>19</v>
      </c>
      <c r="Q7" s="23" t="s">
        <v>19</v>
      </c>
      <c r="R7" s="12"/>
      <c r="S7" s="12" t="str">
        <f>"285,0"</f>
        <v>285,0</v>
      </c>
      <c r="T7" s="12" t="str">
        <f>"337,4103"</f>
        <v>337,4103</v>
      </c>
      <c r="U7" s="11" t="s">
        <v>97</v>
      </c>
    </row>
    <row r="8" spans="1:21">
      <c r="B8" s="5" t="s">
        <v>87</v>
      </c>
    </row>
    <row r="9" spans="1:21">
      <c r="B9" s="5" t="s">
        <v>87</v>
      </c>
    </row>
    <row r="10" spans="1:21">
      <c r="B10" s="5" t="s">
        <v>87</v>
      </c>
    </row>
    <row r="11" spans="1:21">
      <c r="B11" s="5" t="s">
        <v>87</v>
      </c>
    </row>
    <row r="12" spans="1:21">
      <c r="B12" s="6"/>
      <c r="C12" s="6"/>
      <c r="D12" s="6"/>
      <c r="E12" s="6"/>
      <c r="F12" s="6"/>
      <c r="M12" s="5"/>
      <c r="N12" s="3"/>
      <c r="O12" s="3"/>
      <c r="P12" s="3"/>
      <c r="Q12" s="3"/>
      <c r="R12" s="3"/>
      <c r="S12" s="3"/>
      <c r="T12" s="3"/>
      <c r="U12" s="3"/>
    </row>
    <row r="13" spans="1:21">
      <c r="B13" s="6"/>
      <c r="C13" s="6"/>
      <c r="D13" s="6"/>
      <c r="E13" s="6"/>
      <c r="F13" s="6"/>
      <c r="M13" s="5"/>
      <c r="N13" s="3"/>
      <c r="O13" s="3"/>
      <c r="P13" s="3"/>
      <c r="Q13" s="3"/>
      <c r="R13" s="3"/>
      <c r="S13" s="3"/>
      <c r="T13" s="3"/>
      <c r="U13" s="3"/>
    </row>
    <row r="14" spans="1:21">
      <c r="B14" s="6"/>
      <c r="C14" s="6"/>
      <c r="D14" s="6"/>
      <c r="E14" s="6"/>
      <c r="F14" s="6"/>
      <c r="M14" s="5"/>
      <c r="N14" s="3"/>
      <c r="O14" s="3"/>
      <c r="P14" s="3"/>
      <c r="Q14" s="3"/>
      <c r="R14" s="3"/>
      <c r="S14" s="3"/>
      <c r="T14" s="3"/>
      <c r="U14" s="3"/>
    </row>
    <row r="15" spans="1:21">
      <c r="B15" s="6"/>
      <c r="C15" s="6"/>
      <c r="D15" s="6"/>
      <c r="E15" s="6"/>
      <c r="F15" s="6"/>
      <c r="M15" s="5"/>
      <c r="N15" s="3"/>
      <c r="O15" s="3"/>
      <c r="P15" s="3"/>
      <c r="Q15" s="3"/>
      <c r="R15" s="3"/>
      <c r="S15" s="3"/>
      <c r="T15" s="3"/>
      <c r="U15" s="3"/>
    </row>
    <row r="16" spans="1:21">
      <c r="B16" s="6"/>
      <c r="C16" s="6"/>
      <c r="D16" s="6"/>
      <c r="E16" s="6"/>
      <c r="F16" s="6"/>
      <c r="M16" s="5"/>
      <c r="N16" s="3"/>
      <c r="O16" s="3"/>
      <c r="P16" s="3"/>
      <c r="Q16" s="3"/>
      <c r="R16" s="3"/>
      <c r="S16" s="3"/>
      <c r="T16" s="3"/>
      <c r="U16" s="3"/>
    </row>
    <row r="17" spans="2:21">
      <c r="B17" s="6"/>
      <c r="C17" s="6"/>
      <c r="D17" s="6"/>
      <c r="E17" s="6"/>
      <c r="F17" s="6"/>
      <c r="M17" s="5"/>
      <c r="N17" s="3"/>
      <c r="O17" s="3"/>
      <c r="P17" s="3"/>
      <c r="Q17" s="3"/>
      <c r="R17" s="3"/>
      <c r="S17" s="3"/>
      <c r="T17" s="3"/>
      <c r="U17" s="3"/>
    </row>
    <row r="18" spans="2:21">
      <c r="B18" s="6"/>
      <c r="C18" s="6"/>
      <c r="D18" s="6"/>
      <c r="E18" s="6"/>
      <c r="F18" s="6"/>
      <c r="M18" s="5"/>
      <c r="N18" s="3"/>
      <c r="O18" s="3"/>
      <c r="P18" s="3"/>
      <c r="Q18" s="3"/>
      <c r="R18" s="3"/>
      <c r="S18" s="3"/>
      <c r="T18" s="3"/>
      <c r="U18" s="3"/>
    </row>
    <row r="19" spans="2:21">
      <c r="B19" s="6"/>
      <c r="C19" s="6"/>
      <c r="D19" s="6"/>
      <c r="E19" s="6"/>
      <c r="F19" s="6"/>
      <c r="M19" s="5"/>
      <c r="N19" s="3"/>
      <c r="O19" s="3"/>
      <c r="P19" s="3"/>
      <c r="Q19" s="3"/>
      <c r="R19" s="3"/>
      <c r="S19" s="3"/>
      <c r="T19" s="3"/>
      <c r="U19" s="3"/>
    </row>
    <row r="20" spans="2:21">
      <c r="B20" s="6"/>
      <c r="C20" s="6"/>
      <c r="D20" s="6"/>
      <c r="E20" s="6"/>
      <c r="F20" s="6"/>
      <c r="M20" s="5"/>
      <c r="N20" s="3"/>
      <c r="O20" s="3"/>
      <c r="P20" s="3"/>
      <c r="Q20" s="3"/>
      <c r="R20" s="3"/>
      <c r="S20" s="3"/>
      <c r="T20" s="3"/>
      <c r="U20" s="3"/>
    </row>
    <row r="21" spans="2:21">
      <c r="B21" s="6"/>
      <c r="C21" s="6"/>
      <c r="D21" s="6"/>
      <c r="E21" s="6"/>
      <c r="F21" s="6"/>
      <c r="M21" s="5"/>
      <c r="N21" s="3"/>
      <c r="O21" s="3"/>
      <c r="P21" s="3"/>
      <c r="Q21" s="3"/>
      <c r="R21" s="3"/>
      <c r="S21" s="3"/>
      <c r="T21" s="3"/>
      <c r="U21" s="3"/>
    </row>
    <row r="22" spans="2:21">
      <c r="B22" s="6"/>
      <c r="C22" s="6"/>
      <c r="D22" s="6"/>
      <c r="E22" s="6"/>
      <c r="F22" s="6"/>
      <c r="M22" s="5"/>
      <c r="N22" s="3"/>
      <c r="O22" s="3"/>
      <c r="P22" s="3"/>
      <c r="Q22" s="3"/>
      <c r="R22" s="3"/>
      <c r="S22" s="3"/>
      <c r="T22" s="3"/>
      <c r="U22" s="3"/>
    </row>
    <row r="23" spans="2:21">
      <c r="B23" s="6"/>
      <c r="C23" s="6"/>
      <c r="D23" s="6"/>
      <c r="E23" s="6"/>
      <c r="F23" s="6"/>
      <c r="M23" s="5"/>
      <c r="N23" s="3"/>
      <c r="O23" s="3"/>
      <c r="P23" s="3"/>
      <c r="Q23" s="3"/>
      <c r="R23" s="3"/>
      <c r="S23" s="3"/>
      <c r="T23" s="3"/>
      <c r="U23" s="3"/>
    </row>
    <row r="24" spans="2:21">
      <c r="B24" s="6"/>
      <c r="C24" s="6"/>
      <c r="D24" s="6"/>
      <c r="E24" s="6"/>
      <c r="F24" s="6"/>
      <c r="M24" s="5"/>
      <c r="N24" s="3"/>
      <c r="O24" s="3"/>
      <c r="P24" s="3"/>
      <c r="Q24" s="3"/>
      <c r="R24" s="3"/>
      <c r="S24" s="3"/>
      <c r="T24" s="3"/>
      <c r="U24" s="3"/>
    </row>
    <row r="25" spans="2:21">
      <c r="B25" s="6"/>
      <c r="C25" s="6"/>
      <c r="D25" s="6"/>
      <c r="E25" s="6"/>
      <c r="F25" s="6"/>
      <c r="M25" s="5"/>
      <c r="N25" s="3"/>
      <c r="O25" s="3"/>
      <c r="P25" s="3"/>
      <c r="Q25" s="3"/>
      <c r="R25" s="3"/>
      <c r="S25" s="3"/>
      <c r="T25" s="3"/>
      <c r="U25" s="3"/>
    </row>
    <row r="26" spans="2:21">
      <c r="B26" s="6"/>
      <c r="C26" s="6"/>
      <c r="D26" s="6"/>
      <c r="E26" s="6"/>
      <c r="F26" s="6"/>
      <c r="M26" s="5"/>
      <c r="N26" s="3"/>
      <c r="O26" s="3"/>
      <c r="P26" s="3"/>
      <c r="Q26" s="3"/>
      <c r="R26" s="3"/>
      <c r="S26" s="3"/>
      <c r="T26" s="3"/>
      <c r="U26" s="3"/>
    </row>
    <row r="27" spans="2:21">
      <c r="B27" s="6"/>
      <c r="C27" s="6"/>
      <c r="D27" s="6"/>
      <c r="E27" s="6"/>
      <c r="F27" s="6"/>
      <c r="M27" s="5"/>
      <c r="N27" s="3"/>
      <c r="O27" s="3"/>
      <c r="P27" s="3"/>
      <c r="Q27" s="3"/>
      <c r="R27" s="3"/>
      <c r="S27" s="3"/>
      <c r="T27" s="3"/>
      <c r="U27" s="3"/>
    </row>
    <row r="28" spans="2:21">
      <c r="B28" s="6"/>
      <c r="C28" s="6"/>
      <c r="D28" s="6"/>
      <c r="E28" s="6"/>
      <c r="F28" s="6"/>
      <c r="M28" s="5"/>
      <c r="N28" s="3"/>
      <c r="O28" s="3"/>
      <c r="P28" s="3"/>
      <c r="Q28" s="3"/>
      <c r="R28" s="3"/>
      <c r="S28" s="3"/>
      <c r="T28" s="3"/>
      <c r="U28" s="3"/>
    </row>
    <row r="29" spans="2:21">
      <c r="B29" s="6"/>
      <c r="C29" s="6"/>
      <c r="D29" s="6"/>
      <c r="E29" s="6"/>
      <c r="F29" s="6"/>
      <c r="M29" s="5"/>
      <c r="N29" s="3"/>
      <c r="O29" s="3"/>
      <c r="P29" s="3"/>
      <c r="Q29" s="3"/>
      <c r="R29" s="3"/>
      <c r="S29" s="3"/>
      <c r="T29" s="3"/>
      <c r="U29" s="3"/>
    </row>
    <row r="30" spans="2:21">
      <c r="B30" s="6"/>
      <c r="C30" s="6"/>
      <c r="D30" s="6"/>
      <c r="E30" s="6"/>
      <c r="F30" s="6"/>
      <c r="M30" s="5"/>
      <c r="N30" s="3"/>
      <c r="O30" s="3"/>
      <c r="P30" s="3"/>
      <c r="Q30" s="3"/>
      <c r="R30" s="3"/>
      <c r="S30" s="3"/>
      <c r="T30" s="3"/>
      <c r="U30" s="3"/>
    </row>
    <row r="31" spans="2:21">
      <c r="B31" s="6"/>
      <c r="C31" s="6"/>
      <c r="D31" s="6"/>
      <c r="E31" s="6"/>
      <c r="F31" s="6"/>
      <c r="M31" s="5"/>
      <c r="N31" s="3"/>
      <c r="O31" s="3"/>
      <c r="P31" s="3"/>
      <c r="Q31" s="3"/>
      <c r="R31" s="3"/>
      <c r="S31" s="3"/>
      <c r="T31" s="3"/>
      <c r="U31" s="3"/>
    </row>
    <row r="32" spans="2:21">
      <c r="B32" s="6"/>
      <c r="C32" s="6"/>
      <c r="D32" s="6"/>
      <c r="E32" s="6"/>
      <c r="F32" s="6"/>
      <c r="M32" s="5"/>
      <c r="N32" s="3"/>
      <c r="O32" s="3"/>
      <c r="P32" s="3"/>
      <c r="Q32" s="3"/>
      <c r="R32" s="3"/>
      <c r="S32" s="3"/>
      <c r="T32" s="3"/>
      <c r="U32" s="3"/>
    </row>
    <row r="33" spans="2:21">
      <c r="B33" s="6"/>
      <c r="C33" s="6"/>
      <c r="D33" s="6"/>
      <c r="E33" s="6"/>
      <c r="F33" s="6"/>
      <c r="M33" s="5"/>
      <c r="N33" s="3"/>
      <c r="O33" s="3"/>
      <c r="P33" s="3"/>
      <c r="Q33" s="3"/>
      <c r="R33" s="3"/>
      <c r="S33" s="3"/>
      <c r="T33" s="3"/>
      <c r="U33" s="3"/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5">
    <pageSetUpPr fitToPage="1"/>
  </sheetPr>
  <dimension ref="A1:U28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20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2.6640625" style="5" bestFit="1" customWidth="1"/>
    <col min="7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5.5" style="5" bestFit="1" customWidth="1"/>
    <col min="22" max="16384" width="9.1640625" style="3"/>
  </cols>
  <sheetData>
    <row r="1" spans="1:21" s="2" customFormat="1" ht="29" customHeight="1">
      <c r="A1" s="41" t="s">
        <v>470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8"/>
    </row>
    <row r="3" spans="1:21" s="1" customFormat="1" ht="12.75" customHeight="1">
      <c r="A3" s="49" t="s">
        <v>489</v>
      </c>
      <c r="B3" s="54" t="s">
        <v>0</v>
      </c>
      <c r="C3" s="51" t="s">
        <v>490</v>
      </c>
      <c r="D3" s="51" t="s">
        <v>6</v>
      </c>
      <c r="E3" s="35" t="s">
        <v>491</v>
      </c>
      <c r="F3" s="35" t="s">
        <v>5</v>
      </c>
      <c r="G3" s="35" t="s">
        <v>7</v>
      </c>
      <c r="H3" s="35"/>
      <c r="I3" s="35"/>
      <c r="J3" s="35"/>
      <c r="K3" s="35" t="s">
        <v>8</v>
      </c>
      <c r="L3" s="35"/>
      <c r="M3" s="35"/>
      <c r="N3" s="35"/>
      <c r="O3" s="35" t="s">
        <v>9</v>
      </c>
      <c r="P3" s="35"/>
      <c r="Q3" s="35"/>
      <c r="R3" s="35"/>
      <c r="S3" s="35" t="s">
        <v>1</v>
      </c>
      <c r="T3" s="35" t="s">
        <v>3</v>
      </c>
      <c r="U3" s="37" t="s">
        <v>2</v>
      </c>
    </row>
    <row r="4" spans="1:21" s="1" customFormat="1" ht="21" customHeight="1" thickBot="1">
      <c r="A4" s="50"/>
      <c r="B4" s="55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6"/>
      <c r="T4" s="36"/>
      <c r="U4" s="38"/>
    </row>
    <row r="5" spans="1:21" ht="16">
      <c r="A5" s="39" t="s">
        <v>10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1">
      <c r="A6" s="8" t="s">
        <v>86</v>
      </c>
      <c r="B6" s="7" t="s">
        <v>11</v>
      </c>
      <c r="C6" s="7" t="s">
        <v>12</v>
      </c>
      <c r="D6" s="7" t="s">
        <v>13</v>
      </c>
      <c r="E6" s="7" t="s">
        <v>492</v>
      </c>
      <c r="F6" s="7" t="s">
        <v>14</v>
      </c>
      <c r="G6" s="18" t="s">
        <v>15</v>
      </c>
      <c r="H6" s="19" t="s">
        <v>15</v>
      </c>
      <c r="I6" s="19" t="s">
        <v>16</v>
      </c>
      <c r="J6" s="8"/>
      <c r="K6" s="19" t="s">
        <v>17</v>
      </c>
      <c r="L6" s="19" t="s">
        <v>18</v>
      </c>
      <c r="M6" s="18" t="s">
        <v>19</v>
      </c>
      <c r="N6" s="8"/>
      <c r="O6" s="19" t="s">
        <v>20</v>
      </c>
      <c r="P6" s="18" t="s">
        <v>21</v>
      </c>
      <c r="Q6" s="19" t="s">
        <v>21</v>
      </c>
      <c r="R6" s="8"/>
      <c r="S6" s="8" t="str">
        <f>"575,0"</f>
        <v>575,0</v>
      </c>
      <c r="T6" s="8" t="str">
        <f>"367,0800"</f>
        <v>367,0800</v>
      </c>
      <c r="U6" s="7"/>
    </row>
    <row r="7" spans="1:21">
      <c r="B7" s="5" t="s">
        <v>87</v>
      </c>
    </row>
    <row r="8" spans="1:21" ht="16">
      <c r="A8" s="52" t="s">
        <v>22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21">
      <c r="A9" s="10" t="s">
        <v>86</v>
      </c>
      <c r="B9" s="9" t="s">
        <v>23</v>
      </c>
      <c r="C9" s="9" t="s">
        <v>24</v>
      </c>
      <c r="D9" s="9" t="s">
        <v>25</v>
      </c>
      <c r="E9" s="9" t="s">
        <v>492</v>
      </c>
      <c r="F9" s="9" t="s">
        <v>26</v>
      </c>
      <c r="G9" s="20" t="s">
        <v>27</v>
      </c>
      <c r="H9" s="21" t="s">
        <v>28</v>
      </c>
      <c r="I9" s="21" t="s">
        <v>29</v>
      </c>
      <c r="J9" s="10"/>
      <c r="K9" s="20" t="s">
        <v>30</v>
      </c>
      <c r="L9" s="21" t="s">
        <v>31</v>
      </c>
      <c r="M9" s="21" t="s">
        <v>31</v>
      </c>
      <c r="N9" s="10"/>
      <c r="O9" s="20" t="s">
        <v>32</v>
      </c>
      <c r="P9" s="20" t="s">
        <v>27</v>
      </c>
      <c r="Q9" s="20" t="s">
        <v>28</v>
      </c>
      <c r="R9" s="10"/>
      <c r="S9" s="10" t="str">
        <f>"735,0"</f>
        <v>735,0</v>
      </c>
      <c r="T9" s="10" t="str">
        <f>"451,2165"</f>
        <v>451,2165</v>
      </c>
      <c r="U9" s="9" t="s">
        <v>33</v>
      </c>
    </row>
    <row r="10" spans="1:21">
      <c r="A10" s="12" t="s">
        <v>88</v>
      </c>
      <c r="B10" s="11" t="s">
        <v>34</v>
      </c>
      <c r="C10" s="11" t="s">
        <v>35</v>
      </c>
      <c r="D10" s="11" t="s">
        <v>36</v>
      </c>
      <c r="E10" s="11" t="s">
        <v>492</v>
      </c>
      <c r="F10" s="11" t="s">
        <v>37</v>
      </c>
      <c r="G10" s="22" t="s">
        <v>38</v>
      </c>
      <c r="H10" s="23" t="s">
        <v>38</v>
      </c>
      <c r="I10" s="23" t="s">
        <v>39</v>
      </c>
      <c r="J10" s="12"/>
      <c r="K10" s="23" t="s">
        <v>40</v>
      </c>
      <c r="L10" s="23" t="s">
        <v>41</v>
      </c>
      <c r="M10" s="23" t="s">
        <v>42</v>
      </c>
      <c r="N10" s="12"/>
      <c r="O10" s="23" t="s">
        <v>38</v>
      </c>
      <c r="P10" s="23" t="s">
        <v>39</v>
      </c>
      <c r="Q10" s="23" t="s">
        <v>43</v>
      </c>
      <c r="R10" s="12"/>
      <c r="S10" s="12" t="str">
        <f>"600,0"</f>
        <v>600,0</v>
      </c>
      <c r="T10" s="12" t="str">
        <f>"367,8600"</f>
        <v>367,8600</v>
      </c>
      <c r="U10" s="11"/>
    </row>
    <row r="11" spans="1:21">
      <c r="B11" s="5" t="s">
        <v>87</v>
      </c>
    </row>
    <row r="12" spans="1:21" ht="16">
      <c r="A12" s="52" t="s">
        <v>44</v>
      </c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1:21">
      <c r="A13" s="10" t="s">
        <v>86</v>
      </c>
      <c r="B13" s="9" t="s">
        <v>45</v>
      </c>
      <c r="C13" s="9" t="s">
        <v>46</v>
      </c>
      <c r="D13" s="9" t="s">
        <v>47</v>
      </c>
      <c r="E13" s="9" t="s">
        <v>492</v>
      </c>
      <c r="F13" s="9" t="s">
        <v>26</v>
      </c>
      <c r="G13" s="21" t="s">
        <v>48</v>
      </c>
      <c r="H13" s="20" t="s">
        <v>49</v>
      </c>
      <c r="I13" s="20" t="s">
        <v>50</v>
      </c>
      <c r="J13" s="10"/>
      <c r="K13" s="20" t="s">
        <v>38</v>
      </c>
      <c r="L13" s="21" t="s">
        <v>51</v>
      </c>
      <c r="M13" s="21" t="s">
        <v>51</v>
      </c>
      <c r="N13" s="10"/>
      <c r="O13" s="20" t="s">
        <v>48</v>
      </c>
      <c r="P13" s="20" t="s">
        <v>49</v>
      </c>
      <c r="Q13" s="21" t="s">
        <v>50</v>
      </c>
      <c r="R13" s="10"/>
      <c r="S13" s="10" t="str">
        <f>"835,0"</f>
        <v>835,0</v>
      </c>
      <c r="T13" s="10" t="str">
        <f>"494,6540"</f>
        <v>494,6540</v>
      </c>
      <c r="U13" s="9" t="s">
        <v>52</v>
      </c>
    </row>
    <row r="14" spans="1:21">
      <c r="A14" s="12" t="s">
        <v>88</v>
      </c>
      <c r="B14" s="11" t="s">
        <v>53</v>
      </c>
      <c r="C14" s="11" t="s">
        <v>54</v>
      </c>
      <c r="D14" s="11" t="s">
        <v>55</v>
      </c>
      <c r="E14" s="11" t="s">
        <v>492</v>
      </c>
      <c r="F14" s="11" t="s">
        <v>37</v>
      </c>
      <c r="G14" s="23" t="s">
        <v>39</v>
      </c>
      <c r="H14" s="23" t="s">
        <v>56</v>
      </c>
      <c r="I14" s="23" t="s">
        <v>57</v>
      </c>
      <c r="J14" s="12"/>
      <c r="K14" s="23" t="s">
        <v>58</v>
      </c>
      <c r="L14" s="22" t="s">
        <v>59</v>
      </c>
      <c r="M14" s="22" t="s">
        <v>59</v>
      </c>
      <c r="N14" s="12"/>
      <c r="O14" s="23" t="s">
        <v>32</v>
      </c>
      <c r="P14" s="23" t="s">
        <v>60</v>
      </c>
      <c r="Q14" s="23" t="s">
        <v>48</v>
      </c>
      <c r="R14" s="12"/>
      <c r="S14" s="12" t="str">
        <f>"720,0"</f>
        <v>720,0</v>
      </c>
      <c r="T14" s="12" t="str">
        <f>"426,6720"</f>
        <v>426,6720</v>
      </c>
      <c r="U14" s="11" t="s">
        <v>61</v>
      </c>
    </row>
    <row r="15" spans="1:21">
      <c r="B15" s="5" t="s">
        <v>87</v>
      </c>
    </row>
    <row r="16" spans="1:21" ht="16">
      <c r="A16" s="52" t="s">
        <v>62</v>
      </c>
      <c r="B16" s="52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</row>
    <row r="17" spans="1:21">
      <c r="A17" s="8" t="s">
        <v>86</v>
      </c>
      <c r="B17" s="7" t="s">
        <v>63</v>
      </c>
      <c r="C17" s="7" t="s">
        <v>64</v>
      </c>
      <c r="D17" s="7" t="s">
        <v>65</v>
      </c>
      <c r="E17" s="7" t="s">
        <v>492</v>
      </c>
      <c r="F17" s="7" t="s">
        <v>37</v>
      </c>
      <c r="G17" s="19" t="s">
        <v>29</v>
      </c>
      <c r="H17" s="19" t="s">
        <v>66</v>
      </c>
      <c r="I17" s="19" t="s">
        <v>50</v>
      </c>
      <c r="J17" s="8"/>
      <c r="K17" s="19" t="s">
        <v>67</v>
      </c>
      <c r="L17" s="19" t="s">
        <v>38</v>
      </c>
      <c r="M17" s="18" t="s">
        <v>15</v>
      </c>
      <c r="N17" s="8"/>
      <c r="O17" s="19" t="s">
        <v>50</v>
      </c>
      <c r="P17" s="19" t="s">
        <v>68</v>
      </c>
      <c r="Q17" s="19" t="s">
        <v>69</v>
      </c>
      <c r="R17" s="8"/>
      <c r="S17" s="8" t="str">
        <f>"880,0"</f>
        <v>880,0</v>
      </c>
      <c r="T17" s="8" t="str">
        <f>"500,8080"</f>
        <v>500,8080</v>
      </c>
      <c r="U17" s="7"/>
    </row>
    <row r="18" spans="1:21">
      <c r="B18" s="5" t="s">
        <v>87</v>
      </c>
    </row>
    <row r="19" spans="1:21">
      <c r="B19" s="5" t="s">
        <v>87</v>
      </c>
    </row>
    <row r="20" spans="1:21">
      <c r="B20" s="5" t="s">
        <v>87</v>
      </c>
    </row>
    <row r="21" spans="1:21" ht="18">
      <c r="B21" s="13" t="s">
        <v>70</v>
      </c>
      <c r="C21" s="13"/>
    </row>
    <row r="22" spans="1:21" ht="16">
      <c r="B22" s="14" t="s">
        <v>71</v>
      </c>
      <c r="C22" s="14"/>
    </row>
    <row r="23" spans="1:21" ht="14">
      <c r="B23" s="15"/>
      <c r="C23" s="16" t="s">
        <v>72</v>
      </c>
    </row>
    <row r="24" spans="1:21" ht="14">
      <c r="B24" s="17" t="s">
        <v>73</v>
      </c>
      <c r="C24" s="17" t="s">
        <v>74</v>
      </c>
      <c r="D24" s="17" t="s">
        <v>483</v>
      </c>
      <c r="E24" s="17" t="s">
        <v>75</v>
      </c>
      <c r="F24" s="17" t="s">
        <v>76</v>
      </c>
    </row>
    <row r="25" spans="1:21">
      <c r="B25" s="5" t="s">
        <v>63</v>
      </c>
      <c r="C25" s="5" t="s">
        <v>72</v>
      </c>
      <c r="D25" s="6" t="s">
        <v>77</v>
      </c>
      <c r="E25" s="6" t="s">
        <v>78</v>
      </c>
      <c r="F25" s="6" t="s">
        <v>79</v>
      </c>
    </row>
    <row r="26" spans="1:21">
      <c r="B26" s="5" t="s">
        <v>45</v>
      </c>
      <c r="C26" s="5" t="s">
        <v>72</v>
      </c>
      <c r="D26" s="6" t="s">
        <v>80</v>
      </c>
      <c r="E26" s="6" t="s">
        <v>81</v>
      </c>
      <c r="F26" s="6" t="s">
        <v>82</v>
      </c>
    </row>
    <row r="27" spans="1:21">
      <c r="B27" s="5" t="s">
        <v>23</v>
      </c>
      <c r="C27" s="5" t="s">
        <v>72</v>
      </c>
      <c r="D27" s="6" t="s">
        <v>83</v>
      </c>
      <c r="E27" s="6" t="s">
        <v>84</v>
      </c>
      <c r="F27" s="6" t="s">
        <v>85</v>
      </c>
    </row>
    <row r="28" spans="1:21">
      <c r="B28" s="5" t="s">
        <v>87</v>
      </c>
    </row>
  </sheetData>
  <mergeCells count="17">
    <mergeCell ref="A5:R5"/>
    <mergeCell ref="A8:R8"/>
    <mergeCell ref="A12:R12"/>
    <mergeCell ref="A16:R16"/>
    <mergeCell ref="B3:B4"/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7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6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17.5" style="5" bestFit="1" customWidth="1"/>
    <col min="7" max="9" width="4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18" style="5" customWidth="1"/>
    <col min="18" max="16384" width="9.1640625" style="3"/>
  </cols>
  <sheetData>
    <row r="1" spans="1:17" s="2" customFormat="1" ht="29" customHeight="1">
      <c r="A1" s="41" t="s">
        <v>471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17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8"/>
    </row>
    <row r="3" spans="1:17" s="1" customFormat="1" ht="12.75" customHeight="1">
      <c r="A3" s="49" t="s">
        <v>489</v>
      </c>
      <c r="B3" s="54" t="s">
        <v>0</v>
      </c>
      <c r="C3" s="51" t="s">
        <v>490</v>
      </c>
      <c r="D3" s="51" t="s">
        <v>6</v>
      </c>
      <c r="E3" s="35" t="s">
        <v>491</v>
      </c>
      <c r="F3" s="35" t="s">
        <v>5</v>
      </c>
      <c r="G3" s="35" t="s">
        <v>8</v>
      </c>
      <c r="H3" s="35"/>
      <c r="I3" s="35"/>
      <c r="J3" s="35"/>
      <c r="K3" s="35" t="s">
        <v>9</v>
      </c>
      <c r="L3" s="35"/>
      <c r="M3" s="35"/>
      <c r="N3" s="35"/>
      <c r="O3" s="35" t="s">
        <v>1</v>
      </c>
      <c r="P3" s="35" t="s">
        <v>3</v>
      </c>
      <c r="Q3" s="37" t="s">
        <v>2</v>
      </c>
    </row>
    <row r="4" spans="1:17" s="1" customFormat="1" ht="21" customHeight="1" thickBot="1">
      <c r="A4" s="50"/>
      <c r="B4" s="55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6"/>
      <c r="P4" s="36"/>
      <c r="Q4" s="38"/>
    </row>
    <row r="5" spans="1:17" ht="16">
      <c r="A5" s="39" t="s">
        <v>137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7">
      <c r="A6" s="8" t="s">
        <v>86</v>
      </c>
      <c r="B6" s="7" t="s">
        <v>155</v>
      </c>
      <c r="C6" s="7" t="s">
        <v>156</v>
      </c>
      <c r="D6" s="7" t="s">
        <v>157</v>
      </c>
      <c r="E6" s="7" t="s">
        <v>492</v>
      </c>
      <c r="F6" s="7" t="s">
        <v>158</v>
      </c>
      <c r="G6" s="18" t="s">
        <v>154</v>
      </c>
      <c r="H6" s="18" t="s">
        <v>154</v>
      </c>
      <c r="I6" s="19" t="s">
        <v>154</v>
      </c>
      <c r="J6" s="8"/>
      <c r="K6" s="19" t="s">
        <v>18</v>
      </c>
      <c r="L6" s="19" t="s">
        <v>130</v>
      </c>
      <c r="M6" s="19" t="s">
        <v>270</v>
      </c>
      <c r="N6" s="8"/>
      <c r="O6" s="8" t="str">
        <f>"215,0"</f>
        <v>215,0</v>
      </c>
      <c r="P6" s="8" t="str">
        <f>"196,4025"</f>
        <v>196,4025</v>
      </c>
      <c r="Q6" s="7" t="s">
        <v>159</v>
      </c>
    </row>
    <row r="7" spans="1:17">
      <c r="B7" s="5" t="s">
        <v>87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2"/>
  <sheetViews>
    <sheetView topLeftCell="A19" workbookViewId="0">
      <selection activeCell="E51" sqref="E51"/>
    </sheetView>
  </sheetViews>
  <sheetFormatPr baseColWidth="10" defaultColWidth="9.1640625" defaultRowHeight="13"/>
  <cols>
    <col min="1" max="1" width="7.5" style="5" bestFit="1" customWidth="1"/>
    <col min="2" max="2" width="19.33203125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30.5" style="5" bestFit="1" customWidth="1"/>
    <col min="7" max="9" width="5.5" style="6" customWidth="1"/>
    <col min="10" max="10" width="4.83203125" style="6" customWidth="1"/>
    <col min="11" max="11" width="10.5" style="28" bestFit="1" customWidth="1"/>
    <col min="12" max="12" width="8.5" style="6" bestFit="1" customWidth="1"/>
    <col min="13" max="13" width="22.33203125" style="5" customWidth="1"/>
    <col min="14" max="16384" width="9.1640625" style="3"/>
  </cols>
  <sheetData>
    <row r="1" spans="1:13" s="2" customFormat="1" ht="29" customHeight="1">
      <c r="A1" s="41" t="s">
        <v>472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489</v>
      </c>
      <c r="B3" s="54" t="s">
        <v>0</v>
      </c>
      <c r="C3" s="51" t="s">
        <v>490</v>
      </c>
      <c r="D3" s="51" t="s">
        <v>6</v>
      </c>
      <c r="E3" s="35" t="s">
        <v>491</v>
      </c>
      <c r="F3" s="35" t="s">
        <v>5</v>
      </c>
      <c r="G3" s="35" t="s">
        <v>8</v>
      </c>
      <c r="H3" s="35"/>
      <c r="I3" s="35"/>
      <c r="J3" s="35"/>
      <c r="K3" s="33" t="s">
        <v>202</v>
      </c>
      <c r="L3" s="35" t="s">
        <v>3</v>
      </c>
      <c r="M3" s="37" t="s">
        <v>2</v>
      </c>
    </row>
    <row r="4" spans="1:13" s="1" customFormat="1" ht="21" customHeight="1" thickBot="1">
      <c r="A4" s="50"/>
      <c r="B4" s="55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34"/>
      <c r="L4" s="36"/>
      <c r="M4" s="38"/>
    </row>
    <row r="5" spans="1:13" ht="16">
      <c r="A5" s="39" t="s">
        <v>99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10" t="s">
        <v>86</v>
      </c>
      <c r="B6" s="9" t="s">
        <v>278</v>
      </c>
      <c r="C6" s="9" t="s">
        <v>279</v>
      </c>
      <c r="D6" s="9" t="s">
        <v>280</v>
      </c>
      <c r="E6" s="9" t="s">
        <v>493</v>
      </c>
      <c r="F6" s="9" t="s">
        <v>128</v>
      </c>
      <c r="G6" s="20" t="s">
        <v>281</v>
      </c>
      <c r="H6" s="20" t="s">
        <v>282</v>
      </c>
      <c r="I6" s="20" t="s">
        <v>122</v>
      </c>
      <c r="J6" s="10"/>
      <c r="K6" s="30" t="str">
        <f>"35,0"</f>
        <v>35,0</v>
      </c>
      <c r="L6" s="10" t="str">
        <f>"45,1675"</f>
        <v>45,1675</v>
      </c>
      <c r="M6" s="9" t="s">
        <v>131</v>
      </c>
    </row>
    <row r="7" spans="1:13">
      <c r="A7" s="12" t="s">
        <v>191</v>
      </c>
      <c r="B7" s="11" t="s">
        <v>283</v>
      </c>
      <c r="C7" s="11" t="s">
        <v>284</v>
      </c>
      <c r="D7" s="11" t="s">
        <v>285</v>
      </c>
      <c r="E7" s="11" t="s">
        <v>492</v>
      </c>
      <c r="F7" s="11" t="s">
        <v>37</v>
      </c>
      <c r="G7" s="22" t="s">
        <v>286</v>
      </c>
      <c r="H7" s="22" t="s">
        <v>106</v>
      </c>
      <c r="I7" s="22" t="s">
        <v>106</v>
      </c>
      <c r="J7" s="12"/>
      <c r="K7" s="31">
        <v>0</v>
      </c>
      <c r="L7" s="12" t="str">
        <f>"0,0000"</f>
        <v>0,0000</v>
      </c>
      <c r="M7" s="11" t="s">
        <v>287</v>
      </c>
    </row>
    <row r="8" spans="1:13">
      <c r="B8" s="5" t="s">
        <v>87</v>
      </c>
    </row>
    <row r="9" spans="1:13" ht="16">
      <c r="A9" s="52" t="s">
        <v>89</v>
      </c>
      <c r="B9" s="52"/>
      <c r="C9" s="53"/>
      <c r="D9" s="53"/>
      <c r="E9" s="53"/>
      <c r="F9" s="53"/>
      <c r="G9" s="53"/>
      <c r="H9" s="53"/>
      <c r="I9" s="53"/>
      <c r="J9" s="53"/>
    </row>
    <row r="10" spans="1:13">
      <c r="A10" s="8" t="s">
        <v>86</v>
      </c>
      <c r="B10" s="7" t="s">
        <v>288</v>
      </c>
      <c r="C10" s="7" t="s">
        <v>289</v>
      </c>
      <c r="D10" s="7" t="s">
        <v>290</v>
      </c>
      <c r="E10" s="7" t="s">
        <v>493</v>
      </c>
      <c r="F10" s="7" t="s">
        <v>128</v>
      </c>
      <c r="G10" s="19" t="s">
        <v>96</v>
      </c>
      <c r="H10" s="19" t="s">
        <v>154</v>
      </c>
      <c r="I10" s="18" t="s">
        <v>113</v>
      </c>
      <c r="J10" s="8"/>
      <c r="K10" s="29" t="str">
        <f>"65,0"</f>
        <v>65,0</v>
      </c>
      <c r="L10" s="8" t="str">
        <f>"55,7765"</f>
        <v>55,7765</v>
      </c>
      <c r="M10" s="7" t="s">
        <v>109</v>
      </c>
    </row>
    <row r="11" spans="1:13">
      <c r="B11" s="5" t="s">
        <v>87</v>
      </c>
    </row>
    <row r="12" spans="1:13" ht="16">
      <c r="A12" s="52" t="s">
        <v>117</v>
      </c>
      <c r="B12" s="52"/>
      <c r="C12" s="53"/>
      <c r="D12" s="53"/>
      <c r="E12" s="53"/>
      <c r="F12" s="53"/>
      <c r="G12" s="53"/>
      <c r="H12" s="53"/>
      <c r="I12" s="53"/>
      <c r="J12" s="53"/>
    </row>
    <row r="13" spans="1:13">
      <c r="A13" s="10" t="s">
        <v>86</v>
      </c>
      <c r="B13" s="9" t="s">
        <v>291</v>
      </c>
      <c r="C13" s="9" t="s">
        <v>292</v>
      </c>
      <c r="D13" s="9" t="s">
        <v>293</v>
      </c>
      <c r="E13" s="9" t="s">
        <v>493</v>
      </c>
      <c r="F13" s="9" t="s">
        <v>37</v>
      </c>
      <c r="G13" s="20" t="s">
        <v>103</v>
      </c>
      <c r="H13" s="20" t="s">
        <v>294</v>
      </c>
      <c r="I13" s="20" t="s">
        <v>142</v>
      </c>
      <c r="J13" s="10"/>
      <c r="K13" s="30" t="str">
        <f>"92,5"</f>
        <v>92,5</v>
      </c>
      <c r="L13" s="10" t="str">
        <f>"73,5560"</f>
        <v>73,5560</v>
      </c>
      <c r="M13" s="9" t="s">
        <v>295</v>
      </c>
    </row>
    <row r="14" spans="1:13">
      <c r="A14" s="25" t="s">
        <v>86</v>
      </c>
      <c r="B14" s="24" t="s">
        <v>296</v>
      </c>
      <c r="C14" s="24" t="s">
        <v>297</v>
      </c>
      <c r="D14" s="24" t="s">
        <v>298</v>
      </c>
      <c r="E14" s="24" t="s">
        <v>495</v>
      </c>
      <c r="F14" s="24" t="s">
        <v>37</v>
      </c>
      <c r="G14" s="26" t="s">
        <v>168</v>
      </c>
      <c r="H14" s="26" t="s">
        <v>135</v>
      </c>
      <c r="I14" s="26" t="s">
        <v>299</v>
      </c>
      <c r="J14" s="25"/>
      <c r="K14" s="32" t="str">
        <f>"132,5"</f>
        <v>132,5</v>
      </c>
      <c r="L14" s="25" t="str">
        <f>"104,6882"</f>
        <v>104,6882</v>
      </c>
      <c r="M14" s="24" t="s">
        <v>300</v>
      </c>
    </row>
    <row r="15" spans="1:13">
      <c r="A15" s="12" t="s">
        <v>86</v>
      </c>
      <c r="B15" s="11" t="s">
        <v>301</v>
      </c>
      <c r="C15" s="11" t="s">
        <v>302</v>
      </c>
      <c r="D15" s="11" t="s">
        <v>303</v>
      </c>
      <c r="E15" s="11" t="s">
        <v>492</v>
      </c>
      <c r="F15" s="11" t="s">
        <v>37</v>
      </c>
      <c r="G15" s="23" t="s">
        <v>304</v>
      </c>
      <c r="H15" s="23" t="s">
        <v>149</v>
      </c>
      <c r="I15" s="23" t="s">
        <v>305</v>
      </c>
      <c r="J15" s="12"/>
      <c r="K15" s="31" t="str">
        <f>"112,5"</f>
        <v>112,5</v>
      </c>
      <c r="L15" s="12" t="str">
        <f>"86,9512"</f>
        <v>86,9512</v>
      </c>
      <c r="M15" s="11"/>
    </row>
    <row r="16" spans="1:13">
      <c r="B16" s="5" t="s">
        <v>87</v>
      </c>
    </row>
    <row r="17" spans="1:13" ht="16">
      <c r="A17" s="52" t="s">
        <v>124</v>
      </c>
      <c r="B17" s="52"/>
      <c r="C17" s="53"/>
      <c r="D17" s="53"/>
      <c r="E17" s="53"/>
      <c r="F17" s="53"/>
      <c r="G17" s="53"/>
      <c r="H17" s="53"/>
      <c r="I17" s="53"/>
      <c r="J17" s="53"/>
    </row>
    <row r="18" spans="1:13">
      <c r="A18" s="10" t="s">
        <v>86</v>
      </c>
      <c r="B18" s="9" t="s">
        <v>306</v>
      </c>
      <c r="C18" s="9" t="s">
        <v>307</v>
      </c>
      <c r="D18" s="9" t="s">
        <v>308</v>
      </c>
      <c r="E18" s="9" t="s">
        <v>492</v>
      </c>
      <c r="F18" s="9" t="s">
        <v>37</v>
      </c>
      <c r="G18" s="20" t="s">
        <v>135</v>
      </c>
      <c r="H18" s="21" t="s">
        <v>309</v>
      </c>
      <c r="I18" s="21" t="s">
        <v>309</v>
      </c>
      <c r="J18" s="10"/>
      <c r="K18" s="30" t="str">
        <f>"130,0"</f>
        <v>130,0</v>
      </c>
      <c r="L18" s="10" t="str">
        <f>"96,0700"</f>
        <v>96,0700</v>
      </c>
      <c r="M18" s="9"/>
    </row>
    <row r="19" spans="1:13">
      <c r="A19" s="12" t="s">
        <v>86</v>
      </c>
      <c r="B19" s="11" t="s">
        <v>310</v>
      </c>
      <c r="C19" s="11" t="s">
        <v>311</v>
      </c>
      <c r="D19" s="11" t="s">
        <v>312</v>
      </c>
      <c r="E19" s="11" t="s">
        <v>496</v>
      </c>
      <c r="F19" s="11" t="s">
        <v>37</v>
      </c>
      <c r="G19" s="23" t="s">
        <v>143</v>
      </c>
      <c r="H19" s="23" t="s">
        <v>121</v>
      </c>
      <c r="I19" s="23" t="s">
        <v>94</v>
      </c>
      <c r="J19" s="12"/>
      <c r="K19" s="31" t="str">
        <f>"105,0"</f>
        <v>105,0</v>
      </c>
      <c r="L19" s="12" t="str">
        <f>"86,5295"</f>
        <v>86,5295</v>
      </c>
      <c r="M19" s="11" t="s">
        <v>213</v>
      </c>
    </row>
    <row r="20" spans="1:13">
      <c r="B20" s="5" t="s">
        <v>87</v>
      </c>
    </row>
    <row r="21" spans="1:13" ht="16">
      <c r="A21" s="52" t="s">
        <v>132</v>
      </c>
      <c r="B21" s="52"/>
      <c r="C21" s="53"/>
      <c r="D21" s="53"/>
      <c r="E21" s="53"/>
      <c r="F21" s="53"/>
      <c r="G21" s="53"/>
      <c r="H21" s="53"/>
      <c r="I21" s="53"/>
      <c r="J21" s="53"/>
    </row>
    <row r="22" spans="1:13">
      <c r="A22" s="10" t="s">
        <v>86</v>
      </c>
      <c r="B22" s="9" t="s">
        <v>313</v>
      </c>
      <c r="C22" s="9" t="s">
        <v>314</v>
      </c>
      <c r="D22" s="9" t="s">
        <v>230</v>
      </c>
      <c r="E22" s="9" t="s">
        <v>492</v>
      </c>
      <c r="F22" s="9" t="s">
        <v>37</v>
      </c>
      <c r="G22" s="21" t="s">
        <v>41</v>
      </c>
      <c r="H22" s="21" t="s">
        <v>41</v>
      </c>
      <c r="I22" s="20" t="s">
        <v>270</v>
      </c>
      <c r="J22" s="10"/>
      <c r="K22" s="30" t="str">
        <f>"150,0"</f>
        <v>150,0</v>
      </c>
      <c r="L22" s="10" t="str">
        <f>"101,5350"</f>
        <v>101,5350</v>
      </c>
      <c r="M22" s="9" t="s">
        <v>315</v>
      </c>
    </row>
    <row r="23" spans="1:13">
      <c r="A23" s="25" t="s">
        <v>88</v>
      </c>
      <c r="B23" s="24" t="s">
        <v>316</v>
      </c>
      <c r="C23" s="24" t="s">
        <v>317</v>
      </c>
      <c r="D23" s="24" t="s">
        <v>318</v>
      </c>
      <c r="E23" s="24" t="s">
        <v>492</v>
      </c>
      <c r="F23" s="24" t="s">
        <v>37</v>
      </c>
      <c r="G23" s="26" t="s">
        <v>130</v>
      </c>
      <c r="H23" s="26" t="s">
        <v>41</v>
      </c>
      <c r="I23" s="27" t="s">
        <v>241</v>
      </c>
      <c r="J23" s="25"/>
      <c r="K23" s="32" t="str">
        <f>"145,0"</f>
        <v>145,0</v>
      </c>
      <c r="L23" s="25" t="str">
        <f>"97,3530"</f>
        <v>97,3530</v>
      </c>
      <c r="M23" s="24"/>
    </row>
    <row r="24" spans="1:13">
      <c r="A24" s="25" t="s">
        <v>277</v>
      </c>
      <c r="B24" s="24" t="s">
        <v>319</v>
      </c>
      <c r="C24" s="24" t="s">
        <v>320</v>
      </c>
      <c r="D24" s="24" t="s">
        <v>318</v>
      </c>
      <c r="E24" s="24" t="s">
        <v>492</v>
      </c>
      <c r="F24" s="24" t="s">
        <v>37</v>
      </c>
      <c r="G24" s="26" t="s">
        <v>40</v>
      </c>
      <c r="H24" s="27" t="s">
        <v>130</v>
      </c>
      <c r="I24" s="27" t="s">
        <v>41</v>
      </c>
      <c r="J24" s="25"/>
      <c r="K24" s="32" t="str">
        <f>"135,0"</f>
        <v>135,0</v>
      </c>
      <c r="L24" s="25" t="str">
        <f>"90,6390"</f>
        <v>90,6390</v>
      </c>
      <c r="M24" s="24" t="s">
        <v>251</v>
      </c>
    </row>
    <row r="25" spans="1:13">
      <c r="A25" s="25" t="s">
        <v>369</v>
      </c>
      <c r="B25" s="24" t="s">
        <v>321</v>
      </c>
      <c r="C25" s="24" t="s">
        <v>322</v>
      </c>
      <c r="D25" s="24" t="s">
        <v>323</v>
      </c>
      <c r="E25" s="24" t="s">
        <v>492</v>
      </c>
      <c r="F25" s="24" t="s">
        <v>37</v>
      </c>
      <c r="G25" s="26" t="s">
        <v>17</v>
      </c>
      <c r="H25" s="26" t="s">
        <v>18</v>
      </c>
      <c r="I25" s="26" t="s">
        <v>168</v>
      </c>
      <c r="J25" s="25"/>
      <c r="K25" s="32" t="str">
        <f>"127,5"</f>
        <v>127,5</v>
      </c>
      <c r="L25" s="25" t="str">
        <f>"85,6672"</f>
        <v>85,6672</v>
      </c>
      <c r="M25" s="24" t="s">
        <v>213</v>
      </c>
    </row>
    <row r="26" spans="1:13">
      <c r="A26" s="12" t="s">
        <v>86</v>
      </c>
      <c r="B26" s="11" t="s">
        <v>324</v>
      </c>
      <c r="C26" s="11" t="s">
        <v>325</v>
      </c>
      <c r="D26" s="11" t="s">
        <v>326</v>
      </c>
      <c r="E26" s="11" t="s">
        <v>497</v>
      </c>
      <c r="F26" s="11" t="s">
        <v>37</v>
      </c>
      <c r="G26" s="23" t="s">
        <v>115</v>
      </c>
      <c r="H26" s="23" t="s">
        <v>17</v>
      </c>
      <c r="I26" s="22" t="s">
        <v>327</v>
      </c>
      <c r="J26" s="12"/>
      <c r="K26" s="31" t="str">
        <f>"115,0"</f>
        <v>115,0</v>
      </c>
      <c r="L26" s="12" t="str">
        <f>"112,9050"</f>
        <v>112,9050</v>
      </c>
      <c r="M26" s="11" t="s">
        <v>213</v>
      </c>
    </row>
    <row r="27" spans="1:13">
      <c r="B27" s="5" t="s">
        <v>87</v>
      </c>
    </row>
    <row r="28" spans="1:13" ht="16">
      <c r="A28" s="52" t="s">
        <v>10</v>
      </c>
      <c r="B28" s="52"/>
      <c r="C28" s="53"/>
      <c r="D28" s="53"/>
      <c r="E28" s="53"/>
      <c r="F28" s="53"/>
      <c r="G28" s="53"/>
      <c r="H28" s="53"/>
      <c r="I28" s="53"/>
      <c r="J28" s="53"/>
    </row>
    <row r="29" spans="1:13">
      <c r="A29" s="10" t="s">
        <v>86</v>
      </c>
      <c r="B29" s="9" t="s">
        <v>328</v>
      </c>
      <c r="C29" s="9" t="s">
        <v>329</v>
      </c>
      <c r="D29" s="9" t="s">
        <v>330</v>
      </c>
      <c r="E29" s="9" t="s">
        <v>495</v>
      </c>
      <c r="F29" s="9" t="s">
        <v>37</v>
      </c>
      <c r="G29" s="20" t="s">
        <v>41</v>
      </c>
      <c r="H29" s="21" t="s">
        <v>42</v>
      </c>
      <c r="I29" s="21" t="s">
        <v>42</v>
      </c>
      <c r="J29" s="10"/>
      <c r="K29" s="30" t="str">
        <f>"145,0"</f>
        <v>145,0</v>
      </c>
      <c r="L29" s="10" t="str">
        <f>"92,8870"</f>
        <v>92,8870</v>
      </c>
      <c r="M29" s="9"/>
    </row>
    <row r="30" spans="1:13">
      <c r="A30" s="25" t="s">
        <v>86</v>
      </c>
      <c r="B30" s="24" t="s">
        <v>331</v>
      </c>
      <c r="C30" s="24" t="s">
        <v>332</v>
      </c>
      <c r="D30" s="24" t="s">
        <v>333</v>
      </c>
      <c r="E30" s="24" t="s">
        <v>492</v>
      </c>
      <c r="F30" s="24" t="s">
        <v>334</v>
      </c>
      <c r="G30" s="26" t="s">
        <v>31</v>
      </c>
      <c r="H30" s="26" t="s">
        <v>174</v>
      </c>
      <c r="I30" s="27" t="s">
        <v>58</v>
      </c>
      <c r="J30" s="25"/>
      <c r="K30" s="32" t="str">
        <f>"162,5"</f>
        <v>162,5</v>
      </c>
      <c r="L30" s="25" t="str">
        <f>"104,4550"</f>
        <v>104,4550</v>
      </c>
      <c r="M30" s="24" t="s">
        <v>227</v>
      </c>
    </row>
    <row r="31" spans="1:13">
      <c r="A31" s="25" t="s">
        <v>88</v>
      </c>
      <c r="B31" s="24" t="s">
        <v>176</v>
      </c>
      <c r="C31" s="24" t="s">
        <v>177</v>
      </c>
      <c r="D31" s="24" t="s">
        <v>178</v>
      </c>
      <c r="E31" s="24" t="s">
        <v>492</v>
      </c>
      <c r="F31" s="24" t="s">
        <v>37</v>
      </c>
      <c r="G31" s="26" t="s">
        <v>41</v>
      </c>
      <c r="H31" s="26" t="s">
        <v>42</v>
      </c>
      <c r="I31" s="25"/>
      <c r="J31" s="25"/>
      <c r="K31" s="32" t="str">
        <f>"152,5"</f>
        <v>152,5</v>
      </c>
      <c r="L31" s="25" t="str">
        <f>"98,5608"</f>
        <v>98,5608</v>
      </c>
      <c r="M31" s="24"/>
    </row>
    <row r="32" spans="1:13">
      <c r="A32" s="25" t="s">
        <v>277</v>
      </c>
      <c r="B32" s="24" t="s">
        <v>328</v>
      </c>
      <c r="C32" s="24" t="s">
        <v>335</v>
      </c>
      <c r="D32" s="24" t="s">
        <v>330</v>
      </c>
      <c r="E32" s="24" t="s">
        <v>492</v>
      </c>
      <c r="F32" s="24" t="s">
        <v>37</v>
      </c>
      <c r="G32" s="26" t="s">
        <v>41</v>
      </c>
      <c r="H32" s="27" t="s">
        <v>42</v>
      </c>
      <c r="I32" s="27" t="s">
        <v>42</v>
      </c>
      <c r="J32" s="25"/>
      <c r="K32" s="32" t="str">
        <f>"145,0"</f>
        <v>145,0</v>
      </c>
      <c r="L32" s="25" t="str">
        <f>"92,8870"</f>
        <v>92,8870</v>
      </c>
      <c r="M32" s="24"/>
    </row>
    <row r="33" spans="1:13">
      <c r="A33" s="25" t="s">
        <v>369</v>
      </c>
      <c r="B33" s="24" t="s">
        <v>336</v>
      </c>
      <c r="C33" s="24" t="s">
        <v>337</v>
      </c>
      <c r="D33" s="24" t="s">
        <v>338</v>
      </c>
      <c r="E33" s="24" t="s">
        <v>492</v>
      </c>
      <c r="F33" s="24" t="s">
        <v>37</v>
      </c>
      <c r="G33" s="26" t="s">
        <v>299</v>
      </c>
      <c r="H33" s="26" t="s">
        <v>339</v>
      </c>
      <c r="I33" s="27" t="s">
        <v>270</v>
      </c>
      <c r="J33" s="25"/>
      <c r="K33" s="32" t="str">
        <f>"142,5"</f>
        <v>142,5</v>
      </c>
      <c r="L33" s="25" t="str">
        <f>"91,8697"</f>
        <v>91,8697</v>
      </c>
      <c r="M33" s="24"/>
    </row>
    <row r="34" spans="1:13">
      <c r="A34" s="12" t="s">
        <v>86</v>
      </c>
      <c r="B34" s="11" t="s">
        <v>331</v>
      </c>
      <c r="C34" s="11" t="s">
        <v>340</v>
      </c>
      <c r="D34" s="11" t="s">
        <v>333</v>
      </c>
      <c r="E34" s="11" t="s">
        <v>496</v>
      </c>
      <c r="F34" s="11" t="s">
        <v>334</v>
      </c>
      <c r="G34" s="23" t="s">
        <v>31</v>
      </c>
      <c r="H34" s="23" t="s">
        <v>174</v>
      </c>
      <c r="I34" s="22" t="s">
        <v>58</v>
      </c>
      <c r="J34" s="12"/>
      <c r="K34" s="31" t="str">
        <f>"162,5"</f>
        <v>162,5</v>
      </c>
      <c r="L34" s="12" t="str">
        <f>"123,9881"</f>
        <v>123,9881</v>
      </c>
      <c r="M34" s="11" t="s">
        <v>227</v>
      </c>
    </row>
    <row r="35" spans="1:13">
      <c r="B35" s="5" t="s">
        <v>87</v>
      </c>
    </row>
    <row r="36" spans="1:13" ht="16">
      <c r="A36" s="52" t="s">
        <v>22</v>
      </c>
      <c r="B36" s="52"/>
      <c r="C36" s="53"/>
      <c r="D36" s="53"/>
      <c r="E36" s="53"/>
      <c r="F36" s="53"/>
      <c r="G36" s="53"/>
      <c r="H36" s="53"/>
      <c r="I36" s="53"/>
      <c r="J36" s="53"/>
    </row>
    <row r="37" spans="1:13">
      <c r="A37" s="10" t="s">
        <v>86</v>
      </c>
      <c r="B37" s="9" t="s">
        <v>341</v>
      </c>
      <c r="C37" s="9" t="s">
        <v>342</v>
      </c>
      <c r="D37" s="9" t="s">
        <v>343</v>
      </c>
      <c r="E37" s="9" t="s">
        <v>493</v>
      </c>
      <c r="F37" s="9" t="s">
        <v>128</v>
      </c>
      <c r="G37" s="20" t="s">
        <v>114</v>
      </c>
      <c r="H37" s="20" t="s">
        <v>143</v>
      </c>
      <c r="I37" s="20" t="s">
        <v>121</v>
      </c>
      <c r="J37" s="10"/>
      <c r="K37" s="30" t="str">
        <f>"100,0"</f>
        <v>100,0</v>
      </c>
      <c r="L37" s="10" t="str">
        <f>"62,9200"</f>
        <v>62,9200</v>
      </c>
      <c r="M37" s="9" t="s">
        <v>109</v>
      </c>
    </row>
    <row r="38" spans="1:13">
      <c r="A38" s="25" t="s">
        <v>86</v>
      </c>
      <c r="B38" s="24" t="s">
        <v>344</v>
      </c>
      <c r="C38" s="24" t="s">
        <v>345</v>
      </c>
      <c r="D38" s="24" t="s">
        <v>346</v>
      </c>
      <c r="E38" s="24" t="s">
        <v>492</v>
      </c>
      <c r="F38" s="24" t="s">
        <v>347</v>
      </c>
      <c r="G38" s="26" t="s">
        <v>30</v>
      </c>
      <c r="H38" s="26" t="s">
        <v>58</v>
      </c>
      <c r="I38" s="27" t="s">
        <v>59</v>
      </c>
      <c r="J38" s="25"/>
      <c r="K38" s="32" t="str">
        <f>"165,0"</f>
        <v>165,0</v>
      </c>
      <c r="L38" s="25" t="str">
        <f>"104,0325"</f>
        <v>104,0325</v>
      </c>
      <c r="M38" s="24"/>
    </row>
    <row r="39" spans="1:13">
      <c r="A39" s="12" t="s">
        <v>88</v>
      </c>
      <c r="B39" s="11" t="s">
        <v>348</v>
      </c>
      <c r="C39" s="11" t="s">
        <v>349</v>
      </c>
      <c r="D39" s="11" t="s">
        <v>350</v>
      </c>
      <c r="E39" s="11" t="s">
        <v>492</v>
      </c>
      <c r="F39" s="11" t="s">
        <v>14</v>
      </c>
      <c r="G39" s="23" t="s">
        <v>270</v>
      </c>
      <c r="H39" s="23" t="s">
        <v>242</v>
      </c>
      <c r="I39" s="22" t="s">
        <v>174</v>
      </c>
      <c r="J39" s="12"/>
      <c r="K39" s="31" t="str">
        <f>"157,5"</f>
        <v>157,5</v>
      </c>
      <c r="L39" s="12" t="str">
        <f>"96,2797"</f>
        <v>96,2797</v>
      </c>
      <c r="M39" s="11" t="s">
        <v>97</v>
      </c>
    </row>
    <row r="40" spans="1:13">
      <c r="B40" s="5" t="s">
        <v>87</v>
      </c>
    </row>
    <row r="41" spans="1:13" ht="16">
      <c r="A41" s="52" t="s">
        <v>44</v>
      </c>
      <c r="B41" s="52"/>
      <c r="C41" s="53"/>
      <c r="D41" s="53"/>
      <c r="E41" s="53"/>
      <c r="F41" s="53"/>
      <c r="G41" s="53"/>
      <c r="H41" s="53"/>
      <c r="I41" s="53"/>
      <c r="J41" s="53"/>
    </row>
    <row r="42" spans="1:13">
      <c r="A42" s="8" t="s">
        <v>86</v>
      </c>
      <c r="B42" s="7" t="s">
        <v>351</v>
      </c>
      <c r="C42" s="7" t="s">
        <v>352</v>
      </c>
      <c r="D42" s="7" t="s">
        <v>353</v>
      </c>
      <c r="E42" s="7" t="s">
        <v>492</v>
      </c>
      <c r="F42" s="7" t="s">
        <v>354</v>
      </c>
      <c r="G42" s="18" t="s">
        <v>67</v>
      </c>
      <c r="H42" s="19" t="s">
        <v>196</v>
      </c>
      <c r="I42" s="18" t="s">
        <v>38</v>
      </c>
      <c r="J42" s="8"/>
      <c r="K42" s="29" t="str">
        <f>"195,0"</f>
        <v>195,0</v>
      </c>
      <c r="L42" s="8" t="str">
        <f>"117,1170"</f>
        <v>117,1170</v>
      </c>
      <c r="M42" s="7"/>
    </row>
    <row r="43" spans="1:13">
      <c r="B43" s="5" t="s">
        <v>87</v>
      </c>
    </row>
    <row r="44" spans="1:13" ht="16">
      <c r="A44" s="52" t="s">
        <v>185</v>
      </c>
      <c r="B44" s="52"/>
      <c r="C44" s="53"/>
      <c r="D44" s="53"/>
      <c r="E44" s="53"/>
      <c r="F44" s="53"/>
      <c r="G44" s="53"/>
      <c r="H44" s="53"/>
      <c r="I44" s="53"/>
      <c r="J44" s="53"/>
    </row>
    <row r="45" spans="1:13">
      <c r="A45" s="8" t="s">
        <v>86</v>
      </c>
      <c r="B45" s="7" t="s">
        <v>355</v>
      </c>
      <c r="C45" s="7" t="s">
        <v>356</v>
      </c>
      <c r="D45" s="7" t="s">
        <v>357</v>
      </c>
      <c r="E45" s="7" t="s">
        <v>492</v>
      </c>
      <c r="F45" s="7" t="s">
        <v>37</v>
      </c>
      <c r="G45" s="19" t="s">
        <v>270</v>
      </c>
      <c r="H45" s="19" t="s">
        <v>31</v>
      </c>
      <c r="I45" s="19" t="s">
        <v>59</v>
      </c>
      <c r="J45" s="8"/>
      <c r="K45" s="29" t="str">
        <f>"172,5"</f>
        <v>172,5</v>
      </c>
      <c r="L45" s="8" t="str">
        <f>"100,9643"</f>
        <v>100,9643</v>
      </c>
      <c r="M45" s="7"/>
    </row>
    <row r="46" spans="1:13">
      <c r="B46" s="5" t="s">
        <v>87</v>
      </c>
    </row>
    <row r="47" spans="1:13" ht="16">
      <c r="A47" s="52" t="s">
        <v>62</v>
      </c>
      <c r="B47" s="52"/>
      <c r="C47" s="53"/>
      <c r="D47" s="53"/>
      <c r="E47" s="53"/>
      <c r="F47" s="53"/>
      <c r="G47" s="53"/>
      <c r="H47" s="53"/>
      <c r="I47" s="53"/>
      <c r="J47" s="53"/>
    </row>
    <row r="48" spans="1:13">
      <c r="A48" s="10" t="s">
        <v>86</v>
      </c>
      <c r="B48" s="9" t="s">
        <v>358</v>
      </c>
      <c r="C48" s="9" t="s">
        <v>359</v>
      </c>
      <c r="D48" s="9" t="s">
        <v>360</v>
      </c>
      <c r="E48" s="9" t="s">
        <v>492</v>
      </c>
      <c r="F48" s="9" t="s">
        <v>484</v>
      </c>
      <c r="G48" s="20" t="s">
        <v>67</v>
      </c>
      <c r="H48" s="21" t="s">
        <v>196</v>
      </c>
      <c r="I48" s="21" t="s">
        <v>196</v>
      </c>
      <c r="J48" s="10"/>
      <c r="K48" s="30" t="str">
        <f>"190,0"</f>
        <v>190,0</v>
      </c>
      <c r="L48" s="10" t="str">
        <f>"107,4640"</f>
        <v>107,4640</v>
      </c>
      <c r="M48" s="9"/>
    </row>
    <row r="49" spans="1:13">
      <c r="A49" s="25" t="s">
        <v>88</v>
      </c>
      <c r="B49" s="24" t="s">
        <v>361</v>
      </c>
      <c r="C49" s="24" t="s">
        <v>362</v>
      </c>
      <c r="D49" s="24" t="s">
        <v>363</v>
      </c>
      <c r="E49" s="24" t="s">
        <v>492</v>
      </c>
      <c r="F49" s="24" t="s">
        <v>37</v>
      </c>
      <c r="G49" s="27" t="s">
        <v>175</v>
      </c>
      <c r="H49" s="26" t="s">
        <v>175</v>
      </c>
      <c r="I49" s="27" t="s">
        <v>364</v>
      </c>
      <c r="J49" s="25"/>
      <c r="K49" s="32" t="str">
        <f>"175,0"</f>
        <v>175,0</v>
      </c>
      <c r="L49" s="25" t="str">
        <f>"98,2100"</f>
        <v>98,2100</v>
      </c>
      <c r="M49" s="24" t="s">
        <v>300</v>
      </c>
    </row>
    <row r="50" spans="1:13">
      <c r="A50" s="12" t="s">
        <v>86</v>
      </c>
      <c r="B50" s="11" t="s">
        <v>358</v>
      </c>
      <c r="C50" s="11" t="s">
        <v>365</v>
      </c>
      <c r="D50" s="11" t="s">
        <v>360</v>
      </c>
      <c r="E50" s="11" t="s">
        <v>494</v>
      </c>
      <c r="F50" s="11" t="s">
        <v>484</v>
      </c>
      <c r="G50" s="23" t="s">
        <v>67</v>
      </c>
      <c r="H50" s="22" t="s">
        <v>196</v>
      </c>
      <c r="I50" s="22" t="s">
        <v>196</v>
      </c>
      <c r="J50" s="12"/>
      <c r="K50" s="31" t="str">
        <f>"190,0"</f>
        <v>190,0</v>
      </c>
      <c r="L50" s="12" t="str">
        <f>"108,0013"</f>
        <v>108,0013</v>
      </c>
      <c r="M50" s="11"/>
    </row>
    <row r="51" spans="1:13">
      <c r="B51" s="5" t="s">
        <v>87</v>
      </c>
    </row>
    <row r="52" spans="1:13">
      <c r="B52" s="5" t="s">
        <v>87</v>
      </c>
    </row>
    <row r="53" spans="1:13">
      <c r="B53" s="5" t="s">
        <v>87</v>
      </c>
    </row>
    <row r="54" spans="1:13" ht="18">
      <c r="B54" s="13" t="s">
        <v>70</v>
      </c>
      <c r="C54" s="13"/>
    </row>
    <row r="55" spans="1:13" ht="16">
      <c r="B55" s="14" t="s">
        <v>71</v>
      </c>
      <c r="C55" s="14"/>
    </row>
    <row r="56" spans="1:13" ht="14">
      <c r="B56" s="15"/>
      <c r="C56" s="16" t="s">
        <v>72</v>
      </c>
    </row>
    <row r="57" spans="1:13" ht="14">
      <c r="B57" s="17" t="s">
        <v>73</v>
      </c>
      <c r="C57" s="17" t="s">
        <v>74</v>
      </c>
      <c r="D57" s="17" t="s">
        <v>483</v>
      </c>
      <c r="E57" s="17" t="s">
        <v>201</v>
      </c>
      <c r="F57" s="17" t="s">
        <v>76</v>
      </c>
    </row>
    <row r="58" spans="1:13">
      <c r="B58" s="5" t="s">
        <v>351</v>
      </c>
      <c r="C58" s="5" t="s">
        <v>72</v>
      </c>
      <c r="D58" s="6" t="s">
        <v>80</v>
      </c>
      <c r="E58" s="6" t="s">
        <v>196</v>
      </c>
      <c r="F58" s="6" t="s">
        <v>366</v>
      </c>
    </row>
    <row r="59" spans="1:13">
      <c r="B59" s="5" t="s">
        <v>358</v>
      </c>
      <c r="C59" s="5" t="s">
        <v>72</v>
      </c>
      <c r="D59" s="6" t="s">
        <v>77</v>
      </c>
      <c r="E59" s="6" t="s">
        <v>67</v>
      </c>
      <c r="F59" s="6" t="s">
        <v>367</v>
      </c>
    </row>
    <row r="60" spans="1:13">
      <c r="B60" s="5" t="s">
        <v>331</v>
      </c>
      <c r="C60" s="5" t="s">
        <v>72</v>
      </c>
      <c r="D60" s="6" t="s">
        <v>190</v>
      </c>
      <c r="E60" s="6" t="s">
        <v>174</v>
      </c>
      <c r="F60" s="6" t="s">
        <v>368</v>
      </c>
    </row>
    <row r="61" spans="1:13">
      <c r="B61" s="5" t="s">
        <v>87</v>
      </c>
    </row>
    <row r="62" spans="1:13">
      <c r="B62" s="5" t="s">
        <v>87</v>
      </c>
    </row>
  </sheetData>
  <mergeCells count="21">
    <mergeCell ref="A41:J41"/>
    <mergeCell ref="A44:J44"/>
    <mergeCell ref="A47:J47"/>
    <mergeCell ref="B3:B4"/>
    <mergeCell ref="A9:J9"/>
    <mergeCell ref="A12:J12"/>
    <mergeCell ref="A17:J17"/>
    <mergeCell ref="A21:J21"/>
    <mergeCell ref="A28:J28"/>
    <mergeCell ref="A36:J36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50"/>
  <sheetViews>
    <sheetView workbookViewId="0">
      <selection activeCell="J33" sqref="J33"/>
    </sheetView>
  </sheetViews>
  <sheetFormatPr baseColWidth="10" defaultColWidth="9.1640625" defaultRowHeight="13"/>
  <cols>
    <col min="1" max="1" width="7.5" style="5" bestFit="1" customWidth="1"/>
    <col min="2" max="2" width="20.832031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30.5" style="5" bestFit="1" customWidth="1"/>
    <col min="7" max="9" width="5.5" style="6" customWidth="1"/>
    <col min="10" max="10" width="4.83203125" style="6" customWidth="1"/>
    <col min="11" max="11" width="7.83203125" style="6" bestFit="1" customWidth="1"/>
    <col min="12" max="12" width="8.5" style="6" bestFit="1" customWidth="1"/>
    <col min="13" max="13" width="15.83203125" style="5" bestFit="1" customWidth="1"/>
    <col min="14" max="16384" width="9.1640625" style="3"/>
  </cols>
  <sheetData>
    <row r="1" spans="1:13" s="2" customFormat="1" ht="29" customHeight="1">
      <c r="A1" s="41" t="s">
        <v>473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489</v>
      </c>
      <c r="B3" s="54" t="s">
        <v>0</v>
      </c>
      <c r="C3" s="51" t="s">
        <v>490</v>
      </c>
      <c r="D3" s="51" t="s">
        <v>6</v>
      </c>
      <c r="E3" s="35" t="s">
        <v>491</v>
      </c>
      <c r="F3" s="35" t="s">
        <v>5</v>
      </c>
      <c r="G3" s="35" t="s">
        <v>8</v>
      </c>
      <c r="H3" s="35"/>
      <c r="I3" s="35"/>
      <c r="J3" s="35"/>
      <c r="K3" s="35" t="s">
        <v>202</v>
      </c>
      <c r="L3" s="35" t="s">
        <v>3</v>
      </c>
      <c r="M3" s="37" t="s">
        <v>2</v>
      </c>
    </row>
    <row r="4" spans="1:13" s="1" customFormat="1" ht="21" customHeight="1" thickBot="1">
      <c r="A4" s="50"/>
      <c r="B4" s="55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137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8" t="s">
        <v>86</v>
      </c>
      <c r="B6" s="7" t="s">
        <v>203</v>
      </c>
      <c r="C6" s="7" t="s">
        <v>204</v>
      </c>
      <c r="D6" s="7" t="s">
        <v>205</v>
      </c>
      <c r="E6" s="7" t="s">
        <v>496</v>
      </c>
      <c r="F6" s="7" t="s">
        <v>37</v>
      </c>
      <c r="G6" s="18" t="s">
        <v>107</v>
      </c>
      <c r="H6" s="19" t="s">
        <v>107</v>
      </c>
      <c r="I6" s="18" t="s">
        <v>148</v>
      </c>
      <c r="J6" s="8"/>
      <c r="K6" s="8" t="str">
        <f>"50,0"</f>
        <v>50,0</v>
      </c>
      <c r="L6" s="8" t="str">
        <f>"76,3927"</f>
        <v>76,3927</v>
      </c>
      <c r="M6" s="7" t="s">
        <v>206</v>
      </c>
    </row>
    <row r="7" spans="1:13">
      <c r="B7" s="5" t="s">
        <v>87</v>
      </c>
    </row>
    <row r="8" spans="1:13" ht="16">
      <c r="A8" s="52" t="s">
        <v>137</v>
      </c>
      <c r="B8" s="52"/>
      <c r="C8" s="53"/>
      <c r="D8" s="53"/>
      <c r="E8" s="53"/>
      <c r="F8" s="53"/>
      <c r="G8" s="53"/>
      <c r="H8" s="53"/>
      <c r="I8" s="53"/>
      <c r="J8" s="53"/>
    </row>
    <row r="9" spans="1:13">
      <c r="A9" s="8" t="s">
        <v>86</v>
      </c>
      <c r="B9" s="7" t="s">
        <v>207</v>
      </c>
      <c r="C9" s="7" t="s">
        <v>208</v>
      </c>
      <c r="D9" s="7" t="s">
        <v>140</v>
      </c>
      <c r="E9" s="7" t="s">
        <v>493</v>
      </c>
      <c r="F9" s="7" t="s">
        <v>128</v>
      </c>
      <c r="G9" s="19" t="s">
        <v>113</v>
      </c>
      <c r="H9" s="19" t="s">
        <v>209</v>
      </c>
      <c r="I9" s="19" t="s">
        <v>108</v>
      </c>
      <c r="J9" s="8"/>
      <c r="K9" s="8" t="str">
        <f>"75,0"</f>
        <v>75,0</v>
      </c>
      <c r="L9" s="8" t="str">
        <f>"69,1275"</f>
        <v>69,1275</v>
      </c>
      <c r="M9" s="7" t="s">
        <v>131</v>
      </c>
    </row>
    <row r="10" spans="1:13">
      <c r="B10" s="5" t="s">
        <v>87</v>
      </c>
    </row>
    <row r="11" spans="1:13" ht="16">
      <c r="A11" s="52" t="s">
        <v>117</v>
      </c>
      <c r="B11" s="52"/>
      <c r="C11" s="53"/>
      <c r="D11" s="53"/>
      <c r="E11" s="53"/>
      <c r="F11" s="53"/>
      <c r="G11" s="53"/>
      <c r="H11" s="53"/>
      <c r="I11" s="53"/>
      <c r="J11" s="53"/>
    </row>
    <row r="12" spans="1:13">
      <c r="A12" s="8" t="s">
        <v>86</v>
      </c>
      <c r="B12" s="7" t="s">
        <v>210</v>
      </c>
      <c r="C12" s="7" t="s">
        <v>211</v>
      </c>
      <c r="D12" s="7" t="s">
        <v>212</v>
      </c>
      <c r="E12" s="7" t="s">
        <v>494</v>
      </c>
      <c r="F12" s="7" t="s">
        <v>37</v>
      </c>
      <c r="G12" s="19" t="s">
        <v>129</v>
      </c>
      <c r="H12" s="19" t="s">
        <v>114</v>
      </c>
      <c r="I12" s="18" t="s">
        <v>121</v>
      </c>
      <c r="J12" s="8"/>
      <c r="K12" s="8" t="str">
        <f>"90,0"</f>
        <v>90,0</v>
      </c>
      <c r="L12" s="8" t="str">
        <f>"71,7570"</f>
        <v>71,7570</v>
      </c>
      <c r="M12" s="7" t="s">
        <v>213</v>
      </c>
    </row>
    <row r="13" spans="1:13">
      <c r="B13" s="5" t="s">
        <v>87</v>
      </c>
    </row>
    <row r="14" spans="1:13" ht="16">
      <c r="A14" s="52" t="s">
        <v>124</v>
      </c>
      <c r="B14" s="52"/>
      <c r="C14" s="53"/>
      <c r="D14" s="53"/>
      <c r="E14" s="53"/>
      <c r="F14" s="53"/>
      <c r="G14" s="53"/>
      <c r="H14" s="53"/>
      <c r="I14" s="53"/>
      <c r="J14" s="53"/>
    </row>
    <row r="15" spans="1:13">
      <c r="A15" s="10" t="s">
        <v>86</v>
      </c>
      <c r="B15" s="9" t="s">
        <v>214</v>
      </c>
      <c r="C15" s="9" t="s">
        <v>215</v>
      </c>
      <c r="D15" s="9" t="s">
        <v>216</v>
      </c>
      <c r="E15" s="9" t="s">
        <v>493</v>
      </c>
      <c r="F15" s="9" t="s">
        <v>128</v>
      </c>
      <c r="G15" s="20" t="s">
        <v>154</v>
      </c>
      <c r="H15" s="20" t="s">
        <v>113</v>
      </c>
      <c r="I15" s="20" t="s">
        <v>108</v>
      </c>
      <c r="J15" s="10"/>
      <c r="K15" s="10" t="str">
        <f>"75,0"</f>
        <v>75,0</v>
      </c>
      <c r="L15" s="10" t="str">
        <f>"53,8950"</f>
        <v>53,8950</v>
      </c>
      <c r="M15" s="9" t="s">
        <v>109</v>
      </c>
    </row>
    <row r="16" spans="1:13">
      <c r="A16" s="25" t="s">
        <v>86</v>
      </c>
      <c r="B16" s="24" t="s">
        <v>217</v>
      </c>
      <c r="C16" s="24" t="s">
        <v>218</v>
      </c>
      <c r="D16" s="24" t="s">
        <v>219</v>
      </c>
      <c r="E16" s="24" t="s">
        <v>492</v>
      </c>
      <c r="F16" s="24" t="s">
        <v>400</v>
      </c>
      <c r="G16" s="26" t="s">
        <v>18</v>
      </c>
      <c r="H16" s="26" t="s">
        <v>19</v>
      </c>
      <c r="I16" s="27" t="s">
        <v>135</v>
      </c>
      <c r="J16" s="25"/>
      <c r="K16" s="25" t="str">
        <f>"125,0"</f>
        <v>125,0</v>
      </c>
      <c r="L16" s="25" t="str">
        <f>"91,1625"</f>
        <v>91,1625</v>
      </c>
      <c r="M16" s="24"/>
    </row>
    <row r="17" spans="1:13">
      <c r="A17" s="25" t="s">
        <v>191</v>
      </c>
      <c r="B17" s="24" t="s">
        <v>220</v>
      </c>
      <c r="C17" s="24" t="s">
        <v>221</v>
      </c>
      <c r="D17" s="24" t="s">
        <v>222</v>
      </c>
      <c r="E17" s="24" t="s">
        <v>492</v>
      </c>
      <c r="F17" s="24" t="s">
        <v>223</v>
      </c>
      <c r="G17" s="27" t="s">
        <v>195</v>
      </c>
      <c r="H17" s="27" t="s">
        <v>195</v>
      </c>
      <c r="I17" s="27" t="s">
        <v>195</v>
      </c>
      <c r="J17" s="25"/>
      <c r="K17" s="25" t="str">
        <f>"0.00"</f>
        <v>0.00</v>
      </c>
      <c r="L17" s="25" t="str">
        <f>"0,0000"</f>
        <v>0,0000</v>
      </c>
      <c r="M17" s="24"/>
    </row>
    <row r="18" spans="1:13">
      <c r="A18" s="12" t="s">
        <v>86</v>
      </c>
      <c r="B18" s="11" t="s">
        <v>224</v>
      </c>
      <c r="C18" s="11" t="s">
        <v>225</v>
      </c>
      <c r="D18" s="11" t="s">
        <v>226</v>
      </c>
      <c r="E18" s="11" t="s">
        <v>497</v>
      </c>
      <c r="F18" s="11" t="s">
        <v>37</v>
      </c>
      <c r="G18" s="22" t="s">
        <v>143</v>
      </c>
      <c r="H18" s="23" t="s">
        <v>143</v>
      </c>
      <c r="I18" s="22" t="s">
        <v>121</v>
      </c>
      <c r="J18" s="12"/>
      <c r="K18" s="12" t="str">
        <f>"95,0"</f>
        <v>95,0</v>
      </c>
      <c r="L18" s="12" t="str">
        <f>"99,5146"</f>
        <v>99,5146</v>
      </c>
      <c r="M18" s="11" t="s">
        <v>227</v>
      </c>
    </row>
    <row r="19" spans="1:13">
      <c r="B19" s="5" t="s">
        <v>87</v>
      </c>
    </row>
    <row r="20" spans="1:13" ht="16">
      <c r="A20" s="52" t="s">
        <v>132</v>
      </c>
      <c r="B20" s="52"/>
      <c r="C20" s="53"/>
      <c r="D20" s="53"/>
      <c r="E20" s="53"/>
      <c r="F20" s="53"/>
      <c r="G20" s="53"/>
      <c r="H20" s="53"/>
      <c r="I20" s="53"/>
      <c r="J20" s="53"/>
    </row>
    <row r="21" spans="1:13">
      <c r="A21" s="10" t="s">
        <v>86</v>
      </c>
      <c r="B21" s="9" t="s">
        <v>228</v>
      </c>
      <c r="C21" s="9" t="s">
        <v>229</v>
      </c>
      <c r="D21" s="9" t="s">
        <v>230</v>
      </c>
      <c r="E21" s="9" t="s">
        <v>495</v>
      </c>
      <c r="F21" s="9" t="s">
        <v>231</v>
      </c>
      <c r="G21" s="20" t="s">
        <v>58</v>
      </c>
      <c r="H21" s="20" t="s">
        <v>175</v>
      </c>
      <c r="I21" s="21" t="s">
        <v>232</v>
      </c>
      <c r="J21" s="10"/>
      <c r="K21" s="10" t="str">
        <f>"175,0"</f>
        <v>175,0</v>
      </c>
      <c r="L21" s="10" t="str">
        <f>"118,4575"</f>
        <v>118,4575</v>
      </c>
      <c r="M21" s="9" t="s">
        <v>233</v>
      </c>
    </row>
    <row r="22" spans="1:13">
      <c r="A22" s="25" t="s">
        <v>86</v>
      </c>
      <c r="B22" s="24" t="s">
        <v>228</v>
      </c>
      <c r="C22" s="24" t="s">
        <v>234</v>
      </c>
      <c r="D22" s="24" t="s">
        <v>230</v>
      </c>
      <c r="E22" s="24" t="s">
        <v>492</v>
      </c>
      <c r="F22" s="24" t="s">
        <v>231</v>
      </c>
      <c r="G22" s="26" t="s">
        <v>58</v>
      </c>
      <c r="H22" s="26" t="s">
        <v>175</v>
      </c>
      <c r="I22" s="27" t="s">
        <v>232</v>
      </c>
      <c r="J22" s="25"/>
      <c r="K22" s="25" t="str">
        <f>"175,0"</f>
        <v>175,0</v>
      </c>
      <c r="L22" s="25" t="str">
        <f>"118,4575"</f>
        <v>118,4575</v>
      </c>
      <c r="M22" s="24" t="s">
        <v>233</v>
      </c>
    </row>
    <row r="23" spans="1:13">
      <c r="A23" s="12" t="s">
        <v>86</v>
      </c>
      <c r="B23" s="11" t="s">
        <v>235</v>
      </c>
      <c r="C23" s="11" t="s">
        <v>236</v>
      </c>
      <c r="D23" s="11" t="s">
        <v>237</v>
      </c>
      <c r="E23" s="11" t="s">
        <v>496</v>
      </c>
      <c r="F23" s="11" t="s">
        <v>37</v>
      </c>
      <c r="G23" s="22" t="s">
        <v>18</v>
      </c>
      <c r="H23" s="22" t="s">
        <v>19</v>
      </c>
      <c r="I23" s="23" t="s">
        <v>19</v>
      </c>
      <c r="J23" s="12"/>
      <c r="K23" s="12" t="str">
        <f>"125,0"</f>
        <v>125,0</v>
      </c>
      <c r="L23" s="12" t="str">
        <f>"99,8415"</f>
        <v>99,8415</v>
      </c>
      <c r="M23" s="11"/>
    </row>
    <row r="24" spans="1:13">
      <c r="B24" s="5" t="s">
        <v>87</v>
      </c>
    </row>
    <row r="25" spans="1:13" ht="16">
      <c r="A25" s="52" t="s">
        <v>10</v>
      </c>
      <c r="B25" s="52"/>
      <c r="C25" s="53"/>
      <c r="D25" s="53"/>
      <c r="E25" s="53"/>
      <c r="F25" s="53"/>
      <c r="G25" s="53"/>
      <c r="H25" s="53"/>
      <c r="I25" s="53"/>
      <c r="J25" s="53"/>
    </row>
    <row r="26" spans="1:13">
      <c r="A26" s="10" t="s">
        <v>86</v>
      </c>
      <c r="B26" s="9" t="s">
        <v>238</v>
      </c>
      <c r="C26" s="9" t="s">
        <v>239</v>
      </c>
      <c r="D26" s="9" t="s">
        <v>240</v>
      </c>
      <c r="E26" s="9" t="s">
        <v>495</v>
      </c>
      <c r="F26" s="9" t="s">
        <v>37</v>
      </c>
      <c r="G26" s="20" t="s">
        <v>241</v>
      </c>
      <c r="H26" s="21" t="s">
        <v>242</v>
      </c>
      <c r="I26" s="21" t="s">
        <v>242</v>
      </c>
      <c r="J26" s="10"/>
      <c r="K26" s="10" t="str">
        <f>"147,5"</f>
        <v>147,5</v>
      </c>
      <c r="L26" s="10" t="str">
        <f>"95,6832"</f>
        <v>95,6832</v>
      </c>
      <c r="M26" s="9" t="s">
        <v>243</v>
      </c>
    </row>
    <row r="27" spans="1:13">
      <c r="A27" s="25" t="s">
        <v>86</v>
      </c>
      <c r="B27" s="24" t="s">
        <v>244</v>
      </c>
      <c r="C27" s="24" t="s">
        <v>245</v>
      </c>
      <c r="D27" s="24" t="s">
        <v>246</v>
      </c>
      <c r="E27" s="24" t="s">
        <v>492</v>
      </c>
      <c r="F27" s="24" t="s">
        <v>37</v>
      </c>
      <c r="G27" s="26" t="s">
        <v>195</v>
      </c>
      <c r="H27" s="26" t="s">
        <v>179</v>
      </c>
      <c r="I27" s="27" t="s">
        <v>67</v>
      </c>
      <c r="J27" s="25"/>
      <c r="K27" s="25" t="str">
        <f>"185,0"</f>
        <v>185,0</v>
      </c>
      <c r="L27" s="25" t="str">
        <f>"120,3795"</f>
        <v>120,3795</v>
      </c>
      <c r="M27" s="24" t="s">
        <v>247</v>
      </c>
    </row>
    <row r="28" spans="1:13">
      <c r="A28" s="25" t="s">
        <v>88</v>
      </c>
      <c r="B28" s="24" t="s">
        <v>248</v>
      </c>
      <c r="C28" s="24" t="s">
        <v>249</v>
      </c>
      <c r="D28" s="24" t="s">
        <v>250</v>
      </c>
      <c r="E28" s="24" t="s">
        <v>492</v>
      </c>
      <c r="F28" s="24" t="s">
        <v>37</v>
      </c>
      <c r="G28" s="26" t="s">
        <v>58</v>
      </c>
      <c r="H28" s="26" t="s">
        <v>175</v>
      </c>
      <c r="I28" s="26" t="s">
        <v>195</v>
      </c>
      <c r="J28" s="25"/>
      <c r="K28" s="25" t="str">
        <f>"180,0"</f>
        <v>180,0</v>
      </c>
      <c r="L28" s="25" t="str">
        <f>"115,5060"</f>
        <v>115,5060</v>
      </c>
      <c r="M28" s="24" t="s">
        <v>251</v>
      </c>
    </row>
    <row r="29" spans="1:13">
      <c r="A29" s="12" t="s">
        <v>86</v>
      </c>
      <c r="B29" s="11" t="s">
        <v>252</v>
      </c>
      <c r="C29" s="11" t="s">
        <v>253</v>
      </c>
      <c r="D29" s="11" t="s">
        <v>254</v>
      </c>
      <c r="E29" s="11" t="s">
        <v>497</v>
      </c>
      <c r="F29" s="11" t="s">
        <v>255</v>
      </c>
      <c r="G29" s="23" t="s">
        <v>114</v>
      </c>
      <c r="H29" s="23" t="s">
        <v>121</v>
      </c>
      <c r="I29" s="23" t="s">
        <v>94</v>
      </c>
      <c r="J29" s="12"/>
      <c r="K29" s="12" t="str">
        <f>"105,0"</f>
        <v>105,0</v>
      </c>
      <c r="L29" s="12" t="str">
        <f>"95,5181"</f>
        <v>95,5181</v>
      </c>
      <c r="M29" s="11"/>
    </row>
    <row r="30" spans="1:13">
      <c r="B30" s="5" t="s">
        <v>87</v>
      </c>
    </row>
    <row r="31" spans="1:13" ht="16">
      <c r="A31" s="52" t="s">
        <v>22</v>
      </c>
      <c r="B31" s="52"/>
      <c r="C31" s="53"/>
      <c r="D31" s="53"/>
      <c r="E31" s="53"/>
      <c r="F31" s="53"/>
      <c r="G31" s="53"/>
      <c r="H31" s="53"/>
      <c r="I31" s="53"/>
      <c r="J31" s="53"/>
    </row>
    <row r="32" spans="1:13">
      <c r="A32" s="10" t="s">
        <v>86</v>
      </c>
      <c r="B32" s="9" t="s">
        <v>256</v>
      </c>
      <c r="C32" s="9" t="s">
        <v>257</v>
      </c>
      <c r="D32" s="9" t="s">
        <v>258</v>
      </c>
      <c r="E32" s="9" t="s">
        <v>493</v>
      </c>
      <c r="F32" s="9" t="s">
        <v>400</v>
      </c>
      <c r="G32" s="20" t="s">
        <v>18</v>
      </c>
      <c r="H32" s="20" t="s">
        <v>19</v>
      </c>
      <c r="I32" s="21" t="s">
        <v>135</v>
      </c>
      <c r="J32" s="10"/>
      <c r="K32" s="10" t="str">
        <f>"125,0"</f>
        <v>125,0</v>
      </c>
      <c r="L32" s="10" t="str">
        <f>"76,4500"</f>
        <v>76,4500</v>
      </c>
      <c r="M32" s="9" t="s">
        <v>259</v>
      </c>
    </row>
    <row r="33" spans="1:13">
      <c r="A33" s="25" t="s">
        <v>86</v>
      </c>
      <c r="B33" s="24" t="s">
        <v>260</v>
      </c>
      <c r="C33" s="24" t="s">
        <v>261</v>
      </c>
      <c r="D33" s="24" t="s">
        <v>262</v>
      </c>
      <c r="E33" s="24" t="s">
        <v>492</v>
      </c>
      <c r="F33" s="24" t="s">
        <v>37</v>
      </c>
      <c r="G33" s="26" t="s">
        <v>51</v>
      </c>
      <c r="H33" s="26" t="s">
        <v>15</v>
      </c>
      <c r="I33" s="27" t="s">
        <v>16</v>
      </c>
      <c r="J33" s="25"/>
      <c r="K33" s="25" t="str">
        <f>"210,0"</f>
        <v>210,0</v>
      </c>
      <c r="L33" s="25" t="str">
        <f>"128,5830"</f>
        <v>128,5830</v>
      </c>
      <c r="M33" s="24" t="s">
        <v>109</v>
      </c>
    </row>
    <row r="34" spans="1:13">
      <c r="A34" s="25" t="s">
        <v>88</v>
      </c>
      <c r="B34" s="24" t="s">
        <v>263</v>
      </c>
      <c r="C34" s="24" t="s">
        <v>264</v>
      </c>
      <c r="D34" s="24" t="s">
        <v>265</v>
      </c>
      <c r="E34" s="24" t="s">
        <v>492</v>
      </c>
      <c r="F34" s="24" t="s">
        <v>37</v>
      </c>
      <c r="G34" s="27" t="s">
        <v>31</v>
      </c>
      <c r="H34" s="26" t="s">
        <v>31</v>
      </c>
      <c r="I34" s="26" t="s">
        <v>266</v>
      </c>
      <c r="J34" s="25"/>
      <c r="K34" s="25" t="str">
        <f>"167,5"</f>
        <v>167,5</v>
      </c>
      <c r="L34" s="25" t="str">
        <f>"102,2253"</f>
        <v>102,2253</v>
      </c>
      <c r="M34" s="24"/>
    </row>
    <row r="35" spans="1:13">
      <c r="A35" s="12" t="s">
        <v>277</v>
      </c>
      <c r="B35" s="11" t="s">
        <v>267</v>
      </c>
      <c r="C35" s="11" t="s">
        <v>268</v>
      </c>
      <c r="D35" s="11" t="s">
        <v>269</v>
      </c>
      <c r="E35" s="11" t="s">
        <v>492</v>
      </c>
      <c r="F35" s="11" t="s">
        <v>37</v>
      </c>
      <c r="G35" s="23" t="s">
        <v>270</v>
      </c>
      <c r="H35" s="23" t="s">
        <v>31</v>
      </c>
      <c r="I35" s="22" t="s">
        <v>166</v>
      </c>
      <c r="J35" s="12"/>
      <c r="K35" s="12" t="str">
        <f>"160,0"</f>
        <v>160,0</v>
      </c>
      <c r="L35" s="12" t="str">
        <f>"97,6160"</f>
        <v>97,6160</v>
      </c>
      <c r="M35" s="11"/>
    </row>
    <row r="36" spans="1:13">
      <c r="B36" s="5" t="s">
        <v>87</v>
      </c>
    </row>
    <row r="37" spans="1:13" ht="16">
      <c r="A37" s="52" t="s">
        <v>44</v>
      </c>
      <c r="B37" s="52"/>
      <c r="C37" s="53"/>
      <c r="D37" s="53"/>
      <c r="E37" s="53"/>
      <c r="F37" s="53"/>
      <c r="G37" s="53"/>
      <c r="H37" s="53"/>
      <c r="I37" s="53"/>
      <c r="J37" s="53"/>
    </row>
    <row r="38" spans="1:13">
      <c r="A38" s="8" t="s">
        <v>86</v>
      </c>
      <c r="B38" s="7" t="s">
        <v>271</v>
      </c>
      <c r="C38" s="7" t="s">
        <v>272</v>
      </c>
      <c r="D38" s="7" t="s">
        <v>273</v>
      </c>
      <c r="E38" s="7" t="s">
        <v>492</v>
      </c>
      <c r="F38" s="7" t="s">
        <v>37</v>
      </c>
      <c r="G38" s="19" t="s">
        <v>130</v>
      </c>
      <c r="H38" s="19" t="s">
        <v>270</v>
      </c>
      <c r="I38" s="18" t="s">
        <v>31</v>
      </c>
      <c r="J38" s="8"/>
      <c r="K38" s="8" t="str">
        <f>"150,0"</f>
        <v>150,0</v>
      </c>
      <c r="L38" s="8" t="str">
        <f>"88,6350"</f>
        <v>88,6350</v>
      </c>
      <c r="M38" s="7" t="s">
        <v>213</v>
      </c>
    </row>
    <row r="39" spans="1:13">
      <c r="B39" s="5" t="s">
        <v>87</v>
      </c>
    </row>
    <row r="40" spans="1:13">
      <c r="B40" s="5" t="s">
        <v>87</v>
      </c>
    </row>
    <row r="41" spans="1:13">
      <c r="B41" s="5" t="s">
        <v>87</v>
      </c>
    </row>
    <row r="42" spans="1:13" ht="18">
      <c r="B42" s="13" t="s">
        <v>70</v>
      </c>
      <c r="C42" s="13"/>
    </row>
    <row r="43" spans="1:13" ht="16">
      <c r="B43" s="14" t="s">
        <v>71</v>
      </c>
      <c r="C43" s="14"/>
    </row>
    <row r="44" spans="1:13" ht="14">
      <c r="B44" s="15"/>
      <c r="C44" s="16" t="s">
        <v>72</v>
      </c>
    </row>
    <row r="45" spans="1:13" ht="14">
      <c r="B45" s="17" t="s">
        <v>73</v>
      </c>
      <c r="C45" s="17" t="s">
        <v>74</v>
      </c>
      <c r="D45" s="17" t="s">
        <v>483</v>
      </c>
      <c r="E45" s="17" t="s">
        <v>201</v>
      </c>
      <c r="F45" s="17" t="s">
        <v>76</v>
      </c>
    </row>
    <row r="46" spans="1:13">
      <c r="B46" s="5" t="s">
        <v>260</v>
      </c>
      <c r="C46" s="5" t="s">
        <v>72</v>
      </c>
      <c r="D46" s="6" t="s">
        <v>83</v>
      </c>
      <c r="E46" s="6" t="s">
        <v>15</v>
      </c>
      <c r="F46" s="6" t="s">
        <v>275</v>
      </c>
    </row>
    <row r="47" spans="1:13">
      <c r="B47" s="5" t="s">
        <v>244</v>
      </c>
      <c r="C47" s="5" t="s">
        <v>72</v>
      </c>
      <c r="D47" s="6" t="s">
        <v>190</v>
      </c>
      <c r="E47" s="6" t="s">
        <v>179</v>
      </c>
      <c r="F47" s="6" t="s">
        <v>276</v>
      </c>
    </row>
    <row r="48" spans="1:13">
      <c r="B48" s="5" t="s">
        <v>228</v>
      </c>
      <c r="C48" s="5" t="s">
        <v>72</v>
      </c>
      <c r="D48" s="6" t="s">
        <v>136</v>
      </c>
      <c r="E48" s="6" t="s">
        <v>175</v>
      </c>
      <c r="F48" s="6" t="s">
        <v>274</v>
      </c>
    </row>
    <row r="49" spans="2:2">
      <c r="B49" s="5" t="s">
        <v>87</v>
      </c>
    </row>
    <row r="50" spans="2:2">
      <c r="B50" s="5" t="s">
        <v>87</v>
      </c>
    </row>
  </sheetData>
  <mergeCells count="19">
    <mergeCell ref="A37:J37"/>
    <mergeCell ref="B3:B4"/>
    <mergeCell ref="A8:J8"/>
    <mergeCell ref="A11:J11"/>
    <mergeCell ref="A14:J14"/>
    <mergeCell ref="A20:J20"/>
    <mergeCell ref="A25:J25"/>
    <mergeCell ref="A31:J31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2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332031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0.8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5.5" style="5" bestFit="1" customWidth="1"/>
    <col min="14" max="16384" width="9.1640625" style="3"/>
  </cols>
  <sheetData>
    <row r="1" spans="1:13" s="2" customFormat="1" ht="29" customHeight="1">
      <c r="A1" s="41" t="s">
        <v>474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489</v>
      </c>
      <c r="B3" s="54" t="s">
        <v>0</v>
      </c>
      <c r="C3" s="51" t="s">
        <v>490</v>
      </c>
      <c r="D3" s="51" t="s">
        <v>6</v>
      </c>
      <c r="E3" s="35" t="s">
        <v>491</v>
      </c>
      <c r="F3" s="35" t="s">
        <v>5</v>
      </c>
      <c r="G3" s="35" t="s">
        <v>8</v>
      </c>
      <c r="H3" s="35"/>
      <c r="I3" s="35"/>
      <c r="J3" s="35"/>
      <c r="K3" s="35" t="s">
        <v>202</v>
      </c>
      <c r="L3" s="35" t="s">
        <v>3</v>
      </c>
      <c r="M3" s="37" t="s">
        <v>2</v>
      </c>
    </row>
    <row r="4" spans="1:13" s="1" customFormat="1" ht="21" customHeight="1" thickBot="1">
      <c r="A4" s="50"/>
      <c r="B4" s="55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117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8" t="s">
        <v>86</v>
      </c>
      <c r="B6" s="7" t="s">
        <v>370</v>
      </c>
      <c r="C6" s="7" t="s">
        <v>371</v>
      </c>
      <c r="D6" s="7" t="s">
        <v>372</v>
      </c>
      <c r="E6" s="7" t="s">
        <v>493</v>
      </c>
      <c r="F6" s="7" t="s">
        <v>37</v>
      </c>
      <c r="G6" s="19" t="s">
        <v>18</v>
      </c>
      <c r="H6" s="18" t="s">
        <v>19</v>
      </c>
      <c r="I6" s="19" t="s">
        <v>19</v>
      </c>
      <c r="J6" s="8"/>
      <c r="K6" s="8" t="str">
        <f>"125,0"</f>
        <v>125,0</v>
      </c>
      <c r="L6" s="8" t="str">
        <f>"96,4650"</f>
        <v>96,4650</v>
      </c>
      <c r="M6" s="7" t="s">
        <v>485</v>
      </c>
    </row>
    <row r="7" spans="1:13">
      <c r="B7" s="5" t="s">
        <v>87</v>
      </c>
    </row>
    <row r="8" spans="1:13" ht="16">
      <c r="A8" s="52" t="s">
        <v>10</v>
      </c>
      <c r="B8" s="52"/>
      <c r="C8" s="53"/>
      <c r="D8" s="53"/>
      <c r="E8" s="53"/>
      <c r="F8" s="53"/>
      <c r="G8" s="53"/>
      <c r="H8" s="53"/>
      <c r="I8" s="53"/>
      <c r="J8" s="53"/>
    </row>
    <row r="9" spans="1:13">
      <c r="A9" s="10" t="s">
        <v>86</v>
      </c>
      <c r="B9" s="9" t="s">
        <v>373</v>
      </c>
      <c r="C9" s="9" t="s">
        <v>374</v>
      </c>
      <c r="D9" s="9" t="s">
        <v>330</v>
      </c>
      <c r="E9" s="9" t="s">
        <v>492</v>
      </c>
      <c r="F9" s="9" t="s">
        <v>37</v>
      </c>
      <c r="G9" s="20" t="s">
        <v>166</v>
      </c>
      <c r="H9" s="21" t="s">
        <v>375</v>
      </c>
      <c r="I9" s="21" t="s">
        <v>375</v>
      </c>
      <c r="J9" s="10"/>
      <c r="K9" s="10" t="str">
        <f>"170,0"</f>
        <v>170,0</v>
      </c>
      <c r="L9" s="10" t="str">
        <f>"104,4055"</f>
        <v>104,4055</v>
      </c>
      <c r="M9" s="9"/>
    </row>
    <row r="10" spans="1:13">
      <c r="A10" s="12" t="s">
        <v>86</v>
      </c>
      <c r="B10" s="11" t="s">
        <v>376</v>
      </c>
      <c r="C10" s="11" t="s">
        <v>377</v>
      </c>
      <c r="D10" s="11" t="s">
        <v>333</v>
      </c>
      <c r="E10" s="11" t="s">
        <v>497</v>
      </c>
      <c r="F10" s="11" t="s">
        <v>37</v>
      </c>
      <c r="G10" s="23" t="s">
        <v>195</v>
      </c>
      <c r="H10" s="22" t="s">
        <v>375</v>
      </c>
      <c r="I10" s="23" t="s">
        <v>375</v>
      </c>
      <c r="J10" s="12"/>
      <c r="K10" s="12" t="str">
        <f>"187,5"</f>
        <v>187,5</v>
      </c>
      <c r="L10" s="12" t="str">
        <f>"186,0908"</f>
        <v>186,0908</v>
      </c>
      <c r="M10" s="11"/>
    </row>
    <row r="11" spans="1:13">
      <c r="B11" s="5" t="s">
        <v>87</v>
      </c>
    </row>
    <row r="12" spans="1:13">
      <c r="B12" s="5" t="s">
        <v>87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1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832031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0.8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5.5" style="5" bestFit="1" customWidth="1"/>
    <col min="14" max="16384" width="9.1640625" style="3"/>
  </cols>
  <sheetData>
    <row r="1" spans="1:13" s="2" customFormat="1" ht="29" customHeight="1">
      <c r="A1" s="41" t="s">
        <v>475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489</v>
      </c>
      <c r="B3" s="54" t="s">
        <v>0</v>
      </c>
      <c r="C3" s="51" t="s">
        <v>490</v>
      </c>
      <c r="D3" s="51" t="s">
        <v>6</v>
      </c>
      <c r="E3" s="35" t="s">
        <v>491</v>
      </c>
      <c r="F3" s="35" t="s">
        <v>5</v>
      </c>
      <c r="G3" s="35" t="s">
        <v>8</v>
      </c>
      <c r="H3" s="35"/>
      <c r="I3" s="35"/>
      <c r="J3" s="35"/>
      <c r="K3" s="35" t="s">
        <v>202</v>
      </c>
      <c r="L3" s="35" t="s">
        <v>3</v>
      </c>
      <c r="M3" s="37" t="s">
        <v>2</v>
      </c>
    </row>
    <row r="4" spans="1:13" s="1" customFormat="1" ht="21" customHeight="1" thickBot="1">
      <c r="A4" s="50"/>
      <c r="B4" s="55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124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8" t="s">
        <v>86</v>
      </c>
      <c r="B6" s="7" t="s">
        <v>192</v>
      </c>
      <c r="C6" s="7" t="s">
        <v>193</v>
      </c>
      <c r="D6" s="7" t="s">
        <v>194</v>
      </c>
      <c r="E6" s="7" t="s">
        <v>492</v>
      </c>
      <c r="F6" s="7" t="s">
        <v>37</v>
      </c>
      <c r="G6" s="19" t="s">
        <v>195</v>
      </c>
      <c r="H6" s="19" t="s">
        <v>179</v>
      </c>
      <c r="I6" s="19" t="s">
        <v>196</v>
      </c>
      <c r="J6" s="8"/>
      <c r="K6" s="8" t="str">
        <f>"195,0"</f>
        <v>195,0</v>
      </c>
      <c r="L6" s="8" t="str">
        <f>"134,7304"</f>
        <v>134,7304</v>
      </c>
      <c r="M6" s="7"/>
    </row>
    <row r="7" spans="1:13">
      <c r="B7" s="5" t="s">
        <v>87</v>
      </c>
    </row>
    <row r="8" spans="1:13" ht="16">
      <c r="A8" s="52" t="s">
        <v>10</v>
      </c>
      <c r="B8" s="52"/>
      <c r="C8" s="53"/>
      <c r="D8" s="53"/>
      <c r="E8" s="53"/>
      <c r="F8" s="53"/>
      <c r="G8" s="53"/>
      <c r="H8" s="53"/>
      <c r="I8" s="53"/>
      <c r="J8" s="53"/>
    </row>
    <row r="9" spans="1:13">
      <c r="A9" s="8" t="s">
        <v>86</v>
      </c>
      <c r="B9" s="7" t="s">
        <v>197</v>
      </c>
      <c r="C9" s="7" t="s">
        <v>198</v>
      </c>
      <c r="D9" s="7" t="s">
        <v>199</v>
      </c>
      <c r="E9" s="7" t="s">
        <v>492</v>
      </c>
      <c r="F9" s="7" t="s">
        <v>200</v>
      </c>
      <c r="G9" s="19" t="s">
        <v>195</v>
      </c>
      <c r="H9" s="19" t="s">
        <v>38</v>
      </c>
      <c r="I9" s="19" t="s">
        <v>15</v>
      </c>
      <c r="J9" s="8"/>
      <c r="K9" s="8" t="str">
        <f>"210,0"</f>
        <v>210,0</v>
      </c>
      <c r="L9" s="8" t="str">
        <f>"129,5385"</f>
        <v>129,5385</v>
      </c>
      <c r="M9" s="7"/>
    </row>
    <row r="10" spans="1:13">
      <c r="B10" s="5" t="s">
        <v>87</v>
      </c>
    </row>
    <row r="11" spans="1:13">
      <c r="B11" s="5" t="s">
        <v>87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WRPF ПЛ без экипировки ДК</vt:lpstr>
      <vt:lpstr>WRPF ПЛ без экипировки</vt:lpstr>
      <vt:lpstr>WRPF ПЛ в бинтах ДК</vt:lpstr>
      <vt:lpstr>WRPF ПЛ в бинтах</vt:lpstr>
      <vt:lpstr>WRPF Двоеборье без экип ДК</vt:lpstr>
      <vt:lpstr>WRPF Жим лежа без экип ДК</vt:lpstr>
      <vt:lpstr>WRPF Жим лежа без экип</vt:lpstr>
      <vt:lpstr>WEPF Жим софт однопетельная ДК</vt:lpstr>
      <vt:lpstr>WEPF Жим софт однопетельная</vt:lpstr>
      <vt:lpstr>WEPF Жим софт многопетельнаяДК</vt:lpstr>
      <vt:lpstr>WEPF Жим софт многопетельная</vt:lpstr>
      <vt:lpstr>WRPF Жим СФО</vt:lpstr>
      <vt:lpstr>WRPF Тяга без экипировки ДК</vt:lpstr>
      <vt:lpstr>WRPF Тяга без экипировки</vt:lpstr>
      <vt:lpstr>WEPF Тяга экип ДК</vt:lpstr>
      <vt:lpstr>WRPF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2020-10-19T18:09:07Z</dcterms:modified>
</cp:coreProperties>
</file>