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ekaterinaseveleva/Documents/СПР/Протоколы/2020/Октябрь/"/>
    </mc:Choice>
  </mc:AlternateContent>
  <xr:revisionPtr revIDLastSave="0" documentId="13_ncr:1_{C5B378BD-093D-B749-AD7D-3CB0592B39D9}" xr6:coauthVersionLast="45" xr6:coauthVersionMax="45" xr10:uidLastSave="{00000000-0000-0000-0000-000000000000}"/>
  <bookViews>
    <workbookView xWindow="0" yWindow="460" windowWidth="28800" windowHeight="16240" activeTab="7" xr2:uid="{00000000-000D-0000-FFFF-FFFF00000000}"/>
  </bookViews>
  <sheets>
    <sheet name="IPL ПЛ без экипировки ДК" sheetId="6" r:id="rId1"/>
    <sheet name="IPL ПЛ без экипировки" sheetId="5" r:id="rId2"/>
    <sheet name="IPL Двоеборье без экип ДК" sheetId="12" r:id="rId3"/>
    <sheet name="IPL Двоеборье без экип" sheetId="11" r:id="rId4"/>
    <sheet name="IPL Жим без экипировки ДК" sheetId="8" r:id="rId5"/>
    <sheet name="IPL Жим без экипировки" sheetId="7" r:id="rId6"/>
    <sheet name="IPL Тяга без экипировки ДК" sheetId="10" r:id="rId7"/>
    <sheet name="IPL Тяга без экипировки" sheetId="9" r:id="rId8"/>
  </sheets>
  <definedNames>
    <definedName name="_FilterDatabase" localSheetId="1" hidden="1">'IPL ПЛ без экипировки'!$B$1:$S$3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3" i="12" l="1"/>
  <c r="O13" i="12"/>
  <c r="P12" i="12"/>
  <c r="O12" i="12"/>
  <c r="P9" i="12"/>
  <c r="O9" i="12"/>
  <c r="P6" i="12"/>
  <c r="O6" i="12"/>
  <c r="P12" i="11"/>
  <c r="O12" i="11"/>
  <c r="P9" i="11"/>
  <c r="O9" i="11"/>
  <c r="P6" i="11"/>
  <c r="O6" i="11"/>
  <c r="L26" i="10"/>
  <c r="K26" i="10"/>
  <c r="L23" i="10"/>
  <c r="K23" i="10"/>
  <c r="L20" i="10"/>
  <c r="K20" i="10"/>
  <c r="L17" i="10"/>
  <c r="K17" i="10"/>
  <c r="L14" i="10"/>
  <c r="K14" i="10"/>
  <c r="L13" i="10"/>
  <c r="K13" i="10"/>
  <c r="L10" i="10"/>
  <c r="K10" i="10"/>
  <c r="L9" i="10"/>
  <c r="K9" i="10"/>
  <c r="L6" i="10"/>
  <c r="K6" i="10"/>
  <c r="L32" i="9"/>
  <c r="K32" i="9"/>
  <c r="L31" i="9"/>
  <c r="K31" i="9"/>
  <c r="L30" i="9"/>
  <c r="K30" i="9"/>
  <c r="L29" i="9"/>
  <c r="K29" i="9"/>
  <c r="L26" i="9"/>
  <c r="K26" i="9"/>
  <c r="L25" i="9"/>
  <c r="K25" i="9"/>
  <c r="L22" i="9"/>
  <c r="K22" i="9"/>
  <c r="L21" i="9"/>
  <c r="K21" i="9"/>
  <c r="L20" i="9"/>
  <c r="K20" i="9"/>
  <c r="L17" i="9"/>
  <c r="K17" i="9"/>
  <c r="L16" i="9"/>
  <c r="K16" i="9"/>
  <c r="L13" i="9"/>
  <c r="K13" i="9"/>
  <c r="L12" i="9"/>
  <c r="K12" i="9"/>
  <c r="L9" i="9"/>
  <c r="K9" i="9"/>
  <c r="L6" i="9"/>
  <c r="K6" i="9"/>
  <c r="L24" i="8"/>
  <c r="K24" i="8"/>
  <c r="L21" i="8"/>
  <c r="K21" i="8"/>
  <c r="L20" i="8"/>
  <c r="K20" i="8"/>
  <c r="L19" i="8"/>
  <c r="K19" i="8"/>
  <c r="L16" i="8"/>
  <c r="K16" i="8"/>
  <c r="L15" i="8"/>
  <c r="K15" i="8"/>
  <c r="L12" i="8"/>
  <c r="K12" i="8"/>
  <c r="L9" i="8"/>
  <c r="K9" i="8"/>
  <c r="L6" i="8"/>
  <c r="K6" i="8"/>
  <c r="L38" i="7"/>
  <c r="K38" i="7"/>
  <c r="L37" i="7"/>
  <c r="K37" i="7"/>
  <c r="L34" i="7"/>
  <c r="K34" i="7"/>
  <c r="L33" i="7"/>
  <c r="K33" i="7"/>
  <c r="L32" i="7"/>
  <c r="K32" i="7"/>
  <c r="L29" i="7"/>
  <c r="K29" i="7"/>
  <c r="L28" i="7"/>
  <c r="K28" i="7"/>
  <c r="L25" i="7"/>
  <c r="K25" i="7"/>
  <c r="L24" i="7"/>
  <c r="K24" i="7"/>
  <c r="L23" i="7"/>
  <c r="K23" i="7"/>
  <c r="L22" i="7"/>
  <c r="K22" i="7"/>
  <c r="L19" i="7"/>
  <c r="K19" i="7"/>
  <c r="L18" i="7"/>
  <c r="K18" i="7"/>
  <c r="L15" i="7"/>
  <c r="K15" i="7"/>
  <c r="L14" i="7"/>
  <c r="K14" i="7"/>
  <c r="L11" i="7"/>
  <c r="K11" i="7"/>
  <c r="L10" i="7"/>
  <c r="K10" i="7"/>
  <c r="L9" i="7"/>
  <c r="K9" i="7"/>
  <c r="L6" i="7"/>
  <c r="K6" i="7"/>
  <c r="T31" i="6"/>
  <c r="S31" i="6"/>
  <c r="T30" i="6"/>
  <c r="S30" i="6"/>
  <c r="T27" i="6"/>
  <c r="S27" i="6"/>
  <c r="T26" i="6"/>
  <c r="S26" i="6"/>
  <c r="T23" i="6"/>
  <c r="S23" i="6"/>
  <c r="T20" i="6"/>
  <c r="T17" i="6"/>
  <c r="S17" i="6"/>
  <c r="T16" i="6"/>
  <c r="S16" i="6"/>
  <c r="T13" i="6"/>
  <c r="S13" i="6"/>
  <c r="T12" i="6"/>
  <c r="S12" i="6"/>
  <c r="T9" i="6"/>
  <c r="S9" i="6"/>
  <c r="T6" i="6"/>
  <c r="S6" i="6"/>
  <c r="T26" i="5"/>
  <c r="S26" i="5"/>
  <c r="T23" i="5"/>
  <c r="S23" i="5"/>
  <c r="T20" i="5"/>
  <c r="S20" i="5"/>
  <c r="T19" i="5"/>
  <c r="S19" i="5"/>
  <c r="T16" i="5"/>
  <c r="S16" i="5"/>
  <c r="T13" i="5"/>
  <c r="S13" i="5"/>
  <c r="T12" i="5"/>
  <c r="S12" i="5"/>
  <c r="T9" i="5"/>
  <c r="S9" i="5"/>
  <c r="T6" i="5"/>
  <c r="S6" i="5"/>
</calcChain>
</file>

<file path=xl/sharedStrings.xml><?xml version="1.0" encoding="utf-8"?>
<sst xmlns="http://schemas.openxmlformats.org/spreadsheetml/2006/main" count="1053" uniqueCount="327">
  <si>
    <t>ФИО</t>
  </si>
  <si>
    <t>Сумма</t>
  </si>
  <si>
    <t>Тренер</t>
  </si>
  <si>
    <t>Очки</t>
  </si>
  <si>
    <t>Рек</t>
  </si>
  <si>
    <t>Город/Область</t>
  </si>
  <si>
    <t>Собственный 
вес</t>
  </si>
  <si>
    <t>Приседание</t>
  </si>
  <si>
    <t>Жим лёжа</t>
  </si>
  <si>
    <t>Становая тяга</t>
  </si>
  <si>
    <t>ВЕСОВАЯ КАТЕГОРИЯ   60</t>
  </si>
  <si>
    <t>Малышев Алексей</t>
  </si>
  <si>
    <t>Юноши 15-19 (30.06.2004)/16</t>
  </si>
  <si>
    <t>56,50</t>
  </si>
  <si>
    <t xml:space="preserve">Тотьма/Вологодская область </t>
  </si>
  <si>
    <t>130,0</t>
  </si>
  <si>
    <t>140,0</t>
  </si>
  <si>
    <t>147,5</t>
  </si>
  <si>
    <t>90,0</t>
  </si>
  <si>
    <t>100,0</t>
  </si>
  <si>
    <t>107,5</t>
  </si>
  <si>
    <t>160,0</t>
  </si>
  <si>
    <t>180,0</t>
  </si>
  <si>
    <t>190,0</t>
  </si>
  <si>
    <t>ВЕСОВАЯ КАТЕГОРИЯ   67.5</t>
  </si>
  <si>
    <t>Черепанов Дмитрий</t>
  </si>
  <si>
    <t>Юноши 15-19 (02.06.2005)/15</t>
  </si>
  <si>
    <t>66,20</t>
  </si>
  <si>
    <t xml:space="preserve">Великий Устюг/Вологодская область </t>
  </si>
  <si>
    <t>110,0</t>
  </si>
  <si>
    <t>55,0</t>
  </si>
  <si>
    <t>60,0</t>
  </si>
  <si>
    <t>65,0</t>
  </si>
  <si>
    <t>105,0</t>
  </si>
  <si>
    <t>112,5</t>
  </si>
  <si>
    <t>120,0</t>
  </si>
  <si>
    <t>ВЕСОВАЯ КАТЕГОРИЯ   75</t>
  </si>
  <si>
    <t>Поджаров Иван</t>
  </si>
  <si>
    <t>Юноши 15-19 (05.08.2003)/17</t>
  </si>
  <si>
    <t>74,10</t>
  </si>
  <si>
    <t>70,0</t>
  </si>
  <si>
    <t>75,0</t>
  </si>
  <si>
    <t>82,5</t>
  </si>
  <si>
    <t>42,5</t>
  </si>
  <si>
    <t>50,0</t>
  </si>
  <si>
    <t>95,0</t>
  </si>
  <si>
    <t>Клюкин Михаил</t>
  </si>
  <si>
    <t>Юноши 15-19 (25.09.2006)/14</t>
  </si>
  <si>
    <t>74,60</t>
  </si>
  <si>
    <t>45,0</t>
  </si>
  <si>
    <t>80,0</t>
  </si>
  <si>
    <t>ВЕСОВАЯ КАТЕГОРИЯ   90</t>
  </si>
  <si>
    <t>Малышев Роман</t>
  </si>
  <si>
    <t>Открытая (20.08.1978)/42</t>
  </si>
  <si>
    <t>88,90</t>
  </si>
  <si>
    <t>205,0</t>
  </si>
  <si>
    <t>215,0</t>
  </si>
  <si>
    <t>152,5</t>
  </si>
  <si>
    <t>157,5</t>
  </si>
  <si>
    <t>220,0</t>
  </si>
  <si>
    <t>250,0</t>
  </si>
  <si>
    <t>ВЕСОВАЯ КАТЕГОРИЯ   100</t>
  </si>
  <si>
    <t>Павлов Дмитрий</t>
  </si>
  <si>
    <t>Открытая (11.06.1996)/24</t>
  </si>
  <si>
    <t>100,00</t>
  </si>
  <si>
    <t xml:space="preserve">Котлас/Архангельская область </t>
  </si>
  <si>
    <t>232,5</t>
  </si>
  <si>
    <t>252,5</t>
  </si>
  <si>
    <t>272,5</t>
  </si>
  <si>
    <t>170,0</t>
  </si>
  <si>
    <t>312,5</t>
  </si>
  <si>
    <t>330,0</t>
  </si>
  <si>
    <t>Моисеев Сергей</t>
  </si>
  <si>
    <t>96,80</t>
  </si>
  <si>
    <t>225,0</t>
  </si>
  <si>
    <t>227,5</t>
  </si>
  <si>
    <t>145,0</t>
  </si>
  <si>
    <t>150,0</t>
  </si>
  <si>
    <t>260,0</t>
  </si>
  <si>
    <t>270,0</t>
  </si>
  <si>
    <t>ВЕСОВАЯ КАТЕГОРИЯ   110</t>
  </si>
  <si>
    <t>Тропников Артём</t>
  </si>
  <si>
    <t>Открытая (01.03.1992)/28</t>
  </si>
  <si>
    <t>109,00</t>
  </si>
  <si>
    <t>240,0</t>
  </si>
  <si>
    <t>300,0</t>
  </si>
  <si>
    <t>320,0</t>
  </si>
  <si>
    <t>340,0</t>
  </si>
  <si>
    <t xml:space="preserve">Самостоятельно. </t>
  </si>
  <si>
    <t>ВЕСОВАЯ КАТЕГОРИЯ   125</t>
  </si>
  <si>
    <t>Никитчук Сергей</t>
  </si>
  <si>
    <t>Открытая (18.11.1979)/40</t>
  </si>
  <si>
    <t>114,60</t>
  </si>
  <si>
    <t>175,0</t>
  </si>
  <si>
    <t>290,0</t>
  </si>
  <si>
    <t>310,0</t>
  </si>
  <si>
    <t xml:space="preserve">Абсолютный зачёт </t>
  </si>
  <si>
    <t xml:space="preserve">Мужчины </t>
  </si>
  <si>
    <t xml:space="preserve">Юноши </t>
  </si>
  <si>
    <t xml:space="preserve">ФИО </t>
  </si>
  <si>
    <t xml:space="preserve">Возрастная группа </t>
  </si>
  <si>
    <t xml:space="preserve">Весовая </t>
  </si>
  <si>
    <t xml:space="preserve">Wilks </t>
  </si>
  <si>
    <t xml:space="preserve">Юноши 15-19 </t>
  </si>
  <si>
    <t>67.5</t>
  </si>
  <si>
    <t>200,0</t>
  </si>
  <si>
    <t xml:space="preserve">Открытая </t>
  </si>
  <si>
    <t>100</t>
  </si>
  <si>
    <t>110</t>
  </si>
  <si>
    <t>125</t>
  </si>
  <si>
    <t>ВЕСОВАЯ КАТЕГОРИЯ   52</t>
  </si>
  <si>
    <t>Полякова Наталья</t>
  </si>
  <si>
    <t>Открытая (18.07.1982)/38</t>
  </si>
  <si>
    <t>48,70</t>
  </si>
  <si>
    <t>85,0</t>
  </si>
  <si>
    <t>115,0</t>
  </si>
  <si>
    <t>125,0</t>
  </si>
  <si>
    <t>135,0</t>
  </si>
  <si>
    <t>Копосова Дарья</t>
  </si>
  <si>
    <t>Открытая (23.08.1989)/31</t>
  </si>
  <si>
    <t>57,60</t>
  </si>
  <si>
    <t>40,0</t>
  </si>
  <si>
    <t>Малых Никита</t>
  </si>
  <si>
    <t>Юноши 15-19 (17.08.2005)/15</t>
  </si>
  <si>
    <t>49,90</t>
  </si>
  <si>
    <t>62,5</t>
  </si>
  <si>
    <t>67,5</t>
  </si>
  <si>
    <t>Красавцев Никита</t>
  </si>
  <si>
    <t>Юноши 15-19 (27.06.2006)/14</t>
  </si>
  <si>
    <t>47,20</t>
  </si>
  <si>
    <t>72,5</t>
  </si>
  <si>
    <t>47,5</t>
  </si>
  <si>
    <t>52,5</t>
  </si>
  <si>
    <t>97,5</t>
  </si>
  <si>
    <t>117,5</t>
  </si>
  <si>
    <t>Дурягин Кирилл</t>
  </si>
  <si>
    <t>Юноши 15-19 (13.08.2005)/15</t>
  </si>
  <si>
    <t>60,00</t>
  </si>
  <si>
    <t>57,5</t>
  </si>
  <si>
    <t>Двойников Олег</t>
  </si>
  <si>
    <t>59,50</t>
  </si>
  <si>
    <t>77,5</t>
  </si>
  <si>
    <t>155,0</t>
  </si>
  <si>
    <t>Юноши 15-19 (05.04.2003)/17</t>
  </si>
  <si>
    <t>62,60</t>
  </si>
  <si>
    <t xml:space="preserve">Вологда/Вологодская область </t>
  </si>
  <si>
    <t>122,5</t>
  </si>
  <si>
    <t>165,0</t>
  </si>
  <si>
    <t>Конев Илья</t>
  </si>
  <si>
    <t>Юноши 15-19 (15.08.2002)/18</t>
  </si>
  <si>
    <t>75,00</t>
  </si>
  <si>
    <t xml:space="preserve">Вычегодский/Архангельская область </t>
  </si>
  <si>
    <t>ВЕСОВАЯ КАТЕГОРИЯ   82.5</t>
  </si>
  <si>
    <t>Труняков Виталий</t>
  </si>
  <si>
    <t>Юноши 15-19 (04.01.2005)/15</t>
  </si>
  <si>
    <t>81,80</t>
  </si>
  <si>
    <t>Шашерин Артём</t>
  </si>
  <si>
    <t>Открытая (08.11.1984)/35</t>
  </si>
  <si>
    <t>80,00</t>
  </si>
  <si>
    <t>210,0</t>
  </si>
  <si>
    <t>Новожилов Николай</t>
  </si>
  <si>
    <t>Открытая (19.05.1982)/38</t>
  </si>
  <si>
    <t>91,70</t>
  </si>
  <si>
    <t>132,5</t>
  </si>
  <si>
    <t>Якушевич Алексей</t>
  </si>
  <si>
    <t>Открытая (02.07.1991)/29</t>
  </si>
  <si>
    <t>95,70</t>
  </si>
  <si>
    <t>185,0</t>
  </si>
  <si>
    <t>52</t>
  </si>
  <si>
    <t>Коковина Светлана</t>
  </si>
  <si>
    <t>50,20</t>
  </si>
  <si>
    <t>Копосов Илья</t>
  </si>
  <si>
    <t>Юноши 15-19 (29.07.2003)/17</t>
  </si>
  <si>
    <t>62,10</t>
  </si>
  <si>
    <t>87,5</t>
  </si>
  <si>
    <t>Байрамов Азер</t>
  </si>
  <si>
    <t>66,00</t>
  </si>
  <si>
    <t>92,5</t>
  </si>
  <si>
    <t>Гребенщиков Михаил</t>
  </si>
  <si>
    <t>Открытая (08.12.1987)/32</t>
  </si>
  <si>
    <t>66,60</t>
  </si>
  <si>
    <t xml:space="preserve">тарногский городок/вологодская </t>
  </si>
  <si>
    <t>Вяткин Кирилл</t>
  </si>
  <si>
    <t>Юноши 15-19 (01.01.2006)/14</t>
  </si>
  <si>
    <t>73,80</t>
  </si>
  <si>
    <t>Шиловский Игорь</t>
  </si>
  <si>
    <t>Юноши 15-19 (18.08.2005)/15</t>
  </si>
  <si>
    <t>68,00</t>
  </si>
  <si>
    <t>Бураков Максим</t>
  </si>
  <si>
    <t>Юноши 15-19 (15.04.2005)/15</t>
  </si>
  <si>
    <t>80,70</t>
  </si>
  <si>
    <t>Маклаков Павел</t>
  </si>
  <si>
    <t>Юноши 15-19 (26.09.2005)/15</t>
  </si>
  <si>
    <t>76,30</t>
  </si>
  <si>
    <t>Чебыкин Андрей</t>
  </si>
  <si>
    <t>Открытая (26.03.1976)/44</t>
  </si>
  <si>
    <t>Канин Михаил</t>
  </si>
  <si>
    <t>93,70</t>
  </si>
  <si>
    <t>Максимов Алексей</t>
  </si>
  <si>
    <t>Открытая (12.04.1988)/32</t>
  </si>
  <si>
    <t>109,30</t>
  </si>
  <si>
    <t>Бреховских Игорь</t>
  </si>
  <si>
    <t>104,10</t>
  </si>
  <si>
    <t>142,5</t>
  </si>
  <si>
    <t>Суров Эдуард</t>
  </si>
  <si>
    <t>Открытая (30.09.1976)/44</t>
  </si>
  <si>
    <t>118,90</t>
  </si>
  <si>
    <t>202,5</t>
  </si>
  <si>
    <t>ВЕСОВАЯ КАТЕГОРИЯ   140</t>
  </si>
  <si>
    <t>Евстифеев Андрей</t>
  </si>
  <si>
    <t>Открытая (17.04.1970)/50</t>
  </si>
  <si>
    <t>125,10</t>
  </si>
  <si>
    <t xml:space="preserve">Результат </t>
  </si>
  <si>
    <t>126,7855</t>
  </si>
  <si>
    <t>121,0020</t>
  </si>
  <si>
    <t>115,6340</t>
  </si>
  <si>
    <t>Результат</t>
  </si>
  <si>
    <t>ВЕСОВАЯ КАТЕГОРИЯ   48</t>
  </si>
  <si>
    <t>Нелаева Анастасия</t>
  </si>
  <si>
    <t>Девушки 15-19 (24.01.2005)/15</t>
  </si>
  <si>
    <t>46,30</t>
  </si>
  <si>
    <t>25,0</t>
  </si>
  <si>
    <t>30,0</t>
  </si>
  <si>
    <t>35,0</t>
  </si>
  <si>
    <t>Айвазян Вардан</t>
  </si>
  <si>
    <t>Юноши 15-19 (29.08.2003)/17</t>
  </si>
  <si>
    <t>65,70</t>
  </si>
  <si>
    <t>Машутинский Максим</t>
  </si>
  <si>
    <t>Открытая (11.12.1982)/37</t>
  </si>
  <si>
    <t>81,20</t>
  </si>
  <si>
    <t>Попцов Артем</t>
  </si>
  <si>
    <t>Открытая (03.05.1987)/33</t>
  </si>
  <si>
    <t>78,50</t>
  </si>
  <si>
    <t>127,5</t>
  </si>
  <si>
    <t>Шевелев Андрей</t>
  </si>
  <si>
    <t>Открытая (05.04.1978)/42</t>
  </si>
  <si>
    <t>Сорокин Григорий</t>
  </si>
  <si>
    <t>89,20</t>
  </si>
  <si>
    <t>Ефимовский Владислав</t>
  </si>
  <si>
    <t>Открытая (20.12.1995)/24</t>
  </si>
  <si>
    <t>98,90</t>
  </si>
  <si>
    <t>Лопатин Александр</t>
  </si>
  <si>
    <t>76,10</t>
  </si>
  <si>
    <t>Степичев Андрей</t>
  </si>
  <si>
    <t>Открытая (14.08.1988)/32</t>
  </si>
  <si>
    <t>81,00</t>
  </si>
  <si>
    <t>Открытая (24.08.1977)/43</t>
  </si>
  <si>
    <t>Зеленцов Сергей</t>
  </si>
  <si>
    <t>104,00</t>
  </si>
  <si>
    <t>275,0</t>
  </si>
  <si>
    <t>305,0</t>
  </si>
  <si>
    <t>Голиков Владислав</t>
  </si>
  <si>
    <t>Юноши 15-19 (02.03.2004)/16</t>
  </si>
  <si>
    <t>121,80</t>
  </si>
  <si>
    <t>Потапов Александр</t>
  </si>
  <si>
    <t>Открытая (08.03.1983)/37</t>
  </si>
  <si>
    <t>111,00</t>
  </si>
  <si>
    <t>282,5</t>
  </si>
  <si>
    <t>Гундоров Павел</t>
  </si>
  <si>
    <t>Открытая (02.08.1977)/43</t>
  </si>
  <si>
    <t>122,10</t>
  </si>
  <si>
    <t>262,5</t>
  </si>
  <si>
    <t>200,8380</t>
  </si>
  <si>
    <t>188,8640</t>
  </si>
  <si>
    <t>180,2960</t>
  </si>
  <si>
    <t>Дурапов Никита</t>
  </si>
  <si>
    <t>65,50</t>
  </si>
  <si>
    <t>Романов Виталий</t>
  </si>
  <si>
    <t>Юноши 15-19 (22.10.2003)/16</t>
  </si>
  <si>
    <t>78,80</t>
  </si>
  <si>
    <t>167,5</t>
  </si>
  <si>
    <t>Фадин Кирилл</t>
  </si>
  <si>
    <t>Юноши 15-19 (09.08.2001)/19</t>
  </si>
  <si>
    <t>109,90</t>
  </si>
  <si>
    <t>126,5705</t>
  </si>
  <si>
    <t>123,0480</t>
  </si>
  <si>
    <t>122,4655</t>
  </si>
  <si>
    <t>Мастера 60-64 (08.10.1960)/60</t>
  </si>
  <si>
    <t>Юниоры 20-23 (16.05.1997)/23</t>
  </si>
  <si>
    <t>Мастера 40-44 (24.08.1977)/43</t>
  </si>
  <si>
    <t>Мастера 50-54 (16.05.1970)/50</t>
  </si>
  <si>
    <t>Мастера 40-44 (05.04.1978)/42</t>
  </si>
  <si>
    <t>Мастера 50-54 (10.01.1968)/52</t>
  </si>
  <si>
    <t>Юниорки 20-23 (22.03.2000)/20</t>
  </si>
  <si>
    <t>Юниоры 20-23 (04.02.1998)/22</t>
  </si>
  <si>
    <t>Мастера 40-44 (26.03.1976)/44</t>
  </si>
  <si>
    <t>Мастера 40-44 (06.07.1978)/42</t>
  </si>
  <si>
    <t>Мастера 65-69 (20.02.1954)/66</t>
  </si>
  <si>
    <t>Мастера 40-44 (30.09.1976)/44</t>
  </si>
  <si>
    <t>Мастера 50-54 (17.04.1970)/50</t>
  </si>
  <si>
    <t xml:space="preserve">Павлов Д. </t>
  </si>
  <si>
    <t>Мемориал памяти Алексея Елисеева
IPL Силовое двоеборье без экипировки ДК
Великий Устюг/Вологодская область, 10 октября 2020 года</t>
  </si>
  <si>
    <t>Мемориал памяти Алексея Елисеева
IPL Силовое двоеборье без экипировки
Великий Устюг/Вологодская область, 10 октября 2020 года</t>
  </si>
  <si>
    <t>Мемориал памяти Алексея Елисеева
IPL Становая тяга без экипировки ДК
Великий Устюг/Вологодская область, 10 октября 2020 года</t>
  </si>
  <si>
    <t>Мемориал памяти Алексея Елисеева
IPL Становая тяга без экипировки
Великий Устюг/Вологодская область, 10 октября 2020 года</t>
  </si>
  <si>
    <t>Мемориал памяти Алексея Елисеева
IPL Жим лежа без экипировки ДК
Великий Устюг/Вологодская область, 10 октября 2020 года</t>
  </si>
  <si>
    <t>Мемориал памяти Алексея Елисеева
IPL Жим лежа без экипировки
Великий Устюг/Вологодская область, 10 октября 2020 года</t>
  </si>
  <si>
    <t>Мемориал памяти Алексея Елисеева
IPL Пауэрлифтинг без экипировки ДК
Великий Устюг/Вологодская область, 10 октября 2020 года</t>
  </si>
  <si>
    <t>Мемориал памяти Алексея Елисеева
IPL Пауэрлифтинг без экипировки
Великий Устюг/Вологодская область, 10 октября 2020 года</t>
  </si>
  <si>
    <t>Якушевич А.</t>
  </si>
  <si>
    <t>Рассохин А.</t>
  </si>
  <si>
    <t>Длужневский С.</t>
  </si>
  <si>
    <t>-</t>
  </si>
  <si>
    <t>Нелаев Георгий</t>
  </si>
  <si>
    <t>Дурапов Н.</t>
  </si>
  <si>
    <t xml:space="preserve">Сыктывкар/Республика Коми </t>
  </si>
  <si>
    <t xml:space="preserve">Сыктывкар/Ремпублика Коми </t>
  </si>
  <si>
    <t xml:space="preserve">Дурапов Н. </t>
  </si>
  <si>
    <t>Вычегодский/Архангельская область</t>
  </si>
  <si>
    <t>Весовая категория</t>
  </si>
  <si>
    <t xml:space="preserve">Осколков И. </t>
  </si>
  <si>
    <t xml:space="preserve">Чебыкин А. </t>
  </si>
  <si>
    <t xml:space="preserve">Архиповский И. </t>
  </si>
  <si>
    <t xml:space="preserve">Марков А. </t>
  </si>
  <si>
    <t>Самостоятельно</t>
  </si>
  <si>
    <t xml:space="preserve">Рассохин А. </t>
  </si>
  <si>
    <t>№</t>
  </si>
  <si>
    <t xml:space="preserve">
Дата рождения/Возраст</t>
  </si>
  <si>
    <t>Возрастная группа</t>
  </si>
  <si>
    <t>O</t>
  </si>
  <si>
    <t>T</t>
  </si>
  <si>
    <t>M5</t>
  </si>
  <si>
    <t>M1</t>
  </si>
  <si>
    <t>M3</t>
  </si>
  <si>
    <t>J</t>
  </si>
  <si>
    <t>m1</t>
  </si>
  <si>
    <t>M6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</si>
</sst>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i/>
      <sz val="12"/>
      <name val="Arial Cyr"/>
      <family val="2"/>
      <charset val="204"/>
    </font>
    <font>
      <strike/>
      <sz val="10"/>
      <name val="Arial Cyr"/>
      <family val="2"/>
      <charset val="204"/>
    </font>
    <font>
      <sz val="14"/>
      <name val="Arial Cyr"/>
      <family val="2"/>
      <charset val="204"/>
    </font>
    <font>
      <i/>
      <sz val="11"/>
      <name val="Arial Cyr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trike/>
      <sz val="10"/>
      <name val="Arial Cyr"/>
      <charset val="204"/>
    </font>
    <font>
      <b/>
      <strike/>
      <sz val="10"/>
      <color theme="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10" xfId="0" applyNumberFormat="1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49" fontId="0" fillId="0" borderId="11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9" fontId="0" fillId="0" borderId="8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/>
    </xf>
    <xf numFmtId="49" fontId="0" fillId="0" borderId="1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49" fontId="10" fillId="0" borderId="10" xfId="0" applyNumberFormat="1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/>
    </xf>
    <xf numFmtId="49" fontId="10" fillId="0" borderId="8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1" fillId="0" borderId="11" xfId="0" applyNumberFormat="1" applyFont="1" applyFill="1" applyBorder="1" applyAlignment="1">
      <alignment horizontal="center"/>
    </xf>
    <xf numFmtId="49" fontId="11" fillId="0" borderId="8" xfId="0" applyNumberFormat="1" applyFont="1" applyFill="1" applyBorder="1" applyAlignment="1">
      <alignment horizontal="center"/>
    </xf>
    <xf numFmtId="49" fontId="11" fillId="0" borderId="1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49" fontId="10" fillId="0" borderId="12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11" fillId="0" borderId="12" xfId="0" applyNumberFormat="1" applyFont="1" applyFill="1" applyBorder="1" applyAlignment="1">
      <alignment horizontal="center"/>
    </xf>
    <xf numFmtId="1" fontId="1" fillId="0" borderId="12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center"/>
    </xf>
    <xf numFmtId="49" fontId="0" fillId="0" borderId="14" xfId="0" applyNumberFormat="1" applyFont="1" applyFill="1" applyBorder="1" applyAlignment="1">
      <alignment horizontal="center"/>
    </xf>
    <xf numFmtId="49" fontId="5" fillId="0" borderId="15" xfId="0" applyNumberFormat="1" applyFont="1" applyFill="1" applyBorder="1" applyAlignment="1">
      <alignment horizontal="center"/>
    </xf>
    <xf numFmtId="49" fontId="5" fillId="0" borderId="16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1" fillId="0" borderId="15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9" fontId="11" fillId="0" borderId="16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49" fontId="2" fillId="0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1"/>
  <sheetViews>
    <sheetView workbookViewId="0">
      <selection sqref="A1:U2"/>
    </sheetView>
  </sheetViews>
  <sheetFormatPr baseColWidth="10" defaultColWidth="9.1640625" defaultRowHeight="13"/>
  <cols>
    <col min="1" max="1" width="9.1640625" style="19"/>
    <col min="2" max="2" width="26" style="3" bestFit="1" customWidth="1"/>
    <col min="3" max="3" width="28.5" style="3" bestFit="1" customWidth="1"/>
    <col min="4" max="4" width="15.5" style="3" bestFit="1" customWidth="1"/>
    <col min="5" max="5" width="8.5" style="3" bestFit="1" customWidth="1"/>
    <col min="6" max="6" width="34.5" style="3" bestFit="1" customWidth="1"/>
    <col min="7" max="9" width="5.5" style="2" customWidth="1"/>
    <col min="10" max="10" width="4.83203125" style="2" customWidth="1"/>
    <col min="11" max="13" width="5.5" style="2" customWidth="1"/>
    <col min="14" max="14" width="4.83203125" style="2" customWidth="1"/>
    <col min="15" max="17" width="5.5" style="2" customWidth="1"/>
    <col min="18" max="18" width="4.83203125" style="2" customWidth="1"/>
    <col min="19" max="19" width="7.83203125" style="35" bestFit="1" customWidth="1"/>
    <col min="20" max="20" width="8.5" style="2" bestFit="1" customWidth="1"/>
    <col min="21" max="21" width="19.83203125" style="3" bestFit="1" customWidth="1"/>
    <col min="22" max="16384" width="9.1640625" style="3"/>
  </cols>
  <sheetData>
    <row r="1" spans="1:21" s="2" customFormat="1" ht="29" customHeight="1">
      <c r="A1" s="53" t="s">
        <v>297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5"/>
    </row>
    <row r="2" spans="1:21" s="2" customFormat="1" ht="62" customHeight="1" thickBot="1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8"/>
    </row>
    <row r="3" spans="1:21" s="1" customFormat="1" ht="12.75" customHeight="1">
      <c r="A3" s="59" t="s">
        <v>316</v>
      </c>
      <c r="B3" s="51" t="s">
        <v>0</v>
      </c>
      <c r="C3" s="67" t="s">
        <v>317</v>
      </c>
      <c r="D3" s="67" t="s">
        <v>6</v>
      </c>
      <c r="E3" s="51" t="s">
        <v>318</v>
      </c>
      <c r="F3" s="51" t="s">
        <v>5</v>
      </c>
      <c r="G3" s="51" t="s">
        <v>7</v>
      </c>
      <c r="H3" s="51"/>
      <c r="I3" s="51"/>
      <c r="J3" s="51"/>
      <c r="K3" s="51" t="s">
        <v>8</v>
      </c>
      <c r="L3" s="51"/>
      <c r="M3" s="51"/>
      <c r="N3" s="51"/>
      <c r="O3" s="51" t="s">
        <v>9</v>
      </c>
      <c r="P3" s="51"/>
      <c r="Q3" s="51"/>
      <c r="R3" s="51"/>
      <c r="S3" s="62" t="s">
        <v>1</v>
      </c>
      <c r="T3" s="51" t="s">
        <v>3</v>
      </c>
      <c r="U3" s="64" t="s">
        <v>2</v>
      </c>
    </row>
    <row r="4" spans="1:21" s="1" customFormat="1" ht="21" customHeight="1" thickBot="1">
      <c r="A4" s="60"/>
      <c r="B4" s="52"/>
      <c r="C4" s="52"/>
      <c r="D4" s="52"/>
      <c r="E4" s="52"/>
      <c r="F4" s="52"/>
      <c r="G4" s="17">
        <v>1</v>
      </c>
      <c r="H4" s="17">
        <v>2</v>
      </c>
      <c r="I4" s="17">
        <v>3</v>
      </c>
      <c r="J4" s="17" t="s">
        <v>4</v>
      </c>
      <c r="K4" s="17">
        <v>1</v>
      </c>
      <c r="L4" s="17">
        <v>2</v>
      </c>
      <c r="M4" s="17">
        <v>3</v>
      </c>
      <c r="N4" s="17" t="s">
        <v>4</v>
      </c>
      <c r="O4" s="17">
        <v>1</v>
      </c>
      <c r="P4" s="17">
        <v>2</v>
      </c>
      <c r="Q4" s="17">
        <v>3</v>
      </c>
      <c r="R4" s="17" t="s">
        <v>4</v>
      </c>
      <c r="S4" s="63"/>
      <c r="T4" s="52"/>
      <c r="U4" s="65"/>
    </row>
    <row r="5" spans="1:21" ht="16">
      <c r="B5" s="61" t="s">
        <v>110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21">
      <c r="A6" s="20">
        <v>1</v>
      </c>
      <c r="B6" s="4" t="s">
        <v>111</v>
      </c>
      <c r="C6" s="4" t="s">
        <v>112</v>
      </c>
      <c r="D6" s="4" t="s">
        <v>113</v>
      </c>
      <c r="E6" s="4" t="s">
        <v>319</v>
      </c>
      <c r="F6" s="4" t="s">
        <v>65</v>
      </c>
      <c r="G6" s="26" t="s">
        <v>41</v>
      </c>
      <c r="H6" s="26" t="s">
        <v>50</v>
      </c>
      <c r="I6" s="26" t="s">
        <v>114</v>
      </c>
      <c r="J6" s="23"/>
      <c r="K6" s="26" t="s">
        <v>49</v>
      </c>
      <c r="L6" s="26" t="s">
        <v>44</v>
      </c>
      <c r="M6" s="31" t="s">
        <v>30</v>
      </c>
      <c r="N6" s="23"/>
      <c r="O6" s="26" t="s">
        <v>115</v>
      </c>
      <c r="P6" s="26" t="s">
        <v>116</v>
      </c>
      <c r="Q6" s="26" t="s">
        <v>117</v>
      </c>
      <c r="R6" s="23"/>
      <c r="S6" s="36" t="str">
        <f>"270,0"</f>
        <v>270,0</v>
      </c>
      <c r="T6" s="10" t="str">
        <f>"353,7810"</f>
        <v>353,7810</v>
      </c>
      <c r="U6" s="4" t="s">
        <v>290</v>
      </c>
    </row>
    <row r="8" spans="1:21" ht="16">
      <c r="B8" s="61" t="s">
        <v>10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spans="1:21">
      <c r="A9" s="20">
        <v>1</v>
      </c>
      <c r="B9" s="4" t="s">
        <v>118</v>
      </c>
      <c r="C9" s="4" t="s">
        <v>119</v>
      </c>
      <c r="D9" s="4" t="s">
        <v>120</v>
      </c>
      <c r="E9" s="4" t="s">
        <v>319</v>
      </c>
      <c r="F9" s="4" t="s">
        <v>65</v>
      </c>
      <c r="G9" s="26" t="s">
        <v>40</v>
      </c>
      <c r="H9" s="26" t="s">
        <v>41</v>
      </c>
      <c r="I9" s="26" t="s">
        <v>114</v>
      </c>
      <c r="J9" s="23"/>
      <c r="K9" s="26" t="s">
        <v>121</v>
      </c>
      <c r="L9" s="26" t="s">
        <v>49</v>
      </c>
      <c r="M9" s="31" t="s">
        <v>44</v>
      </c>
      <c r="N9" s="23"/>
      <c r="O9" s="26" t="s">
        <v>40</v>
      </c>
      <c r="P9" s="31" t="s">
        <v>50</v>
      </c>
      <c r="Q9" s="26" t="s">
        <v>50</v>
      </c>
      <c r="R9" s="23"/>
      <c r="S9" s="36" t="str">
        <f>"210,0"</f>
        <v>210,0</v>
      </c>
      <c r="T9" s="10" t="str">
        <f>"241,6890"</f>
        <v>241,6890</v>
      </c>
      <c r="U9" s="4" t="s">
        <v>290</v>
      </c>
    </row>
    <row r="11" spans="1:21" ht="16">
      <c r="B11" s="61" t="s">
        <v>110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</row>
    <row r="12" spans="1:21">
      <c r="A12" s="21">
        <v>1</v>
      </c>
      <c r="B12" s="6" t="s">
        <v>122</v>
      </c>
      <c r="C12" s="6" t="s">
        <v>123</v>
      </c>
      <c r="D12" s="6" t="s">
        <v>124</v>
      </c>
      <c r="E12" s="6" t="s">
        <v>320</v>
      </c>
      <c r="F12" s="6" t="s">
        <v>65</v>
      </c>
      <c r="G12" s="27" t="s">
        <v>32</v>
      </c>
      <c r="H12" s="27" t="s">
        <v>41</v>
      </c>
      <c r="I12" s="27" t="s">
        <v>114</v>
      </c>
      <c r="J12" s="24"/>
      <c r="K12" s="27" t="s">
        <v>30</v>
      </c>
      <c r="L12" s="27" t="s">
        <v>125</v>
      </c>
      <c r="M12" s="29" t="s">
        <v>126</v>
      </c>
      <c r="N12" s="24"/>
      <c r="O12" s="27" t="s">
        <v>19</v>
      </c>
      <c r="P12" s="27" t="s">
        <v>29</v>
      </c>
      <c r="Q12" s="27" t="s">
        <v>35</v>
      </c>
      <c r="R12" s="24"/>
      <c r="S12" s="37" t="str">
        <f>"267,5"</f>
        <v>267,5</v>
      </c>
      <c r="T12" s="11" t="str">
        <f>"274,2945"</f>
        <v>274,2945</v>
      </c>
      <c r="U12" s="6" t="s">
        <v>290</v>
      </c>
    </row>
    <row r="13" spans="1:21">
      <c r="A13" s="22">
        <v>2</v>
      </c>
      <c r="B13" s="8" t="s">
        <v>127</v>
      </c>
      <c r="C13" s="8" t="s">
        <v>128</v>
      </c>
      <c r="D13" s="8" t="s">
        <v>129</v>
      </c>
      <c r="E13" s="8" t="s">
        <v>320</v>
      </c>
      <c r="F13" s="8" t="s">
        <v>65</v>
      </c>
      <c r="G13" s="28" t="s">
        <v>31</v>
      </c>
      <c r="H13" s="28" t="s">
        <v>32</v>
      </c>
      <c r="I13" s="28" t="s">
        <v>130</v>
      </c>
      <c r="J13" s="25"/>
      <c r="K13" s="28" t="s">
        <v>121</v>
      </c>
      <c r="L13" s="28" t="s">
        <v>131</v>
      </c>
      <c r="M13" s="30" t="s">
        <v>132</v>
      </c>
      <c r="N13" s="25"/>
      <c r="O13" s="28" t="s">
        <v>133</v>
      </c>
      <c r="P13" s="28" t="s">
        <v>20</v>
      </c>
      <c r="Q13" s="30" t="s">
        <v>134</v>
      </c>
      <c r="R13" s="25"/>
      <c r="S13" s="38" t="str">
        <f>"227,5"</f>
        <v>227,5</v>
      </c>
      <c r="T13" s="12" t="str">
        <f>"248,1797"</f>
        <v>248,1797</v>
      </c>
      <c r="U13" s="8" t="s">
        <v>290</v>
      </c>
    </row>
    <row r="15" spans="1:21" ht="16">
      <c r="B15" s="61" t="s">
        <v>10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</row>
    <row r="16" spans="1:21">
      <c r="A16" s="21">
        <v>1</v>
      </c>
      <c r="B16" s="6" t="s">
        <v>135</v>
      </c>
      <c r="C16" s="6" t="s">
        <v>136</v>
      </c>
      <c r="D16" s="6" t="s">
        <v>137</v>
      </c>
      <c r="E16" s="6" t="s">
        <v>320</v>
      </c>
      <c r="F16" s="6" t="s">
        <v>65</v>
      </c>
      <c r="G16" s="29" t="s">
        <v>32</v>
      </c>
      <c r="H16" s="27" t="s">
        <v>40</v>
      </c>
      <c r="I16" s="29" t="s">
        <v>42</v>
      </c>
      <c r="J16" s="24"/>
      <c r="K16" s="27" t="s">
        <v>44</v>
      </c>
      <c r="L16" s="27" t="s">
        <v>138</v>
      </c>
      <c r="M16" s="27" t="s">
        <v>32</v>
      </c>
      <c r="N16" s="24"/>
      <c r="O16" s="27" t="s">
        <v>133</v>
      </c>
      <c r="P16" s="27" t="s">
        <v>20</v>
      </c>
      <c r="Q16" s="27" t="s">
        <v>115</v>
      </c>
      <c r="R16" s="24"/>
      <c r="S16" s="37" t="str">
        <f>"250,0"</f>
        <v>250,0</v>
      </c>
      <c r="T16" s="11" t="str">
        <f>"213,2250"</f>
        <v>213,2250</v>
      </c>
      <c r="U16" s="6" t="s">
        <v>290</v>
      </c>
    </row>
    <row r="17" spans="1:21">
      <c r="A17" s="22">
        <v>1</v>
      </c>
      <c r="B17" s="8" t="s">
        <v>139</v>
      </c>
      <c r="C17" s="8" t="s">
        <v>277</v>
      </c>
      <c r="D17" s="8" t="s">
        <v>140</v>
      </c>
      <c r="E17" s="8" t="s">
        <v>321</v>
      </c>
      <c r="F17" s="8" t="s">
        <v>28</v>
      </c>
      <c r="G17" s="28" t="s">
        <v>33</v>
      </c>
      <c r="H17" s="30" t="s">
        <v>115</v>
      </c>
      <c r="I17" s="30" t="s">
        <v>115</v>
      </c>
      <c r="J17" s="25"/>
      <c r="K17" s="28" t="s">
        <v>141</v>
      </c>
      <c r="L17" s="28" t="s">
        <v>42</v>
      </c>
      <c r="M17" s="28" t="s">
        <v>114</v>
      </c>
      <c r="N17" s="25"/>
      <c r="O17" s="28" t="s">
        <v>76</v>
      </c>
      <c r="P17" s="28" t="s">
        <v>77</v>
      </c>
      <c r="Q17" s="28" t="s">
        <v>142</v>
      </c>
      <c r="R17" s="25"/>
      <c r="S17" s="38" t="str">
        <f>"345,0"</f>
        <v>345,0</v>
      </c>
      <c r="T17" s="12" t="str">
        <f>"409,1603"</f>
        <v>409,1603</v>
      </c>
      <c r="U17" s="8"/>
    </row>
    <row r="19" spans="1:21" ht="16">
      <c r="B19" s="61" t="s">
        <v>24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</row>
    <row r="20" spans="1:21">
      <c r="A20" s="20" t="s">
        <v>302</v>
      </c>
      <c r="B20" s="4" t="s">
        <v>303</v>
      </c>
      <c r="C20" s="4" t="s">
        <v>143</v>
      </c>
      <c r="D20" s="4" t="s">
        <v>144</v>
      </c>
      <c r="E20" s="4" t="s">
        <v>320</v>
      </c>
      <c r="F20" s="4" t="s">
        <v>145</v>
      </c>
      <c r="G20" s="26" t="s">
        <v>115</v>
      </c>
      <c r="H20" s="31" t="s">
        <v>35</v>
      </c>
      <c r="I20" s="31" t="s">
        <v>146</v>
      </c>
      <c r="J20" s="23"/>
      <c r="K20" s="31" t="s">
        <v>18</v>
      </c>
      <c r="L20" s="31" t="s">
        <v>18</v>
      </c>
      <c r="M20" s="31" t="s">
        <v>18</v>
      </c>
      <c r="N20" s="23"/>
      <c r="O20" s="23"/>
      <c r="P20" s="23"/>
      <c r="Q20" s="23"/>
      <c r="R20" s="23"/>
      <c r="S20" s="36">
        <v>0</v>
      </c>
      <c r="T20" s="10" t="str">
        <f>"0,0000"</f>
        <v>0,0000</v>
      </c>
      <c r="U20" s="4" t="s">
        <v>299</v>
      </c>
    </row>
    <row r="22" spans="1:21" ht="16">
      <c r="B22" s="61" t="s">
        <v>36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</row>
    <row r="23" spans="1:21">
      <c r="A23" s="20">
        <v>1</v>
      </c>
      <c r="B23" s="4" t="s">
        <v>148</v>
      </c>
      <c r="C23" s="4" t="s">
        <v>149</v>
      </c>
      <c r="D23" s="4" t="s">
        <v>150</v>
      </c>
      <c r="E23" s="4" t="s">
        <v>320</v>
      </c>
      <c r="F23" s="4" t="s">
        <v>151</v>
      </c>
      <c r="G23" s="26" t="s">
        <v>18</v>
      </c>
      <c r="H23" s="31" t="s">
        <v>19</v>
      </c>
      <c r="I23" s="26" t="s">
        <v>33</v>
      </c>
      <c r="J23" s="23"/>
      <c r="K23" s="26" t="s">
        <v>30</v>
      </c>
      <c r="L23" s="26" t="s">
        <v>31</v>
      </c>
      <c r="M23" s="26" t="s">
        <v>32</v>
      </c>
      <c r="N23" s="23"/>
      <c r="O23" s="26" t="s">
        <v>142</v>
      </c>
      <c r="P23" s="26" t="s">
        <v>21</v>
      </c>
      <c r="Q23" s="31" t="s">
        <v>69</v>
      </c>
      <c r="R23" s="23"/>
      <c r="S23" s="36" t="str">
        <f>"330,0"</f>
        <v>330,0</v>
      </c>
      <c r="T23" s="10" t="str">
        <f>"235,1580"</f>
        <v>235,1580</v>
      </c>
      <c r="U23" s="4"/>
    </row>
    <row r="25" spans="1:21" ht="16">
      <c r="B25" s="61" t="s">
        <v>152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</row>
    <row r="26" spans="1:21">
      <c r="A26" s="21">
        <v>1</v>
      </c>
      <c r="B26" s="6" t="s">
        <v>153</v>
      </c>
      <c r="C26" s="6" t="s">
        <v>154</v>
      </c>
      <c r="D26" s="6" t="s">
        <v>155</v>
      </c>
      <c r="E26" s="6" t="s">
        <v>320</v>
      </c>
      <c r="F26" s="6" t="s">
        <v>65</v>
      </c>
      <c r="G26" s="27" t="s">
        <v>19</v>
      </c>
      <c r="H26" s="27" t="s">
        <v>29</v>
      </c>
      <c r="I26" s="27" t="s">
        <v>134</v>
      </c>
      <c r="J26" s="24"/>
      <c r="K26" s="27" t="s">
        <v>40</v>
      </c>
      <c r="L26" s="27" t="s">
        <v>41</v>
      </c>
      <c r="M26" s="27" t="s">
        <v>50</v>
      </c>
      <c r="N26" s="24"/>
      <c r="O26" s="27" t="s">
        <v>16</v>
      </c>
      <c r="P26" s="29" t="s">
        <v>77</v>
      </c>
      <c r="Q26" s="27" t="s">
        <v>58</v>
      </c>
      <c r="R26" s="24"/>
      <c r="S26" s="37" t="str">
        <f>"355,0"</f>
        <v>355,0</v>
      </c>
      <c r="T26" s="11" t="str">
        <f>"239,0570"</f>
        <v>239,0570</v>
      </c>
      <c r="U26" s="6" t="s">
        <v>290</v>
      </c>
    </row>
    <row r="27" spans="1:21">
      <c r="A27" s="22">
        <v>1</v>
      </c>
      <c r="B27" s="8" t="s">
        <v>156</v>
      </c>
      <c r="C27" s="8" t="s">
        <v>157</v>
      </c>
      <c r="D27" s="8" t="s">
        <v>158</v>
      </c>
      <c r="E27" s="8" t="s">
        <v>319</v>
      </c>
      <c r="F27" s="8" t="s">
        <v>28</v>
      </c>
      <c r="G27" s="28" t="s">
        <v>69</v>
      </c>
      <c r="H27" s="28" t="s">
        <v>22</v>
      </c>
      <c r="I27" s="28" t="s">
        <v>23</v>
      </c>
      <c r="J27" s="25"/>
      <c r="K27" s="28" t="s">
        <v>29</v>
      </c>
      <c r="L27" s="30" t="s">
        <v>115</v>
      </c>
      <c r="M27" s="25"/>
      <c r="N27" s="25"/>
      <c r="O27" s="28" t="s">
        <v>105</v>
      </c>
      <c r="P27" s="28" t="s">
        <v>159</v>
      </c>
      <c r="Q27" s="30" t="s">
        <v>56</v>
      </c>
      <c r="R27" s="25"/>
      <c r="S27" s="38" t="str">
        <f>"510,0"</f>
        <v>510,0</v>
      </c>
      <c r="T27" s="12" t="str">
        <f>"348,1770"</f>
        <v>348,1770</v>
      </c>
      <c r="U27" s="8" t="s">
        <v>300</v>
      </c>
    </row>
    <row r="29" spans="1:21" ht="16">
      <c r="B29" s="61" t="s">
        <v>61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</row>
    <row r="30" spans="1:21">
      <c r="A30" s="21">
        <v>1</v>
      </c>
      <c r="B30" s="6" t="s">
        <v>160</v>
      </c>
      <c r="C30" s="6" t="s">
        <v>161</v>
      </c>
      <c r="D30" s="6" t="s">
        <v>162</v>
      </c>
      <c r="E30" s="6" t="s">
        <v>319</v>
      </c>
      <c r="F30" s="6" t="s">
        <v>145</v>
      </c>
      <c r="G30" s="27" t="s">
        <v>15</v>
      </c>
      <c r="H30" s="27" t="s">
        <v>77</v>
      </c>
      <c r="I30" s="27" t="s">
        <v>147</v>
      </c>
      <c r="J30" s="24"/>
      <c r="K30" s="29" t="s">
        <v>35</v>
      </c>
      <c r="L30" s="27" t="s">
        <v>116</v>
      </c>
      <c r="M30" s="27" t="s">
        <v>163</v>
      </c>
      <c r="N30" s="24"/>
      <c r="O30" s="27" t="s">
        <v>69</v>
      </c>
      <c r="P30" s="27" t="s">
        <v>23</v>
      </c>
      <c r="Q30" s="29" t="s">
        <v>56</v>
      </c>
      <c r="R30" s="24"/>
      <c r="S30" s="37" t="str">
        <f>"487,5"</f>
        <v>487,5</v>
      </c>
      <c r="T30" s="11" t="str">
        <f>"308,3437"</f>
        <v>308,3437</v>
      </c>
      <c r="U30" s="6" t="s">
        <v>299</v>
      </c>
    </row>
    <row r="31" spans="1:21">
      <c r="A31" s="22">
        <v>2</v>
      </c>
      <c r="B31" s="8" t="s">
        <v>164</v>
      </c>
      <c r="C31" s="8" t="s">
        <v>165</v>
      </c>
      <c r="D31" s="8" t="s">
        <v>166</v>
      </c>
      <c r="E31" s="8" t="s">
        <v>319</v>
      </c>
      <c r="F31" s="8" t="s">
        <v>145</v>
      </c>
      <c r="G31" s="28" t="s">
        <v>44</v>
      </c>
      <c r="H31" s="28" t="s">
        <v>77</v>
      </c>
      <c r="I31" s="28" t="s">
        <v>167</v>
      </c>
      <c r="J31" s="25"/>
      <c r="K31" s="28" t="s">
        <v>44</v>
      </c>
      <c r="L31" s="25"/>
      <c r="M31" s="25"/>
      <c r="N31" s="25"/>
      <c r="O31" s="28" t="s">
        <v>44</v>
      </c>
      <c r="P31" s="28" t="s">
        <v>77</v>
      </c>
      <c r="Q31" s="28" t="s">
        <v>60</v>
      </c>
      <c r="R31" s="25"/>
      <c r="S31" s="38" t="str">
        <f>"485,0"</f>
        <v>485,0</v>
      </c>
      <c r="T31" s="12" t="str">
        <f>"300,7000"</f>
        <v>300,7000</v>
      </c>
      <c r="U31" s="8" t="s">
        <v>301</v>
      </c>
    </row>
  </sheetData>
  <mergeCells count="21">
    <mergeCell ref="A1:U2"/>
    <mergeCell ref="A3:A4"/>
    <mergeCell ref="B29:R29"/>
    <mergeCell ref="B8:R8"/>
    <mergeCell ref="B11:R11"/>
    <mergeCell ref="B15:R15"/>
    <mergeCell ref="B19:R19"/>
    <mergeCell ref="B22:R22"/>
    <mergeCell ref="B25:R25"/>
    <mergeCell ref="S3:S4"/>
    <mergeCell ref="T3:T4"/>
    <mergeCell ref="U3:U4"/>
    <mergeCell ref="B5:R5"/>
    <mergeCell ref="B3:B4"/>
    <mergeCell ref="C3:C4"/>
    <mergeCell ref="D3:D4"/>
    <mergeCell ref="E3:E4"/>
    <mergeCell ref="F3:F4"/>
    <mergeCell ref="G3:J3"/>
    <mergeCell ref="K3:N3"/>
    <mergeCell ref="O3: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5">
    <pageSetUpPr fitToPage="1"/>
  </sheetPr>
  <dimension ref="A1:U26"/>
  <sheetViews>
    <sheetView workbookViewId="0">
      <selection sqref="A1:U2"/>
    </sheetView>
  </sheetViews>
  <sheetFormatPr baseColWidth="10" defaultColWidth="9.1640625" defaultRowHeight="13"/>
  <cols>
    <col min="1" max="1" width="9.1640625" style="19"/>
    <col min="2" max="2" width="26" style="3" bestFit="1" customWidth="1"/>
    <col min="3" max="3" width="28.5" style="3" bestFit="1" customWidth="1"/>
    <col min="4" max="4" width="15.5" style="3" bestFit="1" customWidth="1"/>
    <col min="5" max="5" width="8.5" style="3" bestFit="1" customWidth="1"/>
    <col min="6" max="6" width="34" style="3" bestFit="1" customWidth="1"/>
    <col min="7" max="9" width="5.5" style="2" customWidth="1"/>
    <col min="10" max="10" width="4.83203125" style="2" customWidth="1"/>
    <col min="11" max="13" width="5.5" style="2" customWidth="1"/>
    <col min="14" max="14" width="4.83203125" style="2" customWidth="1"/>
    <col min="15" max="17" width="5.5" style="2" customWidth="1"/>
    <col min="18" max="18" width="4.83203125" style="2" customWidth="1"/>
    <col min="19" max="19" width="7.83203125" style="2" bestFit="1" customWidth="1"/>
    <col min="20" max="20" width="8.5" style="2" bestFit="1" customWidth="1"/>
    <col min="21" max="21" width="20" style="3" bestFit="1" customWidth="1"/>
    <col min="22" max="16384" width="9.1640625" style="3"/>
  </cols>
  <sheetData>
    <row r="1" spans="1:21" s="2" customFormat="1" ht="29" customHeight="1">
      <c r="A1" s="53" t="s">
        <v>298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5"/>
    </row>
    <row r="2" spans="1:21" s="2" customFormat="1" ht="62" customHeight="1" thickBot="1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8"/>
    </row>
    <row r="3" spans="1:21" s="1" customFormat="1" ht="12.75" customHeight="1">
      <c r="A3" s="59" t="s">
        <v>316</v>
      </c>
      <c r="B3" s="51" t="s">
        <v>0</v>
      </c>
      <c r="C3" s="67" t="s">
        <v>317</v>
      </c>
      <c r="D3" s="67" t="s">
        <v>6</v>
      </c>
      <c r="E3" s="51" t="s">
        <v>318</v>
      </c>
      <c r="F3" s="51" t="s">
        <v>5</v>
      </c>
      <c r="G3" s="51" t="s">
        <v>7</v>
      </c>
      <c r="H3" s="51"/>
      <c r="I3" s="51"/>
      <c r="J3" s="51"/>
      <c r="K3" s="51" t="s">
        <v>8</v>
      </c>
      <c r="L3" s="51"/>
      <c r="M3" s="51"/>
      <c r="N3" s="51"/>
      <c r="O3" s="51" t="s">
        <v>9</v>
      </c>
      <c r="P3" s="51"/>
      <c r="Q3" s="51"/>
      <c r="R3" s="51"/>
      <c r="S3" s="51" t="s">
        <v>1</v>
      </c>
      <c r="T3" s="51" t="s">
        <v>3</v>
      </c>
      <c r="U3" s="64" t="s">
        <v>2</v>
      </c>
    </row>
    <row r="4" spans="1:21" s="1" customFormat="1" ht="21" customHeight="1" thickBot="1">
      <c r="A4" s="60"/>
      <c r="B4" s="52"/>
      <c r="C4" s="52"/>
      <c r="D4" s="52"/>
      <c r="E4" s="52"/>
      <c r="F4" s="52"/>
      <c r="G4" s="17">
        <v>1</v>
      </c>
      <c r="H4" s="17">
        <v>2</v>
      </c>
      <c r="I4" s="17">
        <v>3</v>
      </c>
      <c r="J4" s="17" t="s">
        <v>4</v>
      </c>
      <c r="K4" s="17">
        <v>1</v>
      </c>
      <c r="L4" s="17">
        <v>2</v>
      </c>
      <c r="M4" s="17">
        <v>3</v>
      </c>
      <c r="N4" s="17" t="s">
        <v>4</v>
      </c>
      <c r="O4" s="17">
        <v>1</v>
      </c>
      <c r="P4" s="17">
        <v>2</v>
      </c>
      <c r="Q4" s="17">
        <v>3</v>
      </c>
      <c r="R4" s="17" t="s">
        <v>4</v>
      </c>
      <c r="S4" s="52"/>
      <c r="T4" s="52"/>
      <c r="U4" s="65"/>
    </row>
    <row r="5" spans="1:21" ht="16">
      <c r="B5" s="61" t="s">
        <v>10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21">
      <c r="A6" s="20">
        <v>1</v>
      </c>
      <c r="B6" s="4" t="s">
        <v>11</v>
      </c>
      <c r="C6" s="4" t="s">
        <v>12</v>
      </c>
      <c r="D6" s="4" t="s">
        <v>13</v>
      </c>
      <c r="E6" s="4" t="s">
        <v>320</v>
      </c>
      <c r="F6" s="4" t="s">
        <v>14</v>
      </c>
      <c r="G6" s="26" t="s">
        <v>15</v>
      </c>
      <c r="H6" s="26" t="s">
        <v>16</v>
      </c>
      <c r="I6" s="31" t="s">
        <v>17</v>
      </c>
      <c r="J6" s="23"/>
      <c r="K6" s="31" t="s">
        <v>18</v>
      </c>
      <c r="L6" s="26" t="s">
        <v>19</v>
      </c>
      <c r="M6" s="26" t="s">
        <v>20</v>
      </c>
      <c r="N6" s="23"/>
      <c r="O6" s="26" t="s">
        <v>21</v>
      </c>
      <c r="P6" s="26" t="s">
        <v>22</v>
      </c>
      <c r="Q6" s="31" t="s">
        <v>23</v>
      </c>
      <c r="R6" s="23"/>
      <c r="S6" s="10" t="str">
        <f>"427,5"</f>
        <v>427,5</v>
      </c>
      <c r="T6" s="10" t="str">
        <f>"385,8187"</f>
        <v>385,8187</v>
      </c>
      <c r="U6" s="4"/>
    </row>
    <row r="8" spans="1:21" ht="16">
      <c r="B8" s="61" t="s">
        <v>24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spans="1:21">
      <c r="A9" s="20">
        <v>1</v>
      </c>
      <c r="B9" s="4" t="s">
        <v>25</v>
      </c>
      <c r="C9" s="4" t="s">
        <v>26</v>
      </c>
      <c r="D9" s="4" t="s">
        <v>27</v>
      </c>
      <c r="E9" s="4" t="s">
        <v>320</v>
      </c>
      <c r="F9" s="4" t="s">
        <v>28</v>
      </c>
      <c r="G9" s="26" t="s">
        <v>18</v>
      </c>
      <c r="H9" s="26" t="s">
        <v>19</v>
      </c>
      <c r="I9" s="26" t="s">
        <v>29</v>
      </c>
      <c r="J9" s="23"/>
      <c r="K9" s="26" t="s">
        <v>30</v>
      </c>
      <c r="L9" s="26" t="s">
        <v>31</v>
      </c>
      <c r="M9" s="26" t="s">
        <v>32</v>
      </c>
      <c r="N9" s="23"/>
      <c r="O9" s="26" t="s">
        <v>33</v>
      </c>
      <c r="P9" s="26" t="s">
        <v>34</v>
      </c>
      <c r="Q9" s="23" t="s">
        <v>35</v>
      </c>
      <c r="R9" s="23"/>
      <c r="S9" s="10" t="str">
        <f>"287,5"</f>
        <v>287,5</v>
      </c>
      <c r="T9" s="10" t="str">
        <f>"225,1700"</f>
        <v>225,1700</v>
      </c>
      <c r="U9" s="4" t="s">
        <v>304</v>
      </c>
    </row>
    <row r="11" spans="1:21" ht="16">
      <c r="B11" s="61" t="s">
        <v>36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</row>
    <row r="12" spans="1:21">
      <c r="A12" s="21">
        <v>1</v>
      </c>
      <c r="B12" s="6" t="s">
        <v>37</v>
      </c>
      <c r="C12" s="6" t="s">
        <v>38</v>
      </c>
      <c r="D12" s="6" t="s">
        <v>39</v>
      </c>
      <c r="E12" s="6" t="s">
        <v>320</v>
      </c>
      <c r="F12" s="6" t="s">
        <v>28</v>
      </c>
      <c r="G12" s="27" t="s">
        <v>40</v>
      </c>
      <c r="H12" s="27" t="s">
        <v>41</v>
      </c>
      <c r="I12" s="27" t="s">
        <v>42</v>
      </c>
      <c r="J12" s="24"/>
      <c r="K12" s="27" t="s">
        <v>43</v>
      </c>
      <c r="L12" s="29" t="s">
        <v>44</v>
      </c>
      <c r="M12" s="27" t="s">
        <v>30</v>
      </c>
      <c r="N12" s="24"/>
      <c r="O12" s="29" t="s">
        <v>45</v>
      </c>
      <c r="P12" s="27" t="s">
        <v>19</v>
      </c>
      <c r="Q12" s="27" t="s">
        <v>29</v>
      </c>
      <c r="R12" s="24"/>
      <c r="S12" s="11" t="str">
        <f>"247,5"</f>
        <v>247,5</v>
      </c>
      <c r="T12" s="11" t="str">
        <f>"177,8535"</f>
        <v>177,8535</v>
      </c>
      <c r="U12" s="6" t="s">
        <v>304</v>
      </c>
    </row>
    <row r="13" spans="1:21">
      <c r="A13" s="22">
        <v>2</v>
      </c>
      <c r="B13" s="8" t="s">
        <v>46</v>
      </c>
      <c r="C13" s="8" t="s">
        <v>47</v>
      </c>
      <c r="D13" s="8" t="s">
        <v>48</v>
      </c>
      <c r="E13" s="8" t="s">
        <v>320</v>
      </c>
      <c r="F13" s="8" t="s">
        <v>28</v>
      </c>
      <c r="G13" s="28" t="s">
        <v>31</v>
      </c>
      <c r="H13" s="28" t="s">
        <v>32</v>
      </c>
      <c r="I13" s="28" t="s">
        <v>40</v>
      </c>
      <c r="J13" s="25"/>
      <c r="K13" s="28" t="s">
        <v>49</v>
      </c>
      <c r="L13" s="30" t="s">
        <v>44</v>
      </c>
      <c r="M13" s="28" t="s">
        <v>44</v>
      </c>
      <c r="N13" s="25"/>
      <c r="O13" s="28" t="s">
        <v>40</v>
      </c>
      <c r="P13" s="28" t="s">
        <v>50</v>
      </c>
      <c r="Q13" s="30" t="s">
        <v>18</v>
      </c>
      <c r="R13" s="25"/>
      <c r="S13" s="12" t="str">
        <f>"200,0"</f>
        <v>200,0</v>
      </c>
      <c r="T13" s="12" t="str">
        <f>"143,0400"</f>
        <v>143,0400</v>
      </c>
      <c r="U13" s="8" t="s">
        <v>304</v>
      </c>
    </row>
    <row r="15" spans="1:21" ht="16">
      <c r="B15" s="61" t="s">
        <v>51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</row>
    <row r="16" spans="1:21">
      <c r="A16" s="20">
        <v>1</v>
      </c>
      <c r="B16" s="4" t="s">
        <v>52</v>
      </c>
      <c r="C16" s="4" t="s">
        <v>53</v>
      </c>
      <c r="D16" s="4" t="s">
        <v>54</v>
      </c>
      <c r="E16" s="4" t="s">
        <v>319</v>
      </c>
      <c r="F16" s="4" t="s">
        <v>14</v>
      </c>
      <c r="G16" s="26" t="s">
        <v>23</v>
      </c>
      <c r="H16" s="26" t="s">
        <v>55</v>
      </c>
      <c r="I16" s="26" t="s">
        <v>56</v>
      </c>
      <c r="J16" s="23"/>
      <c r="K16" s="26" t="s">
        <v>16</v>
      </c>
      <c r="L16" s="26" t="s">
        <v>57</v>
      </c>
      <c r="M16" s="26" t="s">
        <v>58</v>
      </c>
      <c r="N16" s="23"/>
      <c r="O16" s="26" t="s">
        <v>59</v>
      </c>
      <c r="P16" s="31" t="s">
        <v>60</v>
      </c>
      <c r="Q16" s="23"/>
      <c r="R16" s="23"/>
      <c r="S16" s="10" t="str">
        <f>"592,5"</f>
        <v>592,5</v>
      </c>
      <c r="T16" s="10" t="str">
        <f>"380,6220"</f>
        <v>380,6220</v>
      </c>
      <c r="U16" s="4"/>
    </row>
    <row r="18" spans="1:21" ht="16">
      <c r="B18" s="61" t="s">
        <v>61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</row>
    <row r="19" spans="1:21">
      <c r="A19" s="21">
        <v>1</v>
      </c>
      <c r="B19" s="6" t="s">
        <v>62</v>
      </c>
      <c r="C19" s="6" t="s">
        <v>63</v>
      </c>
      <c r="D19" s="6" t="s">
        <v>64</v>
      </c>
      <c r="E19" s="6" t="s">
        <v>319</v>
      </c>
      <c r="F19" s="6" t="s">
        <v>65</v>
      </c>
      <c r="G19" s="27" t="s">
        <v>66</v>
      </c>
      <c r="H19" s="27" t="s">
        <v>67</v>
      </c>
      <c r="I19" s="27" t="s">
        <v>68</v>
      </c>
      <c r="J19" s="24"/>
      <c r="K19" s="27" t="s">
        <v>69</v>
      </c>
      <c r="L19" s="27" t="s">
        <v>22</v>
      </c>
      <c r="M19" s="27" t="s">
        <v>23</v>
      </c>
      <c r="N19" s="24"/>
      <c r="O19" s="27" t="s">
        <v>70</v>
      </c>
      <c r="P19" s="29" t="s">
        <v>71</v>
      </c>
      <c r="Q19" s="27" t="s">
        <v>71</v>
      </c>
      <c r="R19" s="24"/>
      <c r="S19" s="11" t="str">
        <f>"792,5"</f>
        <v>792,5</v>
      </c>
      <c r="T19" s="11" t="str">
        <f>"482,3155"</f>
        <v>482,3155</v>
      </c>
      <c r="U19" s="6" t="s">
        <v>290</v>
      </c>
    </row>
    <row r="20" spans="1:21">
      <c r="A20" s="22">
        <v>1</v>
      </c>
      <c r="B20" s="8" t="s">
        <v>72</v>
      </c>
      <c r="C20" s="8" t="s">
        <v>279</v>
      </c>
      <c r="D20" s="8" t="s">
        <v>73</v>
      </c>
      <c r="E20" s="8" t="s">
        <v>322</v>
      </c>
      <c r="F20" s="8" t="s">
        <v>28</v>
      </c>
      <c r="G20" s="28" t="s">
        <v>56</v>
      </c>
      <c r="H20" s="30" t="s">
        <v>74</v>
      </c>
      <c r="I20" s="30" t="s">
        <v>75</v>
      </c>
      <c r="J20" s="25"/>
      <c r="K20" s="28" t="s">
        <v>76</v>
      </c>
      <c r="L20" s="30" t="s">
        <v>77</v>
      </c>
      <c r="M20" s="28" t="s">
        <v>77</v>
      </c>
      <c r="N20" s="25"/>
      <c r="O20" s="30" t="s">
        <v>78</v>
      </c>
      <c r="P20" s="30" t="s">
        <v>79</v>
      </c>
      <c r="Q20" s="28" t="s">
        <v>79</v>
      </c>
      <c r="R20" s="25"/>
      <c r="S20" s="12" t="str">
        <f>"635,0"</f>
        <v>635,0</v>
      </c>
      <c r="T20" s="12" t="str">
        <f>"402,7000"</f>
        <v>402,7000</v>
      </c>
      <c r="U20" s="8" t="s">
        <v>300</v>
      </c>
    </row>
    <row r="22" spans="1:21" ht="16">
      <c r="B22" s="61" t="s">
        <v>80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</row>
    <row r="23" spans="1:21">
      <c r="A23" s="20">
        <v>1</v>
      </c>
      <c r="B23" s="4" t="s">
        <v>81</v>
      </c>
      <c r="C23" s="4" t="s">
        <v>82</v>
      </c>
      <c r="D23" s="4" t="s">
        <v>83</v>
      </c>
      <c r="E23" s="4" t="s">
        <v>319</v>
      </c>
      <c r="F23" s="4" t="s">
        <v>65</v>
      </c>
      <c r="G23" s="26" t="s">
        <v>84</v>
      </c>
      <c r="H23" s="26" t="s">
        <v>60</v>
      </c>
      <c r="I23" s="31" t="s">
        <v>78</v>
      </c>
      <c r="J23" s="23"/>
      <c r="K23" s="26" t="s">
        <v>77</v>
      </c>
      <c r="L23" s="26" t="s">
        <v>21</v>
      </c>
      <c r="M23" s="31" t="s">
        <v>69</v>
      </c>
      <c r="N23" s="23"/>
      <c r="O23" s="26" t="s">
        <v>85</v>
      </c>
      <c r="P23" s="26" t="s">
        <v>86</v>
      </c>
      <c r="Q23" s="31" t="s">
        <v>87</v>
      </c>
      <c r="R23" s="23"/>
      <c r="S23" s="10" t="str">
        <f>"730,0"</f>
        <v>730,0</v>
      </c>
      <c r="T23" s="10" t="str">
        <f>"430,8460"</f>
        <v>430,8460</v>
      </c>
      <c r="U23" s="4" t="s">
        <v>88</v>
      </c>
    </row>
    <row r="25" spans="1:21" ht="16">
      <c r="B25" s="61" t="s">
        <v>89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</row>
    <row r="26" spans="1:21">
      <c r="A26" s="20">
        <v>1</v>
      </c>
      <c r="B26" s="4" t="s">
        <v>90</v>
      </c>
      <c r="C26" s="4" t="s">
        <v>91</v>
      </c>
      <c r="D26" s="4" t="s">
        <v>92</v>
      </c>
      <c r="E26" s="4" t="s">
        <v>319</v>
      </c>
      <c r="F26" s="4" t="s">
        <v>305</v>
      </c>
      <c r="G26" s="26" t="s">
        <v>84</v>
      </c>
      <c r="H26" s="26" t="s">
        <v>60</v>
      </c>
      <c r="I26" s="26" t="s">
        <v>78</v>
      </c>
      <c r="J26" s="23"/>
      <c r="K26" s="26" t="s">
        <v>21</v>
      </c>
      <c r="L26" s="26" t="s">
        <v>69</v>
      </c>
      <c r="M26" s="31" t="s">
        <v>93</v>
      </c>
      <c r="N26" s="23"/>
      <c r="O26" s="26" t="s">
        <v>94</v>
      </c>
      <c r="P26" s="26" t="s">
        <v>85</v>
      </c>
      <c r="Q26" s="26" t="s">
        <v>95</v>
      </c>
      <c r="R26" s="23"/>
      <c r="S26" s="10" t="str">
        <f>"740,0"</f>
        <v>740,0</v>
      </c>
      <c r="T26" s="10" t="str">
        <f>"430,3840"</f>
        <v>430,3840</v>
      </c>
      <c r="U26" s="4"/>
    </row>
  </sheetData>
  <mergeCells count="20">
    <mergeCell ref="B22:R22"/>
    <mergeCell ref="B25:R25"/>
    <mergeCell ref="B5:R5"/>
    <mergeCell ref="B8:R8"/>
    <mergeCell ref="B11:R11"/>
    <mergeCell ref="B15:R15"/>
    <mergeCell ref="B18:R18"/>
    <mergeCell ref="C3:C4"/>
    <mergeCell ref="D3:D4"/>
    <mergeCell ref="U3:U4"/>
    <mergeCell ref="F3:F4"/>
    <mergeCell ref="A1:U2"/>
    <mergeCell ref="A3:A4"/>
    <mergeCell ref="E3:E4"/>
    <mergeCell ref="S3:S4"/>
    <mergeCell ref="T3:T4"/>
    <mergeCell ref="G3:J3"/>
    <mergeCell ref="K3:N3"/>
    <mergeCell ref="O3:R3"/>
    <mergeCell ref="B3:B4"/>
  </mergeCells>
  <phoneticPr fontId="0" type="noConversion"/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workbookViewId="0">
      <selection sqref="A1:Q2"/>
    </sheetView>
  </sheetViews>
  <sheetFormatPr baseColWidth="10" defaultColWidth="9.1640625" defaultRowHeight="13"/>
  <cols>
    <col min="1" max="1" width="9.1640625" style="19"/>
    <col min="2" max="2" width="26" style="3" bestFit="1" customWidth="1"/>
    <col min="3" max="3" width="28.5" style="3" bestFit="1" customWidth="1"/>
    <col min="4" max="4" width="15.5" style="3" bestFit="1" customWidth="1"/>
    <col min="5" max="5" width="8.5" style="3" bestFit="1" customWidth="1"/>
    <col min="6" max="6" width="34.5" style="3" bestFit="1" customWidth="1"/>
    <col min="7" max="14" width="5.5" style="2" customWidth="1"/>
    <col min="15" max="15" width="7.83203125" style="2" bestFit="1" customWidth="1"/>
    <col min="16" max="16" width="8.5" style="2" bestFit="1" customWidth="1"/>
    <col min="17" max="17" width="15.83203125" style="3" bestFit="1" customWidth="1"/>
    <col min="18" max="16384" width="9.1640625" style="3"/>
  </cols>
  <sheetData>
    <row r="1" spans="1:17" s="2" customFormat="1" ht="29" customHeight="1">
      <c r="A1" s="53" t="s">
        <v>291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</row>
    <row r="2" spans="1:17" s="2" customFormat="1" ht="62" customHeight="1" thickBot="1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</row>
    <row r="3" spans="1:17" s="1" customFormat="1" ht="12.75" customHeight="1">
      <c r="A3" s="59" t="s">
        <v>316</v>
      </c>
      <c r="B3" s="51" t="s">
        <v>0</v>
      </c>
      <c r="C3" s="67" t="s">
        <v>317</v>
      </c>
      <c r="D3" s="67" t="s">
        <v>6</v>
      </c>
      <c r="E3" s="51" t="s">
        <v>318</v>
      </c>
      <c r="F3" s="51" t="s">
        <v>5</v>
      </c>
      <c r="G3" s="51" t="s">
        <v>8</v>
      </c>
      <c r="H3" s="51"/>
      <c r="I3" s="51"/>
      <c r="J3" s="51"/>
      <c r="K3" s="51" t="s">
        <v>9</v>
      </c>
      <c r="L3" s="51"/>
      <c r="M3" s="51"/>
      <c r="N3" s="51"/>
      <c r="O3" s="51" t="s">
        <v>1</v>
      </c>
      <c r="P3" s="51" t="s">
        <v>3</v>
      </c>
      <c r="Q3" s="64" t="s">
        <v>2</v>
      </c>
    </row>
    <row r="4" spans="1:17" s="1" customFormat="1" ht="21" customHeight="1" thickBot="1">
      <c r="A4" s="60"/>
      <c r="B4" s="52"/>
      <c r="C4" s="52"/>
      <c r="D4" s="52"/>
      <c r="E4" s="52"/>
      <c r="F4" s="52"/>
      <c r="G4" s="17">
        <v>1</v>
      </c>
      <c r="H4" s="17">
        <v>2</v>
      </c>
      <c r="I4" s="17">
        <v>3</v>
      </c>
      <c r="J4" s="17" t="s">
        <v>4</v>
      </c>
      <c r="K4" s="17">
        <v>1</v>
      </c>
      <c r="L4" s="17">
        <v>2</v>
      </c>
      <c r="M4" s="17">
        <v>3</v>
      </c>
      <c r="N4" s="17" t="s">
        <v>4</v>
      </c>
      <c r="O4" s="52"/>
      <c r="P4" s="52"/>
      <c r="Q4" s="65"/>
    </row>
    <row r="5" spans="1:17" ht="16">
      <c r="B5" s="61" t="s">
        <v>10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7">
      <c r="A6" s="20">
        <v>1</v>
      </c>
      <c r="B6" s="4" t="s">
        <v>139</v>
      </c>
      <c r="C6" s="4" t="s">
        <v>277</v>
      </c>
      <c r="D6" s="4" t="s">
        <v>140</v>
      </c>
      <c r="E6" s="4" t="s">
        <v>321</v>
      </c>
      <c r="F6" s="4" t="s">
        <v>28</v>
      </c>
      <c r="G6" s="26" t="s">
        <v>141</v>
      </c>
      <c r="H6" s="26" t="s">
        <v>42</v>
      </c>
      <c r="I6" s="26" t="s">
        <v>114</v>
      </c>
      <c r="J6" s="23"/>
      <c r="K6" s="26" t="s">
        <v>76</v>
      </c>
      <c r="L6" s="26" t="s">
        <v>77</v>
      </c>
      <c r="M6" s="26" t="s">
        <v>142</v>
      </c>
      <c r="N6" s="23"/>
      <c r="O6" s="10" t="str">
        <f>"240,0"</f>
        <v>240,0</v>
      </c>
      <c r="P6" s="10" t="str">
        <f>"284,6333"</f>
        <v>284,6333</v>
      </c>
      <c r="Q6" s="4"/>
    </row>
    <row r="8" spans="1:17" ht="16">
      <c r="B8" s="61" t="s">
        <v>36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7">
      <c r="A9" s="20">
        <v>1</v>
      </c>
      <c r="B9" s="4" t="s">
        <v>148</v>
      </c>
      <c r="C9" s="4" t="s">
        <v>149</v>
      </c>
      <c r="D9" s="4" t="s">
        <v>150</v>
      </c>
      <c r="E9" s="4" t="s">
        <v>320</v>
      </c>
      <c r="F9" s="4" t="s">
        <v>151</v>
      </c>
      <c r="G9" s="26" t="s">
        <v>30</v>
      </c>
      <c r="H9" s="26" t="s">
        <v>31</v>
      </c>
      <c r="I9" s="26" t="s">
        <v>32</v>
      </c>
      <c r="J9" s="23"/>
      <c r="K9" s="26" t="s">
        <v>142</v>
      </c>
      <c r="L9" s="26" t="s">
        <v>21</v>
      </c>
      <c r="M9" s="31" t="s">
        <v>69</v>
      </c>
      <c r="N9" s="23"/>
      <c r="O9" s="10" t="str">
        <f>"225,0"</f>
        <v>225,0</v>
      </c>
      <c r="P9" s="10" t="str">
        <f>"160,3350"</f>
        <v>160,3350</v>
      </c>
      <c r="Q9" s="4"/>
    </row>
    <row r="11" spans="1:17" ht="16">
      <c r="B11" s="61" t="s">
        <v>152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  <row r="12" spans="1:17">
      <c r="A12" s="21">
        <v>1</v>
      </c>
      <c r="B12" s="6" t="s">
        <v>267</v>
      </c>
      <c r="C12" s="6" t="s">
        <v>268</v>
      </c>
      <c r="D12" s="6" t="s">
        <v>269</v>
      </c>
      <c r="E12" s="6" t="s">
        <v>320</v>
      </c>
      <c r="F12" s="6" t="s">
        <v>65</v>
      </c>
      <c r="G12" s="27" t="s">
        <v>32</v>
      </c>
      <c r="H12" s="27" t="s">
        <v>130</v>
      </c>
      <c r="I12" s="29" t="s">
        <v>141</v>
      </c>
      <c r="J12" s="24"/>
      <c r="K12" s="29" t="s">
        <v>77</v>
      </c>
      <c r="L12" s="27" t="s">
        <v>21</v>
      </c>
      <c r="M12" s="27" t="s">
        <v>270</v>
      </c>
      <c r="N12" s="24"/>
      <c r="O12" s="11" t="str">
        <f>"240,0"</f>
        <v>240,0</v>
      </c>
      <c r="P12" s="11" t="str">
        <f>"165,4320"</f>
        <v>165,4320</v>
      </c>
      <c r="Q12" s="6" t="s">
        <v>290</v>
      </c>
    </row>
    <row r="13" spans="1:17">
      <c r="A13" s="22">
        <v>2</v>
      </c>
      <c r="B13" s="8" t="s">
        <v>153</v>
      </c>
      <c r="C13" s="8" t="s">
        <v>154</v>
      </c>
      <c r="D13" s="8" t="s">
        <v>155</v>
      </c>
      <c r="E13" s="8" t="s">
        <v>320</v>
      </c>
      <c r="F13" s="8" t="s">
        <v>65</v>
      </c>
      <c r="G13" s="28" t="s">
        <v>40</v>
      </c>
      <c r="H13" s="28" t="s">
        <v>41</v>
      </c>
      <c r="I13" s="28" t="s">
        <v>50</v>
      </c>
      <c r="J13" s="25"/>
      <c r="K13" s="28" t="s">
        <v>16</v>
      </c>
      <c r="L13" s="30" t="s">
        <v>77</v>
      </c>
      <c r="M13" s="28" t="s">
        <v>58</v>
      </c>
      <c r="N13" s="25"/>
      <c r="O13" s="12" t="str">
        <f>"237,5"</f>
        <v>237,5</v>
      </c>
      <c r="P13" s="12" t="str">
        <f>"159,9325"</f>
        <v>159,9325</v>
      </c>
      <c r="Q13" s="8" t="s">
        <v>290</v>
      </c>
    </row>
  </sheetData>
  <mergeCells count="15">
    <mergeCell ref="A1:Q2"/>
    <mergeCell ref="A3:A4"/>
    <mergeCell ref="B8:N8"/>
    <mergeCell ref="B11:N11"/>
    <mergeCell ref="O3:O4"/>
    <mergeCell ref="P3:P4"/>
    <mergeCell ref="Q3:Q4"/>
    <mergeCell ref="B5:N5"/>
    <mergeCell ref="B3:B4"/>
    <mergeCell ref="C3:C4"/>
    <mergeCell ref="D3:D4"/>
    <mergeCell ref="E3:E4"/>
    <mergeCell ref="F3:F4"/>
    <mergeCell ref="G3:J3"/>
    <mergeCell ref="K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"/>
  <sheetViews>
    <sheetView workbookViewId="0">
      <selection sqref="A1:Q2"/>
    </sheetView>
  </sheetViews>
  <sheetFormatPr baseColWidth="10" defaultColWidth="9.1640625" defaultRowHeight="13"/>
  <cols>
    <col min="1" max="1" width="9.1640625" style="19"/>
    <col min="2" max="2" width="26" style="3" bestFit="1" customWidth="1"/>
    <col min="3" max="3" width="26.33203125" style="3" bestFit="1" customWidth="1"/>
    <col min="4" max="4" width="15.5" style="3" bestFit="1" customWidth="1"/>
    <col min="5" max="5" width="8.5" style="3" bestFit="1" customWidth="1"/>
    <col min="6" max="6" width="30.1640625" style="3" customWidth="1"/>
    <col min="7" max="9" width="5.5" style="2" customWidth="1"/>
    <col min="10" max="10" width="4.83203125" style="2" customWidth="1"/>
    <col min="11" max="13" width="5.5" style="2" customWidth="1"/>
    <col min="14" max="14" width="4.83203125" style="2" customWidth="1"/>
    <col min="15" max="15" width="7.83203125" style="2" bestFit="1" customWidth="1"/>
    <col min="16" max="16" width="8.5" style="2" bestFit="1" customWidth="1"/>
    <col min="17" max="17" width="16.33203125" style="3" bestFit="1" customWidth="1"/>
    <col min="18" max="16384" width="9.1640625" style="3"/>
  </cols>
  <sheetData>
    <row r="1" spans="1:17" s="2" customFormat="1" ht="29" customHeight="1">
      <c r="A1" s="53" t="s">
        <v>292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</row>
    <row r="2" spans="1:17" s="2" customFormat="1" ht="62" customHeight="1" thickBot="1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</row>
    <row r="3" spans="1:17" s="1" customFormat="1" ht="12.75" customHeight="1">
      <c r="A3" s="59" t="s">
        <v>316</v>
      </c>
      <c r="B3" s="51" t="s">
        <v>0</v>
      </c>
      <c r="C3" s="67" t="s">
        <v>317</v>
      </c>
      <c r="D3" s="67" t="s">
        <v>6</v>
      </c>
      <c r="E3" s="51" t="s">
        <v>318</v>
      </c>
      <c r="F3" s="51" t="s">
        <v>5</v>
      </c>
      <c r="G3" s="51" t="s">
        <v>8</v>
      </c>
      <c r="H3" s="51"/>
      <c r="I3" s="51"/>
      <c r="J3" s="51"/>
      <c r="K3" s="51" t="s">
        <v>9</v>
      </c>
      <c r="L3" s="51"/>
      <c r="M3" s="51"/>
      <c r="N3" s="51"/>
      <c r="O3" s="51" t="s">
        <v>1</v>
      </c>
      <c r="P3" s="51" t="s">
        <v>3</v>
      </c>
      <c r="Q3" s="64" t="s">
        <v>2</v>
      </c>
    </row>
    <row r="4" spans="1:17" s="1" customFormat="1" ht="21" customHeight="1" thickBot="1">
      <c r="A4" s="60"/>
      <c r="B4" s="52"/>
      <c r="C4" s="52"/>
      <c r="D4" s="52"/>
      <c r="E4" s="52"/>
      <c r="F4" s="52"/>
      <c r="G4" s="17">
        <v>1</v>
      </c>
      <c r="H4" s="17">
        <v>2</v>
      </c>
      <c r="I4" s="17">
        <v>3</v>
      </c>
      <c r="J4" s="17" t="s">
        <v>4</v>
      </c>
      <c r="K4" s="17">
        <v>1</v>
      </c>
      <c r="L4" s="17">
        <v>2</v>
      </c>
      <c r="M4" s="17">
        <v>3</v>
      </c>
      <c r="N4" s="17" t="s">
        <v>4</v>
      </c>
      <c r="O4" s="52"/>
      <c r="P4" s="52"/>
      <c r="Q4" s="65"/>
    </row>
    <row r="5" spans="1:17" ht="16">
      <c r="B5" s="61" t="s">
        <v>61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7">
      <c r="A6" s="20">
        <v>1</v>
      </c>
      <c r="B6" s="4" t="s">
        <v>62</v>
      </c>
      <c r="C6" s="4" t="s">
        <v>63</v>
      </c>
      <c r="D6" s="4" t="s">
        <v>64</v>
      </c>
      <c r="E6" s="4" t="s">
        <v>319</v>
      </c>
      <c r="F6" s="4" t="s">
        <v>65</v>
      </c>
      <c r="G6" s="26" t="s">
        <v>69</v>
      </c>
      <c r="H6" s="26" t="s">
        <v>22</v>
      </c>
      <c r="I6" s="26" t="s">
        <v>23</v>
      </c>
      <c r="J6" s="23"/>
      <c r="K6" s="26" t="s">
        <v>70</v>
      </c>
      <c r="L6" s="31" t="s">
        <v>71</v>
      </c>
      <c r="M6" s="26" t="s">
        <v>71</v>
      </c>
      <c r="N6" s="23"/>
      <c r="O6" s="10" t="str">
        <f>"520,0"</f>
        <v>520,0</v>
      </c>
      <c r="P6" s="10" t="str">
        <f>"316,4720"</f>
        <v>316,4720</v>
      </c>
      <c r="Q6" s="4" t="s">
        <v>290</v>
      </c>
    </row>
    <row r="8" spans="1:17" ht="16">
      <c r="B8" s="61" t="s">
        <v>80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1:17">
      <c r="A9" s="20">
        <v>1</v>
      </c>
      <c r="B9" s="4" t="s">
        <v>81</v>
      </c>
      <c r="C9" s="4" t="s">
        <v>82</v>
      </c>
      <c r="D9" s="4" t="s">
        <v>83</v>
      </c>
      <c r="E9" s="4" t="s">
        <v>319</v>
      </c>
      <c r="F9" s="4" t="s">
        <v>65</v>
      </c>
      <c r="G9" s="26" t="s">
        <v>77</v>
      </c>
      <c r="H9" s="26" t="s">
        <v>21</v>
      </c>
      <c r="I9" s="31" t="s">
        <v>69</v>
      </c>
      <c r="J9" s="23"/>
      <c r="K9" s="26" t="s">
        <v>85</v>
      </c>
      <c r="L9" s="26" t="s">
        <v>86</v>
      </c>
      <c r="M9" s="31" t="s">
        <v>87</v>
      </c>
      <c r="N9" s="23"/>
      <c r="O9" s="10" t="str">
        <f>"490,0"</f>
        <v>490,0</v>
      </c>
      <c r="P9" s="10" t="str">
        <f>"289,1980"</f>
        <v>289,1980</v>
      </c>
      <c r="Q9" s="4" t="s">
        <v>88</v>
      </c>
    </row>
    <row r="11" spans="1:17" ht="16">
      <c r="B11" s="61" t="s">
        <v>89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  <row r="12" spans="1:17">
      <c r="A12" s="20">
        <v>1</v>
      </c>
      <c r="B12" s="4" t="s">
        <v>90</v>
      </c>
      <c r="C12" s="4" t="s">
        <v>91</v>
      </c>
      <c r="D12" s="4" t="s">
        <v>92</v>
      </c>
      <c r="E12" s="4" t="s">
        <v>319</v>
      </c>
      <c r="F12" s="4" t="s">
        <v>306</v>
      </c>
      <c r="G12" s="26" t="s">
        <v>21</v>
      </c>
      <c r="H12" s="26" t="s">
        <v>69</v>
      </c>
      <c r="I12" s="31" t="s">
        <v>93</v>
      </c>
      <c r="J12" s="23"/>
      <c r="K12" s="26" t="s">
        <v>94</v>
      </c>
      <c r="L12" s="26" t="s">
        <v>85</v>
      </c>
      <c r="M12" s="26" t="s">
        <v>95</v>
      </c>
      <c r="N12" s="23"/>
      <c r="O12" s="10" t="str">
        <f>"480,0"</f>
        <v>480,0</v>
      </c>
      <c r="P12" s="10" t="str">
        <f>"279,1680"</f>
        <v>279,1680</v>
      </c>
      <c r="Q12" s="4"/>
    </row>
  </sheetData>
  <mergeCells count="15">
    <mergeCell ref="A1:Q2"/>
    <mergeCell ref="A3:A4"/>
    <mergeCell ref="B8:N8"/>
    <mergeCell ref="B11:N11"/>
    <mergeCell ref="O3:O4"/>
    <mergeCell ref="P3:P4"/>
    <mergeCell ref="Q3:Q4"/>
    <mergeCell ref="B5:N5"/>
    <mergeCell ref="B3:B4"/>
    <mergeCell ref="C3:C4"/>
    <mergeCell ref="D3:D4"/>
    <mergeCell ref="E3:E4"/>
    <mergeCell ref="F3:F4"/>
    <mergeCell ref="G3:J3"/>
    <mergeCell ref="K3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>
      <selection sqref="A1:M2"/>
    </sheetView>
  </sheetViews>
  <sheetFormatPr baseColWidth="10" defaultColWidth="9.1640625" defaultRowHeight="13"/>
  <cols>
    <col min="1" max="1" width="9.1640625" style="19"/>
    <col min="2" max="2" width="22.1640625" style="3" bestFit="1" customWidth="1"/>
    <col min="3" max="3" width="28.1640625" style="3" customWidth="1"/>
    <col min="4" max="4" width="13.6640625" style="3" bestFit="1" customWidth="1"/>
    <col min="5" max="5" width="9.83203125" style="3" customWidth="1"/>
    <col min="6" max="6" width="36.83203125" style="3" customWidth="1"/>
    <col min="7" max="9" width="5.6640625" style="2" bestFit="1" customWidth="1"/>
    <col min="10" max="10" width="4.33203125" style="2" bestFit="1" customWidth="1"/>
    <col min="11" max="11" width="10.5" style="2" bestFit="1" customWidth="1"/>
    <col min="12" max="12" width="8.6640625" style="2" bestFit="1" customWidth="1"/>
    <col min="13" max="13" width="21" style="3" customWidth="1"/>
    <col min="14" max="16384" width="9.1640625" style="3"/>
  </cols>
  <sheetData>
    <row r="1" spans="1:13" s="2" customFormat="1" ht="29" customHeight="1">
      <c r="A1" s="53" t="s">
        <v>295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s="2" customFormat="1" ht="62" customHeight="1" thickBot="1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</row>
    <row r="3" spans="1:13" s="1" customFormat="1" ht="12.75" customHeight="1">
      <c r="A3" s="59" t="s">
        <v>316</v>
      </c>
      <c r="B3" s="51" t="s">
        <v>0</v>
      </c>
      <c r="C3" s="67" t="s">
        <v>317</v>
      </c>
      <c r="D3" s="67" t="s">
        <v>6</v>
      </c>
      <c r="E3" s="51" t="s">
        <v>318</v>
      </c>
      <c r="F3" s="51" t="s">
        <v>5</v>
      </c>
      <c r="G3" s="51" t="s">
        <v>8</v>
      </c>
      <c r="H3" s="51"/>
      <c r="I3" s="51"/>
      <c r="J3" s="51"/>
      <c r="K3" s="51" t="s">
        <v>216</v>
      </c>
      <c r="L3" s="51" t="s">
        <v>3</v>
      </c>
      <c r="M3" s="64" t="s">
        <v>2</v>
      </c>
    </row>
    <row r="4" spans="1:13" s="1" customFormat="1" ht="21" customHeight="1" thickBot="1">
      <c r="A4" s="60"/>
      <c r="B4" s="52"/>
      <c r="C4" s="52"/>
      <c r="D4" s="52"/>
      <c r="E4" s="52"/>
      <c r="F4" s="52"/>
      <c r="G4" s="17">
        <v>1</v>
      </c>
      <c r="H4" s="17">
        <v>2</v>
      </c>
      <c r="I4" s="17">
        <v>3</v>
      </c>
      <c r="J4" s="17" t="s">
        <v>4</v>
      </c>
      <c r="K4" s="52"/>
      <c r="L4" s="52"/>
      <c r="M4" s="65"/>
    </row>
    <row r="5" spans="1:13" ht="16">
      <c r="B5" s="61" t="s">
        <v>217</v>
      </c>
      <c r="C5" s="66"/>
      <c r="D5" s="66"/>
      <c r="E5" s="66"/>
      <c r="F5" s="66"/>
      <c r="G5" s="66"/>
      <c r="H5" s="66"/>
      <c r="I5" s="66"/>
      <c r="J5" s="66"/>
    </row>
    <row r="6" spans="1:13">
      <c r="A6" s="20">
        <v>1</v>
      </c>
      <c r="B6" s="4" t="s">
        <v>218</v>
      </c>
      <c r="C6" s="4" t="s">
        <v>219</v>
      </c>
      <c r="D6" s="4" t="s">
        <v>220</v>
      </c>
      <c r="E6" s="4" t="s">
        <v>320</v>
      </c>
      <c r="F6" s="4" t="s">
        <v>28</v>
      </c>
      <c r="G6" s="26" t="s">
        <v>221</v>
      </c>
      <c r="H6" s="26" t="s">
        <v>222</v>
      </c>
      <c r="I6" s="26" t="s">
        <v>223</v>
      </c>
      <c r="J6" s="23"/>
      <c r="K6" s="10" t="str">
        <f>"35,0"</f>
        <v>35,0</v>
      </c>
      <c r="L6" s="10" t="str">
        <f>"47,5790"</f>
        <v>47,5790</v>
      </c>
      <c r="M6" s="4" t="s">
        <v>307</v>
      </c>
    </row>
    <row r="8" spans="1:13" ht="16">
      <c r="B8" s="61" t="s">
        <v>24</v>
      </c>
      <c r="C8" s="61"/>
      <c r="D8" s="61"/>
      <c r="E8" s="61"/>
      <c r="F8" s="61"/>
      <c r="G8" s="61"/>
      <c r="H8" s="61"/>
      <c r="I8" s="61"/>
      <c r="J8" s="61"/>
    </row>
    <row r="9" spans="1:13">
      <c r="A9" s="20">
        <v>1</v>
      </c>
      <c r="B9" s="4" t="s">
        <v>224</v>
      </c>
      <c r="C9" s="4" t="s">
        <v>225</v>
      </c>
      <c r="D9" s="4" t="s">
        <v>226</v>
      </c>
      <c r="E9" s="4" t="s">
        <v>320</v>
      </c>
      <c r="F9" s="4" t="s">
        <v>28</v>
      </c>
      <c r="G9" s="26" t="s">
        <v>18</v>
      </c>
      <c r="H9" s="31" t="s">
        <v>45</v>
      </c>
      <c r="I9" s="31" t="s">
        <v>45</v>
      </c>
      <c r="J9" s="23"/>
      <c r="K9" s="10" t="str">
        <f>"90,0"</f>
        <v>90,0</v>
      </c>
      <c r="L9" s="10" t="str">
        <f>"70,9290"</f>
        <v>70,9290</v>
      </c>
      <c r="M9" s="4"/>
    </row>
    <row r="11" spans="1:13" ht="16">
      <c r="B11" s="61" t="s">
        <v>36</v>
      </c>
      <c r="C11" s="61"/>
      <c r="D11" s="61"/>
      <c r="E11" s="61"/>
      <c r="F11" s="61"/>
      <c r="G11" s="61"/>
      <c r="H11" s="61"/>
      <c r="I11" s="61"/>
      <c r="J11" s="61"/>
    </row>
    <row r="12" spans="1:13">
      <c r="A12" s="20">
        <v>1</v>
      </c>
      <c r="B12" s="4" t="s">
        <v>148</v>
      </c>
      <c r="C12" s="4" t="s">
        <v>149</v>
      </c>
      <c r="D12" s="4" t="s">
        <v>150</v>
      </c>
      <c r="E12" s="4" t="s">
        <v>320</v>
      </c>
      <c r="F12" s="4" t="s">
        <v>151</v>
      </c>
      <c r="G12" s="26" t="s">
        <v>30</v>
      </c>
      <c r="H12" s="26" t="s">
        <v>31</v>
      </c>
      <c r="I12" s="26" t="s">
        <v>32</v>
      </c>
      <c r="J12" s="23"/>
      <c r="K12" s="10" t="str">
        <f>"65,0"</f>
        <v>65,0</v>
      </c>
      <c r="L12" s="10" t="str">
        <f>"46,3190"</f>
        <v>46,3190</v>
      </c>
      <c r="M12" s="4"/>
    </row>
    <row r="14" spans="1:13" ht="16">
      <c r="B14" s="61" t="s">
        <v>152</v>
      </c>
      <c r="C14" s="61"/>
      <c r="D14" s="61"/>
      <c r="E14" s="61"/>
      <c r="F14" s="61"/>
      <c r="G14" s="61"/>
      <c r="H14" s="61"/>
      <c r="I14" s="61"/>
      <c r="J14" s="61"/>
    </row>
    <row r="15" spans="1:13">
      <c r="A15" s="21">
        <v>1</v>
      </c>
      <c r="B15" s="6" t="s">
        <v>227</v>
      </c>
      <c r="C15" s="6" t="s">
        <v>228</v>
      </c>
      <c r="D15" s="6" t="s">
        <v>229</v>
      </c>
      <c r="E15" s="6" t="s">
        <v>319</v>
      </c>
      <c r="F15" s="6" t="s">
        <v>308</v>
      </c>
      <c r="G15" s="27" t="s">
        <v>76</v>
      </c>
      <c r="H15" s="29" t="s">
        <v>142</v>
      </c>
      <c r="I15" s="27" t="s">
        <v>142</v>
      </c>
      <c r="J15" s="24"/>
      <c r="K15" s="11" t="str">
        <f>"155,0"</f>
        <v>155,0</v>
      </c>
      <c r="L15" s="11" t="str">
        <f>"104,8420"</f>
        <v>104,8420</v>
      </c>
      <c r="M15" s="6"/>
    </row>
    <row r="16" spans="1:13">
      <c r="A16" s="22">
        <v>2</v>
      </c>
      <c r="B16" s="8" t="s">
        <v>230</v>
      </c>
      <c r="C16" s="8" t="s">
        <v>231</v>
      </c>
      <c r="D16" s="8" t="s">
        <v>232</v>
      </c>
      <c r="E16" s="8" t="s">
        <v>319</v>
      </c>
      <c r="F16" s="8" t="s">
        <v>65</v>
      </c>
      <c r="G16" s="30" t="s">
        <v>134</v>
      </c>
      <c r="H16" s="28" t="s">
        <v>233</v>
      </c>
      <c r="I16" s="30" t="s">
        <v>163</v>
      </c>
      <c r="J16" s="25"/>
      <c r="K16" s="12" t="str">
        <f>"127,5"</f>
        <v>127,5</v>
      </c>
      <c r="L16" s="12" t="str">
        <f>"88,1025"</f>
        <v>88,1025</v>
      </c>
      <c r="M16" s="8" t="s">
        <v>290</v>
      </c>
    </row>
    <row r="18" spans="1:13" ht="16">
      <c r="B18" s="61" t="s">
        <v>51</v>
      </c>
      <c r="C18" s="61"/>
      <c r="D18" s="61"/>
      <c r="E18" s="61"/>
      <c r="F18" s="61"/>
      <c r="G18" s="61"/>
      <c r="H18" s="61"/>
      <c r="I18" s="61"/>
      <c r="J18" s="61"/>
    </row>
    <row r="19" spans="1:13">
      <c r="A19" s="21">
        <v>1</v>
      </c>
      <c r="B19" s="6" t="s">
        <v>234</v>
      </c>
      <c r="C19" s="6" t="s">
        <v>235</v>
      </c>
      <c r="D19" s="6" t="s">
        <v>54</v>
      </c>
      <c r="E19" s="6" t="s">
        <v>319</v>
      </c>
      <c r="F19" s="6" t="s">
        <v>28</v>
      </c>
      <c r="G19" s="29" t="s">
        <v>117</v>
      </c>
      <c r="H19" s="27" t="s">
        <v>16</v>
      </c>
      <c r="I19" s="27" t="s">
        <v>76</v>
      </c>
      <c r="J19" s="24"/>
      <c r="K19" s="11" t="str">
        <f>"145,0"</f>
        <v>145,0</v>
      </c>
      <c r="L19" s="11" t="str">
        <f>"93,1480"</f>
        <v>93,1480</v>
      </c>
      <c r="M19" s="6"/>
    </row>
    <row r="20" spans="1:13">
      <c r="A20" s="42">
        <v>1</v>
      </c>
      <c r="B20" s="15" t="s">
        <v>234</v>
      </c>
      <c r="C20" s="15" t="s">
        <v>281</v>
      </c>
      <c r="D20" s="15" t="s">
        <v>54</v>
      </c>
      <c r="E20" s="15" t="s">
        <v>322</v>
      </c>
      <c r="F20" s="15" t="s">
        <v>28</v>
      </c>
      <c r="G20" s="41" t="s">
        <v>117</v>
      </c>
      <c r="H20" s="40" t="s">
        <v>16</v>
      </c>
      <c r="I20" s="40" t="s">
        <v>76</v>
      </c>
      <c r="J20" s="39"/>
      <c r="K20" s="16" t="str">
        <f>"145,0"</f>
        <v>145,0</v>
      </c>
      <c r="L20" s="16" t="str">
        <f>"94,4521"</f>
        <v>94,4521</v>
      </c>
      <c r="M20" s="15"/>
    </row>
    <row r="21" spans="1:13">
      <c r="A21" s="22">
        <v>1</v>
      </c>
      <c r="B21" s="8" t="s">
        <v>236</v>
      </c>
      <c r="C21" s="8" t="s">
        <v>282</v>
      </c>
      <c r="D21" s="8" t="s">
        <v>237</v>
      </c>
      <c r="E21" s="8" t="s">
        <v>323</v>
      </c>
      <c r="F21" s="8" t="s">
        <v>151</v>
      </c>
      <c r="G21" s="30" t="s">
        <v>116</v>
      </c>
      <c r="H21" s="28" t="s">
        <v>163</v>
      </c>
      <c r="I21" s="28" t="s">
        <v>117</v>
      </c>
      <c r="J21" s="25"/>
      <c r="K21" s="12" t="str">
        <f>"135,0"</f>
        <v>135,0</v>
      </c>
      <c r="L21" s="12" t="str">
        <f>"102,7651"</f>
        <v>102,7651</v>
      </c>
      <c r="M21" s="8"/>
    </row>
    <row r="23" spans="1:13" ht="16">
      <c r="B23" s="61" t="s">
        <v>61</v>
      </c>
      <c r="C23" s="61"/>
      <c r="D23" s="61"/>
      <c r="E23" s="61"/>
      <c r="F23" s="61"/>
      <c r="G23" s="61"/>
      <c r="H23" s="61"/>
      <c r="I23" s="61"/>
      <c r="J23" s="61"/>
    </row>
    <row r="24" spans="1:13">
      <c r="A24" s="20">
        <v>1</v>
      </c>
      <c r="B24" s="4" t="s">
        <v>238</v>
      </c>
      <c r="C24" s="4" t="s">
        <v>239</v>
      </c>
      <c r="D24" s="4" t="s">
        <v>240</v>
      </c>
      <c r="E24" s="4" t="s">
        <v>319</v>
      </c>
      <c r="F24" s="4" t="s">
        <v>65</v>
      </c>
      <c r="G24" s="26" t="s">
        <v>93</v>
      </c>
      <c r="H24" s="26" t="s">
        <v>22</v>
      </c>
      <c r="I24" s="31" t="s">
        <v>167</v>
      </c>
      <c r="J24" s="23"/>
      <c r="K24" s="10" t="str">
        <f>"180,0"</f>
        <v>180,0</v>
      </c>
      <c r="L24" s="10" t="str">
        <f>"110,0340"</f>
        <v>110,0340</v>
      </c>
      <c r="M24" s="4"/>
    </row>
  </sheetData>
  <mergeCells count="17">
    <mergeCell ref="A1:M2"/>
    <mergeCell ref="A3:A4"/>
    <mergeCell ref="B8:J8"/>
    <mergeCell ref="B11:J11"/>
    <mergeCell ref="B14:J14"/>
    <mergeCell ref="B18:J18"/>
    <mergeCell ref="B23:J23"/>
    <mergeCell ref="K3:K4"/>
    <mergeCell ref="L3:L4"/>
    <mergeCell ref="M3:M4"/>
    <mergeCell ref="B5:J5"/>
    <mergeCell ref="B3:B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8"/>
  <sheetViews>
    <sheetView workbookViewId="0">
      <selection sqref="A1:M2"/>
    </sheetView>
  </sheetViews>
  <sheetFormatPr baseColWidth="10" defaultColWidth="9.1640625" defaultRowHeight="13"/>
  <cols>
    <col min="1" max="1" width="9.1640625" style="19"/>
    <col min="2" max="2" width="26" style="3" bestFit="1" customWidth="1"/>
    <col min="3" max="3" width="29" style="3" bestFit="1" customWidth="1"/>
    <col min="4" max="4" width="15.5" style="3" bestFit="1" customWidth="1"/>
    <col min="5" max="5" width="11.83203125" style="3" bestFit="1" customWidth="1"/>
    <col min="6" max="6" width="34" style="3" bestFit="1" customWidth="1"/>
    <col min="7" max="9" width="5.5" style="2" customWidth="1"/>
    <col min="10" max="10" width="4.83203125" style="2" customWidth="1"/>
    <col min="11" max="11" width="10.5" style="2" bestFit="1" customWidth="1"/>
    <col min="12" max="12" width="8.5" style="2" bestFit="1" customWidth="1"/>
    <col min="13" max="13" width="29.6640625" style="3" bestFit="1" customWidth="1"/>
    <col min="14" max="16384" width="9.1640625" style="3"/>
  </cols>
  <sheetData>
    <row r="1" spans="1:13" s="2" customFormat="1" ht="29" customHeight="1">
      <c r="A1" s="53" t="s">
        <v>296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s="2" customFormat="1" ht="62" customHeight="1" thickBot="1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</row>
    <row r="3" spans="1:13" s="1" customFormat="1" ht="12.75" customHeight="1">
      <c r="A3" s="59" t="s">
        <v>316</v>
      </c>
      <c r="B3" s="51" t="s">
        <v>0</v>
      </c>
      <c r="C3" s="67" t="s">
        <v>317</v>
      </c>
      <c r="D3" s="67" t="s">
        <v>6</v>
      </c>
      <c r="E3" s="51" t="s">
        <v>318</v>
      </c>
      <c r="F3" s="51" t="s">
        <v>5</v>
      </c>
      <c r="G3" s="51" t="s">
        <v>8</v>
      </c>
      <c r="H3" s="51"/>
      <c r="I3" s="51"/>
      <c r="J3" s="51"/>
      <c r="K3" s="51" t="s">
        <v>216</v>
      </c>
      <c r="L3" s="51" t="s">
        <v>3</v>
      </c>
      <c r="M3" s="64" t="s">
        <v>2</v>
      </c>
    </row>
    <row r="4" spans="1:13" s="1" customFormat="1" ht="21" customHeight="1" thickBot="1">
      <c r="A4" s="60"/>
      <c r="B4" s="52"/>
      <c r="C4" s="52"/>
      <c r="D4" s="52"/>
      <c r="E4" s="52"/>
      <c r="F4" s="52"/>
      <c r="G4" s="17">
        <v>1</v>
      </c>
      <c r="H4" s="17">
        <v>2</v>
      </c>
      <c r="I4" s="17">
        <v>3</v>
      </c>
      <c r="J4" s="17" t="s">
        <v>4</v>
      </c>
      <c r="K4" s="52"/>
      <c r="L4" s="52"/>
      <c r="M4" s="65"/>
    </row>
    <row r="5" spans="1:13" ht="16">
      <c r="B5" s="61" t="s">
        <v>110</v>
      </c>
      <c r="C5" s="66"/>
      <c r="D5" s="66"/>
      <c r="E5" s="66"/>
      <c r="F5" s="66"/>
      <c r="G5" s="66"/>
      <c r="H5" s="66"/>
      <c r="I5" s="66"/>
      <c r="J5" s="66"/>
    </row>
    <row r="6" spans="1:13">
      <c r="A6" s="20">
        <v>1</v>
      </c>
      <c r="B6" s="4" t="s">
        <v>169</v>
      </c>
      <c r="C6" s="4" t="s">
        <v>283</v>
      </c>
      <c r="D6" s="4" t="s">
        <v>170</v>
      </c>
      <c r="E6" s="4" t="s">
        <v>324</v>
      </c>
      <c r="F6" s="4" t="s">
        <v>28</v>
      </c>
      <c r="G6" s="26" t="s">
        <v>49</v>
      </c>
      <c r="H6" s="26" t="s">
        <v>131</v>
      </c>
      <c r="I6" s="31" t="s">
        <v>44</v>
      </c>
      <c r="J6" s="23"/>
      <c r="K6" s="10" t="str">
        <f>"47,5"</f>
        <v>47,5</v>
      </c>
      <c r="L6" s="10" t="str">
        <f>"60,8380"</f>
        <v>60,8380</v>
      </c>
      <c r="M6" s="4" t="s">
        <v>310</v>
      </c>
    </row>
    <row r="8" spans="1:13" ht="16">
      <c r="B8" s="61" t="s">
        <v>24</v>
      </c>
      <c r="C8" s="61"/>
      <c r="D8" s="61"/>
      <c r="E8" s="61"/>
      <c r="F8" s="61"/>
      <c r="G8" s="61"/>
      <c r="H8" s="61"/>
      <c r="I8" s="61"/>
      <c r="J8" s="61"/>
    </row>
    <row r="9" spans="1:13">
      <c r="A9" s="21">
        <v>1</v>
      </c>
      <c r="B9" s="6" t="s">
        <v>171</v>
      </c>
      <c r="C9" s="6" t="s">
        <v>172</v>
      </c>
      <c r="D9" s="6" t="s">
        <v>173</v>
      </c>
      <c r="E9" s="6" t="s">
        <v>320</v>
      </c>
      <c r="F9" s="6" t="s">
        <v>28</v>
      </c>
      <c r="G9" s="27" t="s">
        <v>42</v>
      </c>
      <c r="H9" s="27" t="s">
        <v>174</v>
      </c>
      <c r="I9" s="27" t="s">
        <v>18</v>
      </c>
      <c r="J9" s="24"/>
      <c r="K9" s="11" t="str">
        <f>"90,0"</f>
        <v>90,0</v>
      </c>
      <c r="L9" s="11" t="str">
        <f>"74,4300"</f>
        <v>74,4300</v>
      </c>
      <c r="M9" s="6" t="s">
        <v>311</v>
      </c>
    </row>
    <row r="10" spans="1:13">
      <c r="A10" s="42">
        <v>1</v>
      </c>
      <c r="B10" s="15" t="s">
        <v>175</v>
      </c>
      <c r="C10" s="15" t="s">
        <v>284</v>
      </c>
      <c r="D10" s="15" t="s">
        <v>176</v>
      </c>
      <c r="E10" s="15" t="s">
        <v>324</v>
      </c>
      <c r="F10" s="15" t="s">
        <v>28</v>
      </c>
      <c r="G10" s="40" t="s">
        <v>18</v>
      </c>
      <c r="H10" s="41" t="s">
        <v>177</v>
      </c>
      <c r="I10" s="41" t="s">
        <v>177</v>
      </c>
      <c r="J10" s="39"/>
      <c r="K10" s="16" t="str">
        <f>"90,0"</f>
        <v>90,0</v>
      </c>
      <c r="L10" s="16" t="str">
        <f>"70,6680"</f>
        <v>70,6680</v>
      </c>
      <c r="M10" s="15" t="s">
        <v>310</v>
      </c>
    </row>
    <row r="11" spans="1:13">
      <c r="A11" s="22">
        <v>1</v>
      </c>
      <c r="B11" s="8" t="s">
        <v>178</v>
      </c>
      <c r="C11" s="8" t="s">
        <v>179</v>
      </c>
      <c r="D11" s="8" t="s">
        <v>180</v>
      </c>
      <c r="E11" s="8" t="s">
        <v>319</v>
      </c>
      <c r="F11" s="8" t="s">
        <v>181</v>
      </c>
      <c r="G11" s="28" t="s">
        <v>76</v>
      </c>
      <c r="H11" s="30" t="s">
        <v>77</v>
      </c>
      <c r="I11" s="30" t="s">
        <v>77</v>
      </c>
      <c r="J11" s="25"/>
      <c r="K11" s="12" t="str">
        <f>"145,0"</f>
        <v>145,0</v>
      </c>
      <c r="L11" s="12" t="str">
        <f>"113,0130"</f>
        <v>113,0130</v>
      </c>
      <c r="M11" s="8" t="s">
        <v>312</v>
      </c>
    </row>
    <row r="13" spans="1:13" ht="16">
      <c r="B13" s="61" t="s">
        <v>36</v>
      </c>
      <c r="C13" s="61"/>
      <c r="D13" s="61"/>
      <c r="E13" s="61"/>
      <c r="F13" s="61"/>
      <c r="G13" s="61"/>
      <c r="H13" s="61"/>
      <c r="I13" s="61"/>
      <c r="J13" s="61"/>
    </row>
    <row r="14" spans="1:13">
      <c r="A14" s="21">
        <v>1</v>
      </c>
      <c r="B14" s="6" t="s">
        <v>182</v>
      </c>
      <c r="C14" s="6" t="s">
        <v>183</v>
      </c>
      <c r="D14" s="6" t="s">
        <v>184</v>
      </c>
      <c r="E14" s="6" t="s">
        <v>320</v>
      </c>
      <c r="F14" s="6" t="s">
        <v>28</v>
      </c>
      <c r="G14" s="27" t="s">
        <v>114</v>
      </c>
      <c r="H14" s="27" t="s">
        <v>18</v>
      </c>
      <c r="I14" s="29" t="s">
        <v>177</v>
      </c>
      <c r="J14" s="24"/>
      <c r="K14" s="11" t="str">
        <f>"90,0"</f>
        <v>90,0</v>
      </c>
      <c r="L14" s="11" t="str">
        <f>"64,8630"</f>
        <v>64,8630</v>
      </c>
      <c r="M14" s="6" t="s">
        <v>313</v>
      </c>
    </row>
    <row r="15" spans="1:13">
      <c r="A15" s="22">
        <v>2</v>
      </c>
      <c r="B15" s="8" t="s">
        <v>185</v>
      </c>
      <c r="C15" s="8" t="s">
        <v>186</v>
      </c>
      <c r="D15" s="8" t="s">
        <v>187</v>
      </c>
      <c r="E15" s="8" t="s">
        <v>320</v>
      </c>
      <c r="F15" s="8" t="s">
        <v>28</v>
      </c>
      <c r="G15" s="30" t="s">
        <v>50</v>
      </c>
      <c r="H15" s="28" t="s">
        <v>50</v>
      </c>
      <c r="I15" s="30" t="s">
        <v>114</v>
      </c>
      <c r="J15" s="25"/>
      <c r="K15" s="12" t="str">
        <f>"80,0"</f>
        <v>80,0</v>
      </c>
      <c r="L15" s="12" t="str">
        <f>"61,3200"</f>
        <v>61,3200</v>
      </c>
      <c r="M15" s="8" t="s">
        <v>311</v>
      </c>
    </row>
    <row r="17" spans="1:13" ht="16">
      <c r="B17" s="61" t="s">
        <v>152</v>
      </c>
      <c r="C17" s="61"/>
      <c r="D17" s="61"/>
      <c r="E17" s="61"/>
      <c r="F17" s="61"/>
      <c r="G17" s="61"/>
      <c r="H17" s="61"/>
      <c r="I17" s="61"/>
      <c r="J17" s="61"/>
    </row>
    <row r="18" spans="1:13">
      <c r="A18" s="21">
        <v>1</v>
      </c>
      <c r="B18" s="6" t="s">
        <v>188</v>
      </c>
      <c r="C18" s="6" t="s">
        <v>189</v>
      </c>
      <c r="D18" s="6" t="s">
        <v>190</v>
      </c>
      <c r="E18" s="6" t="s">
        <v>320</v>
      </c>
      <c r="F18" s="6" t="s">
        <v>28</v>
      </c>
      <c r="G18" s="27" t="s">
        <v>50</v>
      </c>
      <c r="H18" s="27" t="s">
        <v>114</v>
      </c>
      <c r="I18" s="27" t="s">
        <v>177</v>
      </c>
      <c r="J18" s="24"/>
      <c r="K18" s="11" t="str">
        <f>"92,5"</f>
        <v>92,5</v>
      </c>
      <c r="L18" s="11" t="str">
        <f>"62,8075"</f>
        <v>62,8075</v>
      </c>
      <c r="M18" s="6" t="s">
        <v>313</v>
      </c>
    </row>
    <row r="19" spans="1:13">
      <c r="A19" s="22">
        <v>2</v>
      </c>
      <c r="B19" s="8" t="s">
        <v>191</v>
      </c>
      <c r="C19" s="8" t="s">
        <v>192</v>
      </c>
      <c r="D19" s="8" t="s">
        <v>193</v>
      </c>
      <c r="E19" s="8" t="s">
        <v>320</v>
      </c>
      <c r="F19" s="8" t="s">
        <v>28</v>
      </c>
      <c r="G19" s="28" t="s">
        <v>41</v>
      </c>
      <c r="H19" s="30" t="s">
        <v>50</v>
      </c>
      <c r="I19" s="30" t="s">
        <v>50</v>
      </c>
      <c r="J19" s="25"/>
      <c r="K19" s="12" t="str">
        <f>"75,0"</f>
        <v>75,0</v>
      </c>
      <c r="L19" s="12" t="str">
        <f>"52,8150"</f>
        <v>52,8150</v>
      </c>
      <c r="M19" s="8" t="s">
        <v>311</v>
      </c>
    </row>
    <row r="21" spans="1:13" ht="16">
      <c r="B21" s="61" t="s">
        <v>61</v>
      </c>
      <c r="C21" s="61"/>
      <c r="D21" s="61"/>
      <c r="E21" s="61"/>
      <c r="F21" s="61"/>
      <c r="G21" s="61"/>
      <c r="H21" s="61"/>
      <c r="I21" s="61"/>
      <c r="J21" s="61"/>
    </row>
    <row r="22" spans="1:13">
      <c r="A22" s="21">
        <v>1</v>
      </c>
      <c r="B22" s="6" t="s">
        <v>62</v>
      </c>
      <c r="C22" s="6" t="s">
        <v>63</v>
      </c>
      <c r="D22" s="6" t="s">
        <v>64</v>
      </c>
      <c r="E22" s="6" t="s">
        <v>319</v>
      </c>
      <c r="F22" s="6" t="s">
        <v>65</v>
      </c>
      <c r="G22" s="27" t="s">
        <v>69</v>
      </c>
      <c r="H22" s="27" t="s">
        <v>22</v>
      </c>
      <c r="I22" s="27" t="s">
        <v>23</v>
      </c>
      <c r="J22" s="24"/>
      <c r="K22" s="11" t="str">
        <f>"190,0"</f>
        <v>190,0</v>
      </c>
      <c r="L22" s="11" t="str">
        <f>"115,6340"</f>
        <v>115,6340</v>
      </c>
      <c r="M22" s="6" t="s">
        <v>290</v>
      </c>
    </row>
    <row r="23" spans="1:13">
      <c r="A23" s="42">
        <v>2</v>
      </c>
      <c r="B23" s="15" t="s">
        <v>194</v>
      </c>
      <c r="C23" s="15" t="s">
        <v>195</v>
      </c>
      <c r="D23" s="15" t="s">
        <v>64</v>
      </c>
      <c r="E23" s="15" t="s">
        <v>319</v>
      </c>
      <c r="F23" s="15" t="s">
        <v>28</v>
      </c>
      <c r="G23" s="40" t="s">
        <v>69</v>
      </c>
      <c r="H23" s="41" t="s">
        <v>93</v>
      </c>
      <c r="I23" s="41" t="s">
        <v>93</v>
      </c>
      <c r="J23" s="39"/>
      <c r="K23" s="16" t="str">
        <f>"170,0"</f>
        <v>170,0</v>
      </c>
      <c r="L23" s="16" t="str">
        <f>"103,4620"</f>
        <v>103,4620</v>
      </c>
      <c r="M23" s="15"/>
    </row>
    <row r="24" spans="1:13">
      <c r="A24" s="42">
        <v>1</v>
      </c>
      <c r="B24" s="15" t="s">
        <v>194</v>
      </c>
      <c r="C24" s="15" t="s">
        <v>285</v>
      </c>
      <c r="D24" s="15" t="s">
        <v>64</v>
      </c>
      <c r="E24" s="15" t="s">
        <v>322</v>
      </c>
      <c r="F24" s="15" t="s">
        <v>28</v>
      </c>
      <c r="G24" s="40" t="s">
        <v>69</v>
      </c>
      <c r="H24" s="41" t="s">
        <v>93</v>
      </c>
      <c r="I24" s="41" t="s">
        <v>93</v>
      </c>
      <c r="J24" s="39"/>
      <c r="K24" s="16" t="str">
        <f>"170,0"</f>
        <v>170,0</v>
      </c>
      <c r="L24" s="16" t="str">
        <f>"108,0143"</f>
        <v>108,0143</v>
      </c>
      <c r="M24" s="15"/>
    </row>
    <row r="25" spans="1:13">
      <c r="A25" s="22">
        <v>2</v>
      </c>
      <c r="B25" s="8" t="s">
        <v>196</v>
      </c>
      <c r="C25" s="8" t="s">
        <v>286</v>
      </c>
      <c r="D25" s="8" t="s">
        <v>197</v>
      </c>
      <c r="E25" s="8" t="s">
        <v>325</v>
      </c>
      <c r="F25" s="8" t="s">
        <v>28</v>
      </c>
      <c r="G25" s="28" t="s">
        <v>77</v>
      </c>
      <c r="H25" s="28" t="s">
        <v>58</v>
      </c>
      <c r="I25" s="28" t="s">
        <v>21</v>
      </c>
      <c r="J25" s="25"/>
      <c r="K25" s="12" t="str">
        <f>"160,0"</f>
        <v>160,0</v>
      </c>
      <c r="L25" s="12" t="str">
        <f>"101,5622"</f>
        <v>101,5622</v>
      </c>
      <c r="M25" s="8"/>
    </row>
    <row r="27" spans="1:13" ht="16">
      <c r="B27" s="61" t="s">
        <v>80</v>
      </c>
      <c r="C27" s="61"/>
      <c r="D27" s="61"/>
      <c r="E27" s="61"/>
      <c r="F27" s="61"/>
      <c r="G27" s="61"/>
      <c r="H27" s="61"/>
      <c r="I27" s="61"/>
      <c r="J27" s="61"/>
    </row>
    <row r="28" spans="1:13">
      <c r="A28" s="21">
        <v>1</v>
      </c>
      <c r="B28" s="6" t="s">
        <v>198</v>
      </c>
      <c r="C28" s="6" t="s">
        <v>199</v>
      </c>
      <c r="D28" s="6" t="s">
        <v>200</v>
      </c>
      <c r="E28" s="6" t="s">
        <v>319</v>
      </c>
      <c r="F28" s="6" t="s">
        <v>28</v>
      </c>
      <c r="G28" s="27" t="s">
        <v>159</v>
      </c>
      <c r="H28" s="27" t="s">
        <v>56</v>
      </c>
      <c r="I28" s="29" t="s">
        <v>59</v>
      </c>
      <c r="J28" s="24"/>
      <c r="K28" s="11" t="str">
        <f>"215,0"</f>
        <v>215,0</v>
      </c>
      <c r="L28" s="11" t="str">
        <f>"126,7855"</f>
        <v>126,7855</v>
      </c>
      <c r="M28" s="6"/>
    </row>
    <row r="29" spans="1:13">
      <c r="A29" s="22">
        <v>1</v>
      </c>
      <c r="B29" s="8" t="s">
        <v>201</v>
      </c>
      <c r="C29" s="8" t="s">
        <v>287</v>
      </c>
      <c r="D29" s="8" t="s">
        <v>202</v>
      </c>
      <c r="E29" s="8" t="s">
        <v>326</v>
      </c>
      <c r="F29" s="8" t="s">
        <v>151</v>
      </c>
      <c r="G29" s="28" t="s">
        <v>117</v>
      </c>
      <c r="H29" s="28" t="s">
        <v>203</v>
      </c>
      <c r="I29" s="30" t="s">
        <v>17</v>
      </c>
      <c r="J29" s="25"/>
      <c r="K29" s="12" t="str">
        <f>"142,5"</f>
        <v>142,5</v>
      </c>
      <c r="L29" s="12" t="str">
        <f>"133,6737"</f>
        <v>133,6737</v>
      </c>
      <c r="M29" s="8"/>
    </row>
    <row r="31" spans="1:13" ht="16">
      <c r="B31" s="61" t="s">
        <v>89</v>
      </c>
      <c r="C31" s="61"/>
      <c r="D31" s="61"/>
      <c r="E31" s="61"/>
      <c r="F31" s="61"/>
      <c r="G31" s="61"/>
      <c r="H31" s="61"/>
      <c r="I31" s="61"/>
      <c r="J31" s="61"/>
    </row>
    <row r="32" spans="1:13">
      <c r="A32" s="21">
        <v>1</v>
      </c>
      <c r="B32" s="6" t="s">
        <v>204</v>
      </c>
      <c r="C32" s="6" t="s">
        <v>205</v>
      </c>
      <c r="D32" s="6" t="s">
        <v>206</v>
      </c>
      <c r="E32" s="6" t="s">
        <v>319</v>
      </c>
      <c r="F32" s="6" t="s">
        <v>151</v>
      </c>
      <c r="G32" s="27" t="s">
        <v>23</v>
      </c>
      <c r="H32" s="27" t="s">
        <v>207</v>
      </c>
      <c r="I32" s="27" t="s">
        <v>159</v>
      </c>
      <c r="J32" s="24"/>
      <c r="K32" s="11" t="str">
        <f>"210,0"</f>
        <v>210,0</v>
      </c>
      <c r="L32" s="11" t="str">
        <f>"121,0020"</f>
        <v>121,0020</v>
      </c>
      <c r="M32" s="6"/>
    </row>
    <row r="33" spans="1:13">
      <c r="A33" s="42">
        <v>2</v>
      </c>
      <c r="B33" s="15" t="s">
        <v>90</v>
      </c>
      <c r="C33" s="15" t="s">
        <v>91</v>
      </c>
      <c r="D33" s="15" t="s">
        <v>92</v>
      </c>
      <c r="E33" s="15" t="s">
        <v>319</v>
      </c>
      <c r="F33" s="15" t="s">
        <v>305</v>
      </c>
      <c r="G33" s="40" t="s">
        <v>21</v>
      </c>
      <c r="H33" s="40" t="s">
        <v>69</v>
      </c>
      <c r="I33" s="41" t="s">
        <v>93</v>
      </c>
      <c r="J33" s="39"/>
      <c r="K33" s="16" t="str">
        <f>"170,0"</f>
        <v>170,0</v>
      </c>
      <c r="L33" s="16" t="str">
        <f>"98,8720"</f>
        <v>98,8720</v>
      </c>
      <c r="M33" s="15"/>
    </row>
    <row r="34" spans="1:13">
      <c r="A34" s="22">
        <v>1</v>
      </c>
      <c r="B34" s="8" t="s">
        <v>204</v>
      </c>
      <c r="C34" s="8" t="s">
        <v>288</v>
      </c>
      <c r="D34" s="8" t="s">
        <v>206</v>
      </c>
      <c r="E34" s="8" t="s">
        <v>322</v>
      </c>
      <c r="F34" s="8" t="s">
        <v>151</v>
      </c>
      <c r="G34" s="28" t="s">
        <v>23</v>
      </c>
      <c r="H34" s="28" t="s">
        <v>207</v>
      </c>
      <c r="I34" s="28" t="s">
        <v>159</v>
      </c>
      <c r="J34" s="25"/>
      <c r="K34" s="12" t="str">
        <f>"210,0"</f>
        <v>210,0</v>
      </c>
      <c r="L34" s="12" t="str">
        <f>"126,3261"</f>
        <v>126,3261</v>
      </c>
      <c r="M34" s="8"/>
    </row>
    <row r="36" spans="1:13" ht="16">
      <c r="B36" s="61" t="s">
        <v>208</v>
      </c>
      <c r="C36" s="61"/>
      <c r="D36" s="61"/>
      <c r="E36" s="61"/>
      <c r="F36" s="61"/>
      <c r="G36" s="61"/>
      <c r="H36" s="61"/>
      <c r="I36" s="61"/>
      <c r="J36" s="61"/>
    </row>
    <row r="37" spans="1:13">
      <c r="A37" s="21">
        <v>1</v>
      </c>
      <c r="B37" s="6" t="s">
        <v>209</v>
      </c>
      <c r="C37" s="6" t="s">
        <v>210</v>
      </c>
      <c r="D37" s="6" t="s">
        <v>211</v>
      </c>
      <c r="E37" s="6" t="s">
        <v>319</v>
      </c>
      <c r="F37" s="6" t="s">
        <v>151</v>
      </c>
      <c r="G37" s="27" t="s">
        <v>69</v>
      </c>
      <c r="H37" s="27" t="s">
        <v>22</v>
      </c>
      <c r="I37" s="29" t="s">
        <v>23</v>
      </c>
      <c r="J37" s="24"/>
      <c r="K37" s="11" t="str">
        <f>"180,0"</f>
        <v>180,0</v>
      </c>
      <c r="L37" s="11" t="str">
        <f>"102,5640"</f>
        <v>102,5640</v>
      </c>
      <c r="M37" s="6"/>
    </row>
    <row r="38" spans="1:13">
      <c r="A38" s="22">
        <v>1</v>
      </c>
      <c r="B38" s="8" t="s">
        <v>209</v>
      </c>
      <c r="C38" s="8" t="s">
        <v>289</v>
      </c>
      <c r="D38" s="8" t="s">
        <v>211</v>
      </c>
      <c r="E38" s="8" t="s">
        <v>323</v>
      </c>
      <c r="F38" s="8" t="s">
        <v>151</v>
      </c>
      <c r="G38" s="28" t="s">
        <v>69</v>
      </c>
      <c r="H38" s="28" t="s">
        <v>22</v>
      </c>
      <c r="I38" s="30" t="s">
        <v>23</v>
      </c>
      <c r="J38" s="25"/>
      <c r="K38" s="12" t="str">
        <f>"180,0"</f>
        <v>180,0</v>
      </c>
      <c r="L38" s="12" t="str">
        <f>"117,9486"</f>
        <v>117,9486</v>
      </c>
      <c r="M38" s="8"/>
    </row>
    <row r="42" spans="1:13" ht="18">
      <c r="B42" s="32" t="s">
        <v>96</v>
      </c>
      <c r="C42" s="32"/>
    </row>
    <row r="43" spans="1:13" ht="16">
      <c r="B43" s="18" t="s">
        <v>97</v>
      </c>
      <c r="C43" s="18"/>
    </row>
    <row r="44" spans="1:13" ht="14">
      <c r="B44" s="33"/>
      <c r="C44" s="33" t="s">
        <v>106</v>
      </c>
    </row>
    <row r="45" spans="1:13" ht="14">
      <c r="B45" s="13" t="s">
        <v>99</v>
      </c>
      <c r="C45" s="13" t="s">
        <v>100</v>
      </c>
      <c r="D45" s="13" t="s">
        <v>309</v>
      </c>
      <c r="E45" s="13" t="s">
        <v>212</v>
      </c>
      <c r="F45" s="13" t="s">
        <v>102</v>
      </c>
    </row>
    <row r="46" spans="1:13">
      <c r="B46" s="3" t="s">
        <v>198</v>
      </c>
      <c r="C46" s="3" t="s">
        <v>106</v>
      </c>
      <c r="D46" s="2" t="s">
        <v>108</v>
      </c>
      <c r="E46" s="2" t="s">
        <v>56</v>
      </c>
      <c r="F46" s="34" t="s">
        <v>213</v>
      </c>
    </row>
    <row r="47" spans="1:13">
      <c r="B47" s="3" t="s">
        <v>204</v>
      </c>
      <c r="C47" s="3" t="s">
        <v>106</v>
      </c>
      <c r="D47" s="2" t="s">
        <v>109</v>
      </c>
      <c r="E47" s="2" t="s">
        <v>159</v>
      </c>
      <c r="F47" s="34" t="s">
        <v>214</v>
      </c>
    </row>
    <row r="48" spans="1:13">
      <c r="B48" s="3" t="s">
        <v>62</v>
      </c>
      <c r="C48" s="3" t="s">
        <v>106</v>
      </c>
      <c r="D48" s="2" t="s">
        <v>107</v>
      </c>
      <c r="E48" s="2" t="s">
        <v>23</v>
      </c>
      <c r="F48" s="34" t="s">
        <v>215</v>
      </c>
    </row>
  </sheetData>
  <mergeCells count="19">
    <mergeCell ref="B5:J5"/>
    <mergeCell ref="B3:B4"/>
    <mergeCell ref="C3:C4"/>
    <mergeCell ref="D3:D4"/>
    <mergeCell ref="B36:J36"/>
    <mergeCell ref="B8:J8"/>
    <mergeCell ref="B13:J13"/>
    <mergeCell ref="B17:J17"/>
    <mergeCell ref="B21:J21"/>
    <mergeCell ref="B27:J27"/>
    <mergeCell ref="B31:J31"/>
    <mergeCell ref="E3:E4"/>
    <mergeCell ref="F3:F4"/>
    <mergeCell ref="G3:J3"/>
    <mergeCell ref="A1:M2"/>
    <mergeCell ref="A3:A4"/>
    <mergeCell ref="K3:K4"/>
    <mergeCell ref="L3:L4"/>
    <mergeCell ref="M3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6"/>
  <sheetViews>
    <sheetView workbookViewId="0">
      <selection sqref="A1:M2"/>
    </sheetView>
  </sheetViews>
  <sheetFormatPr baseColWidth="10" defaultColWidth="9.1640625" defaultRowHeight="13"/>
  <cols>
    <col min="1" max="1" width="9.1640625" style="19"/>
    <col min="2" max="2" width="26" style="3" bestFit="1" customWidth="1"/>
    <col min="3" max="3" width="28.5" style="3" bestFit="1" customWidth="1"/>
    <col min="4" max="4" width="15.5" style="3" bestFit="1" customWidth="1"/>
    <col min="5" max="5" width="11.83203125" style="3" bestFit="1" customWidth="1"/>
    <col min="6" max="6" width="34.5" style="3" bestFit="1" customWidth="1"/>
    <col min="7" max="9" width="5.5" style="2" customWidth="1"/>
    <col min="10" max="10" width="4.83203125" style="2" customWidth="1"/>
    <col min="11" max="11" width="10.5" style="2" bestFit="1" customWidth="1"/>
    <col min="12" max="12" width="8.5" style="2" bestFit="1" customWidth="1"/>
    <col min="13" max="13" width="21.83203125" style="3" customWidth="1"/>
    <col min="14" max="16384" width="9.1640625" style="3"/>
  </cols>
  <sheetData>
    <row r="1" spans="1:13" s="2" customFormat="1" ht="29" customHeight="1">
      <c r="A1" s="53" t="s">
        <v>293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s="2" customFormat="1" ht="62" customHeight="1" thickBot="1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</row>
    <row r="3" spans="1:13" s="1" customFormat="1" ht="12.75" customHeight="1">
      <c r="A3" s="59" t="s">
        <v>316</v>
      </c>
      <c r="B3" s="51" t="s">
        <v>0</v>
      </c>
      <c r="C3" s="67" t="s">
        <v>317</v>
      </c>
      <c r="D3" s="67" t="s">
        <v>6</v>
      </c>
      <c r="E3" s="51" t="s">
        <v>318</v>
      </c>
      <c r="F3" s="51" t="s">
        <v>5</v>
      </c>
      <c r="G3" s="51" t="s">
        <v>9</v>
      </c>
      <c r="H3" s="51"/>
      <c r="I3" s="51"/>
      <c r="J3" s="51"/>
      <c r="K3" s="51" t="s">
        <v>216</v>
      </c>
      <c r="L3" s="51" t="s">
        <v>3</v>
      </c>
      <c r="M3" s="64" t="s">
        <v>2</v>
      </c>
    </row>
    <row r="4" spans="1:13" s="1" customFormat="1" ht="21" customHeight="1" thickBot="1">
      <c r="A4" s="60"/>
      <c r="B4" s="52"/>
      <c r="C4" s="52"/>
      <c r="D4" s="52"/>
      <c r="E4" s="52"/>
      <c r="F4" s="52"/>
      <c r="G4" s="17">
        <v>1</v>
      </c>
      <c r="H4" s="17">
        <v>2</v>
      </c>
      <c r="I4" s="17">
        <v>3</v>
      </c>
      <c r="J4" s="17" t="s">
        <v>4</v>
      </c>
      <c r="K4" s="52"/>
      <c r="L4" s="52"/>
      <c r="M4" s="65"/>
    </row>
    <row r="5" spans="1:13" ht="16">
      <c r="B5" s="61" t="s">
        <v>110</v>
      </c>
      <c r="C5" s="66"/>
      <c r="D5" s="66"/>
      <c r="E5" s="66"/>
      <c r="F5" s="66"/>
      <c r="G5" s="66"/>
      <c r="H5" s="66"/>
      <c r="I5" s="66"/>
      <c r="J5" s="66"/>
    </row>
    <row r="6" spans="1:13">
      <c r="A6" s="20">
        <v>1</v>
      </c>
      <c r="B6" s="4" t="s">
        <v>111</v>
      </c>
      <c r="C6" s="4" t="s">
        <v>112</v>
      </c>
      <c r="D6" s="4" t="s">
        <v>113</v>
      </c>
      <c r="E6" s="4" t="s">
        <v>319</v>
      </c>
      <c r="F6" s="4" t="s">
        <v>65</v>
      </c>
      <c r="G6" s="26" t="s">
        <v>115</v>
      </c>
      <c r="H6" s="26" t="s">
        <v>116</v>
      </c>
      <c r="I6" s="26" t="s">
        <v>117</v>
      </c>
      <c r="J6" s="23"/>
      <c r="K6" s="10" t="str">
        <f>"135,0"</f>
        <v>135,0</v>
      </c>
      <c r="L6" s="10" t="str">
        <f>"176,8905"</f>
        <v>176,8905</v>
      </c>
      <c r="M6" s="4" t="s">
        <v>290</v>
      </c>
    </row>
    <row r="8" spans="1:13" ht="16">
      <c r="B8" s="61" t="s">
        <v>110</v>
      </c>
      <c r="C8" s="61"/>
      <c r="D8" s="61"/>
      <c r="E8" s="61"/>
      <c r="F8" s="61"/>
      <c r="G8" s="61"/>
      <c r="H8" s="61"/>
      <c r="I8" s="61"/>
      <c r="J8" s="61"/>
    </row>
    <row r="9" spans="1:13">
      <c r="A9" s="21">
        <v>1</v>
      </c>
      <c r="B9" s="6" t="s">
        <v>122</v>
      </c>
      <c r="C9" s="6" t="s">
        <v>123</v>
      </c>
      <c r="D9" s="6" t="s">
        <v>124</v>
      </c>
      <c r="E9" s="6" t="s">
        <v>320</v>
      </c>
      <c r="F9" s="6" t="s">
        <v>65</v>
      </c>
      <c r="G9" s="27" t="s">
        <v>19</v>
      </c>
      <c r="H9" s="27" t="s">
        <v>29</v>
      </c>
      <c r="I9" s="27" t="s">
        <v>35</v>
      </c>
      <c r="J9" s="24"/>
      <c r="K9" s="11" t="str">
        <f>"120,0"</f>
        <v>120,0</v>
      </c>
      <c r="L9" s="11" t="str">
        <f>"123,0480"</f>
        <v>123,0480</v>
      </c>
      <c r="M9" s="6" t="s">
        <v>290</v>
      </c>
    </row>
    <row r="10" spans="1:13">
      <c r="A10" s="22">
        <v>2</v>
      </c>
      <c r="B10" s="8" t="s">
        <v>127</v>
      </c>
      <c r="C10" s="8" t="s">
        <v>128</v>
      </c>
      <c r="D10" s="8" t="s">
        <v>129</v>
      </c>
      <c r="E10" s="8" t="s">
        <v>320</v>
      </c>
      <c r="F10" s="8" t="s">
        <v>65</v>
      </c>
      <c r="G10" s="28" t="s">
        <v>133</v>
      </c>
      <c r="H10" s="28" t="s">
        <v>20</v>
      </c>
      <c r="I10" s="30" t="s">
        <v>134</v>
      </c>
      <c r="J10" s="25"/>
      <c r="K10" s="12" t="str">
        <f>"107,5"</f>
        <v>107,5</v>
      </c>
      <c r="L10" s="12" t="str">
        <f>"117,2717"</f>
        <v>117,2717</v>
      </c>
      <c r="M10" s="8" t="s">
        <v>290</v>
      </c>
    </row>
    <row r="12" spans="1:13" ht="16">
      <c r="B12" s="61" t="s">
        <v>10</v>
      </c>
      <c r="C12" s="61"/>
      <c r="D12" s="61"/>
      <c r="E12" s="61"/>
      <c r="F12" s="61"/>
      <c r="G12" s="61"/>
      <c r="H12" s="61"/>
      <c r="I12" s="61"/>
      <c r="J12" s="61"/>
    </row>
    <row r="13" spans="1:13">
      <c r="A13" s="21">
        <v>1</v>
      </c>
      <c r="B13" s="6" t="s">
        <v>135</v>
      </c>
      <c r="C13" s="6" t="s">
        <v>136</v>
      </c>
      <c r="D13" s="6" t="s">
        <v>137</v>
      </c>
      <c r="E13" s="6" t="s">
        <v>320</v>
      </c>
      <c r="F13" s="6" t="s">
        <v>65</v>
      </c>
      <c r="G13" s="27" t="s">
        <v>133</v>
      </c>
      <c r="H13" s="27" t="s">
        <v>20</v>
      </c>
      <c r="I13" s="27" t="s">
        <v>115</v>
      </c>
      <c r="J13" s="24"/>
      <c r="K13" s="11" t="str">
        <f>"115,0"</f>
        <v>115,0</v>
      </c>
      <c r="L13" s="11" t="str">
        <f>"98,0835"</f>
        <v>98,0835</v>
      </c>
      <c r="M13" s="6" t="s">
        <v>290</v>
      </c>
    </row>
    <row r="14" spans="1:13">
      <c r="A14" s="22">
        <v>1</v>
      </c>
      <c r="B14" s="8" t="s">
        <v>139</v>
      </c>
      <c r="C14" s="8" t="s">
        <v>277</v>
      </c>
      <c r="D14" s="8" t="s">
        <v>140</v>
      </c>
      <c r="E14" s="8" t="s">
        <v>321</v>
      </c>
      <c r="F14" s="8" t="s">
        <v>28</v>
      </c>
      <c r="G14" s="28" t="s">
        <v>76</v>
      </c>
      <c r="H14" s="28" t="s">
        <v>77</v>
      </c>
      <c r="I14" s="28" t="s">
        <v>142</v>
      </c>
      <c r="J14" s="25"/>
      <c r="K14" s="12" t="str">
        <f>"155,0"</f>
        <v>155,0</v>
      </c>
      <c r="L14" s="12" t="str">
        <f>"183,8257"</f>
        <v>183,8257</v>
      </c>
      <c r="M14" s="8"/>
    </row>
    <row r="16" spans="1:13" ht="16">
      <c r="B16" s="61" t="s">
        <v>24</v>
      </c>
      <c r="C16" s="61"/>
      <c r="D16" s="61"/>
      <c r="E16" s="61"/>
      <c r="F16" s="61"/>
      <c r="G16" s="61"/>
      <c r="H16" s="61"/>
      <c r="I16" s="61"/>
      <c r="J16" s="61"/>
    </row>
    <row r="17" spans="1:13">
      <c r="A17" s="20">
        <v>1</v>
      </c>
      <c r="B17" s="4" t="s">
        <v>265</v>
      </c>
      <c r="C17" s="4" t="s">
        <v>172</v>
      </c>
      <c r="D17" s="4" t="s">
        <v>266</v>
      </c>
      <c r="E17" s="4" t="s">
        <v>320</v>
      </c>
      <c r="F17" s="4" t="s">
        <v>28</v>
      </c>
      <c r="G17" s="26" t="s">
        <v>117</v>
      </c>
      <c r="H17" s="26" t="s">
        <v>142</v>
      </c>
      <c r="I17" s="31" t="s">
        <v>93</v>
      </c>
      <c r="J17" s="23"/>
      <c r="K17" s="10" t="str">
        <f>"155,0"</f>
        <v>155,0</v>
      </c>
      <c r="L17" s="10" t="str">
        <f>"122,4655"</f>
        <v>122,4655</v>
      </c>
      <c r="M17" s="4" t="s">
        <v>304</v>
      </c>
    </row>
    <row r="19" spans="1:13" ht="16">
      <c r="B19" s="61" t="s">
        <v>36</v>
      </c>
      <c r="C19" s="61"/>
      <c r="D19" s="61"/>
      <c r="E19" s="61"/>
      <c r="F19" s="61"/>
      <c r="G19" s="61"/>
      <c r="H19" s="61"/>
      <c r="I19" s="61"/>
      <c r="J19" s="61"/>
    </row>
    <row r="20" spans="1:13">
      <c r="A20" s="20">
        <v>1</v>
      </c>
      <c r="B20" s="4" t="s">
        <v>148</v>
      </c>
      <c r="C20" s="4" t="s">
        <v>149</v>
      </c>
      <c r="D20" s="4" t="s">
        <v>150</v>
      </c>
      <c r="E20" s="4" t="s">
        <v>320</v>
      </c>
      <c r="F20" s="4" t="s">
        <v>151</v>
      </c>
      <c r="G20" s="26" t="s">
        <v>142</v>
      </c>
      <c r="H20" s="26" t="s">
        <v>21</v>
      </c>
      <c r="I20" s="31" t="s">
        <v>69</v>
      </c>
      <c r="J20" s="23"/>
      <c r="K20" s="10" t="str">
        <f>"160,0"</f>
        <v>160,0</v>
      </c>
      <c r="L20" s="10" t="str">
        <f>"114,0160"</f>
        <v>114,0160</v>
      </c>
      <c r="M20" s="4"/>
    </row>
    <row r="22" spans="1:13" ht="16">
      <c r="B22" s="61" t="s">
        <v>152</v>
      </c>
      <c r="C22" s="61"/>
      <c r="D22" s="61"/>
      <c r="E22" s="61"/>
      <c r="F22" s="61"/>
      <c r="G22" s="61"/>
      <c r="H22" s="61"/>
      <c r="I22" s="61"/>
      <c r="J22" s="61"/>
    </row>
    <row r="23" spans="1:13">
      <c r="A23" s="20">
        <v>1</v>
      </c>
      <c r="B23" s="4" t="s">
        <v>267</v>
      </c>
      <c r="C23" s="4" t="s">
        <v>268</v>
      </c>
      <c r="D23" s="4" t="s">
        <v>269</v>
      </c>
      <c r="E23" s="4" t="s">
        <v>320</v>
      </c>
      <c r="F23" s="4" t="s">
        <v>65</v>
      </c>
      <c r="G23" s="31" t="s">
        <v>77</v>
      </c>
      <c r="H23" s="26" t="s">
        <v>21</v>
      </c>
      <c r="I23" s="26" t="s">
        <v>270</v>
      </c>
      <c r="J23" s="23"/>
      <c r="K23" s="10" t="str">
        <f>"167,5"</f>
        <v>167,5</v>
      </c>
      <c r="L23" s="10" t="str">
        <f>"115,4578"</f>
        <v>115,4578</v>
      </c>
      <c r="M23" s="4" t="s">
        <v>290</v>
      </c>
    </row>
    <row r="25" spans="1:13" ht="16">
      <c r="B25" s="61" t="s">
        <v>80</v>
      </c>
      <c r="C25" s="61"/>
      <c r="D25" s="61"/>
      <c r="E25" s="61"/>
      <c r="F25" s="61"/>
      <c r="G25" s="61"/>
      <c r="H25" s="61"/>
      <c r="I25" s="61"/>
      <c r="J25" s="61"/>
    </row>
    <row r="26" spans="1:13">
      <c r="A26" s="20">
        <v>1</v>
      </c>
      <c r="B26" s="4" t="s">
        <v>271</v>
      </c>
      <c r="C26" s="4" t="s">
        <v>272</v>
      </c>
      <c r="D26" s="4" t="s">
        <v>273</v>
      </c>
      <c r="E26" s="4" t="s">
        <v>320</v>
      </c>
      <c r="F26" s="4" t="s">
        <v>65</v>
      </c>
      <c r="G26" s="31" t="s">
        <v>105</v>
      </c>
      <c r="H26" s="26" t="s">
        <v>105</v>
      </c>
      <c r="I26" s="26" t="s">
        <v>56</v>
      </c>
      <c r="J26" s="23"/>
      <c r="K26" s="10" t="str">
        <f>"215,0"</f>
        <v>215,0</v>
      </c>
      <c r="L26" s="10" t="str">
        <f>"126,5705"</f>
        <v>126,5705</v>
      </c>
      <c r="M26" s="4" t="s">
        <v>314</v>
      </c>
    </row>
    <row r="30" spans="1:13" ht="18">
      <c r="B30" s="32" t="s">
        <v>96</v>
      </c>
      <c r="C30" s="32"/>
    </row>
    <row r="31" spans="1:13" ht="16">
      <c r="B31" s="18" t="s">
        <v>97</v>
      </c>
      <c r="C31" s="18"/>
    </row>
    <row r="32" spans="1:13" ht="14">
      <c r="B32" s="33"/>
      <c r="C32" s="33" t="s">
        <v>98</v>
      </c>
    </row>
    <row r="33" spans="2:6" ht="14">
      <c r="B33" s="13" t="s">
        <v>99</v>
      </c>
      <c r="C33" s="13" t="s">
        <v>100</v>
      </c>
      <c r="D33" s="13" t="s">
        <v>101</v>
      </c>
      <c r="E33" s="13" t="s">
        <v>212</v>
      </c>
      <c r="F33" s="13" t="s">
        <v>102</v>
      </c>
    </row>
    <row r="34" spans="2:6">
      <c r="B34" s="3" t="s">
        <v>271</v>
      </c>
      <c r="C34" s="3" t="s">
        <v>103</v>
      </c>
      <c r="D34" s="2" t="s">
        <v>108</v>
      </c>
      <c r="E34" s="2" t="s">
        <v>56</v>
      </c>
      <c r="F34" s="34" t="s">
        <v>274</v>
      </c>
    </row>
    <row r="35" spans="2:6">
      <c r="B35" s="3" t="s">
        <v>122</v>
      </c>
      <c r="C35" s="3" t="s">
        <v>103</v>
      </c>
      <c r="D35" s="2" t="s">
        <v>168</v>
      </c>
      <c r="E35" s="2" t="s">
        <v>35</v>
      </c>
      <c r="F35" s="34" t="s">
        <v>275</v>
      </c>
    </row>
    <row r="36" spans="2:6">
      <c r="B36" s="3" t="s">
        <v>265</v>
      </c>
      <c r="C36" s="3" t="s">
        <v>103</v>
      </c>
      <c r="D36" s="2" t="s">
        <v>104</v>
      </c>
      <c r="E36" s="2" t="s">
        <v>142</v>
      </c>
      <c r="F36" s="34" t="s">
        <v>276</v>
      </c>
    </row>
  </sheetData>
  <mergeCells count="18">
    <mergeCell ref="F3:F4"/>
    <mergeCell ref="G3:J3"/>
    <mergeCell ref="A1:M2"/>
    <mergeCell ref="A3:A4"/>
    <mergeCell ref="B25:J25"/>
    <mergeCell ref="K3:K4"/>
    <mergeCell ref="L3:L4"/>
    <mergeCell ref="M3:M4"/>
    <mergeCell ref="B5:J5"/>
    <mergeCell ref="B8:J8"/>
    <mergeCell ref="B12:J12"/>
    <mergeCell ref="B16:J16"/>
    <mergeCell ref="B19:J19"/>
    <mergeCell ref="B22:J22"/>
    <mergeCell ref="B3:B4"/>
    <mergeCell ref="C3:C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2"/>
  <sheetViews>
    <sheetView tabSelected="1" workbookViewId="0">
      <selection sqref="A1:M2"/>
    </sheetView>
  </sheetViews>
  <sheetFormatPr baseColWidth="10" defaultColWidth="9.1640625" defaultRowHeight="13"/>
  <cols>
    <col min="1" max="1" width="9.1640625" style="19"/>
    <col min="2" max="2" width="26" style="3" bestFit="1" customWidth="1"/>
    <col min="3" max="3" width="28.5" style="3" bestFit="1" customWidth="1"/>
    <col min="4" max="4" width="15.5" style="3" bestFit="1" customWidth="1"/>
    <col min="5" max="5" width="11.83203125" style="3" bestFit="1" customWidth="1"/>
    <col min="6" max="6" width="34" style="3" bestFit="1" customWidth="1"/>
    <col min="7" max="9" width="5.5" style="2" customWidth="1"/>
    <col min="10" max="10" width="4.83203125" style="3" customWidth="1"/>
    <col min="11" max="11" width="10.5" style="2" bestFit="1" customWidth="1"/>
    <col min="12" max="12" width="8.5" style="2" bestFit="1" customWidth="1"/>
    <col min="13" max="13" width="20" style="3" bestFit="1" customWidth="1"/>
    <col min="14" max="16384" width="9.1640625" style="3"/>
  </cols>
  <sheetData>
    <row r="1" spans="1:13" s="2" customFormat="1" ht="29" customHeight="1">
      <c r="A1" s="53" t="s">
        <v>294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3" s="2" customFormat="1" ht="62" customHeight="1" thickBot="1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</row>
    <row r="3" spans="1:13" s="1" customFormat="1" ht="12.75" customHeight="1">
      <c r="A3" s="59" t="s">
        <v>316</v>
      </c>
      <c r="B3" s="51" t="s">
        <v>0</v>
      </c>
      <c r="C3" s="67" t="s">
        <v>317</v>
      </c>
      <c r="D3" s="67" t="s">
        <v>6</v>
      </c>
      <c r="E3" s="51" t="s">
        <v>318</v>
      </c>
      <c r="F3" s="51" t="s">
        <v>5</v>
      </c>
      <c r="G3" s="51" t="s">
        <v>9</v>
      </c>
      <c r="H3" s="51"/>
      <c r="I3" s="51"/>
      <c r="J3" s="51"/>
      <c r="K3" s="51" t="s">
        <v>216</v>
      </c>
      <c r="L3" s="51" t="s">
        <v>3</v>
      </c>
      <c r="M3" s="64" t="s">
        <v>2</v>
      </c>
    </row>
    <row r="4" spans="1:13" s="1" customFormat="1" ht="21" customHeight="1" thickBot="1">
      <c r="A4" s="60"/>
      <c r="B4" s="52"/>
      <c r="C4" s="52"/>
      <c r="D4" s="52"/>
      <c r="E4" s="52"/>
      <c r="F4" s="52"/>
      <c r="G4" s="17">
        <v>1</v>
      </c>
      <c r="H4" s="17">
        <v>2</v>
      </c>
      <c r="I4" s="17">
        <v>3</v>
      </c>
      <c r="J4" s="17" t="s">
        <v>4</v>
      </c>
      <c r="K4" s="52"/>
      <c r="L4" s="52"/>
      <c r="M4" s="65"/>
    </row>
    <row r="5" spans="1:13" ht="16">
      <c r="B5" s="61" t="s">
        <v>10</v>
      </c>
      <c r="C5" s="66"/>
      <c r="D5" s="66"/>
      <c r="E5" s="66"/>
      <c r="F5" s="66"/>
      <c r="G5" s="66"/>
      <c r="H5" s="66"/>
      <c r="I5" s="66"/>
      <c r="J5" s="66"/>
    </row>
    <row r="6" spans="1:13">
      <c r="A6" s="20">
        <v>1</v>
      </c>
      <c r="B6" s="4" t="s">
        <v>11</v>
      </c>
      <c r="C6" s="4" t="s">
        <v>12</v>
      </c>
      <c r="D6" s="4" t="s">
        <v>13</v>
      </c>
      <c r="E6" s="4" t="s">
        <v>320</v>
      </c>
      <c r="F6" s="4" t="s">
        <v>14</v>
      </c>
      <c r="G6" s="26" t="s">
        <v>21</v>
      </c>
      <c r="H6" s="26" t="s">
        <v>22</v>
      </c>
      <c r="I6" s="31" t="s">
        <v>23</v>
      </c>
      <c r="J6" s="5"/>
      <c r="K6" s="10" t="str">
        <f>"180,0"</f>
        <v>180,0</v>
      </c>
      <c r="L6" s="10" t="str">
        <f>"162,4500"</f>
        <v>162,4500</v>
      </c>
      <c r="M6" s="4"/>
    </row>
    <row r="8" spans="1:13" ht="16">
      <c r="B8" s="61" t="s">
        <v>24</v>
      </c>
      <c r="C8" s="61"/>
      <c r="D8" s="61"/>
      <c r="E8" s="61"/>
      <c r="F8" s="61"/>
      <c r="G8" s="61"/>
      <c r="H8" s="61"/>
      <c r="I8" s="61"/>
      <c r="J8" s="61"/>
    </row>
    <row r="9" spans="1:13">
      <c r="A9" s="20">
        <v>1</v>
      </c>
      <c r="B9" s="4" t="s">
        <v>25</v>
      </c>
      <c r="C9" s="4" t="s">
        <v>26</v>
      </c>
      <c r="D9" s="4" t="s">
        <v>27</v>
      </c>
      <c r="E9" s="4" t="s">
        <v>320</v>
      </c>
      <c r="F9" s="4" t="s">
        <v>28</v>
      </c>
      <c r="G9" s="26" t="s">
        <v>33</v>
      </c>
      <c r="H9" s="26" t="s">
        <v>34</v>
      </c>
      <c r="I9" s="31" t="s">
        <v>35</v>
      </c>
      <c r="J9" s="5"/>
      <c r="K9" s="10" t="str">
        <f>"112,5"</f>
        <v>112,5</v>
      </c>
      <c r="L9" s="10" t="str">
        <f>"88,1100"</f>
        <v>88,1100</v>
      </c>
      <c r="M9" s="4" t="s">
        <v>307</v>
      </c>
    </row>
    <row r="11" spans="1:13" ht="16">
      <c r="B11" s="61" t="s">
        <v>36</v>
      </c>
      <c r="C11" s="61"/>
      <c r="D11" s="61"/>
      <c r="E11" s="61"/>
      <c r="F11" s="61"/>
      <c r="G11" s="61"/>
      <c r="H11" s="61"/>
      <c r="I11" s="61"/>
      <c r="J11" s="61"/>
    </row>
    <row r="12" spans="1:13">
      <c r="A12" s="21">
        <v>1</v>
      </c>
      <c r="B12" s="6" t="s">
        <v>37</v>
      </c>
      <c r="C12" s="6" t="s">
        <v>38</v>
      </c>
      <c r="D12" s="6" t="s">
        <v>39</v>
      </c>
      <c r="E12" s="6" t="s">
        <v>320</v>
      </c>
      <c r="F12" s="6" t="s">
        <v>28</v>
      </c>
      <c r="G12" s="29" t="s">
        <v>45</v>
      </c>
      <c r="H12" s="27" t="s">
        <v>19</v>
      </c>
      <c r="I12" s="27" t="s">
        <v>29</v>
      </c>
      <c r="J12" s="7"/>
      <c r="K12" s="11" t="str">
        <f>"110,0"</f>
        <v>110,0</v>
      </c>
      <c r="L12" s="11" t="str">
        <f>"79,0460"</f>
        <v>79,0460</v>
      </c>
      <c r="M12" s="6" t="s">
        <v>307</v>
      </c>
    </row>
    <row r="13" spans="1:13">
      <c r="A13" s="22">
        <v>2</v>
      </c>
      <c r="B13" s="8" t="s">
        <v>46</v>
      </c>
      <c r="C13" s="8" t="s">
        <v>47</v>
      </c>
      <c r="D13" s="8" t="s">
        <v>48</v>
      </c>
      <c r="E13" s="8" t="s">
        <v>320</v>
      </c>
      <c r="F13" s="8" t="s">
        <v>28</v>
      </c>
      <c r="G13" s="28" t="s">
        <v>40</v>
      </c>
      <c r="H13" s="28" t="s">
        <v>50</v>
      </c>
      <c r="I13" s="30" t="s">
        <v>18</v>
      </c>
      <c r="J13" s="9"/>
      <c r="K13" s="12" t="str">
        <f>"80,0"</f>
        <v>80,0</v>
      </c>
      <c r="L13" s="12" t="str">
        <f>"57,2160"</f>
        <v>57,2160</v>
      </c>
      <c r="M13" s="8" t="s">
        <v>307</v>
      </c>
    </row>
    <row r="15" spans="1:13" ht="16">
      <c r="B15" s="61" t="s">
        <v>152</v>
      </c>
      <c r="C15" s="61"/>
      <c r="D15" s="61"/>
      <c r="E15" s="61"/>
      <c r="F15" s="61"/>
      <c r="G15" s="61"/>
      <c r="H15" s="61"/>
      <c r="I15" s="61"/>
      <c r="J15" s="61"/>
    </row>
    <row r="16" spans="1:13">
      <c r="A16" s="21">
        <v>1</v>
      </c>
      <c r="B16" s="6" t="s">
        <v>241</v>
      </c>
      <c r="C16" s="6" t="s">
        <v>278</v>
      </c>
      <c r="D16" s="6" t="s">
        <v>242</v>
      </c>
      <c r="E16" s="6" t="s">
        <v>324</v>
      </c>
      <c r="F16" s="6" t="s">
        <v>28</v>
      </c>
      <c r="G16" s="27" t="s">
        <v>69</v>
      </c>
      <c r="H16" s="27" t="s">
        <v>167</v>
      </c>
      <c r="I16" s="29" t="s">
        <v>105</v>
      </c>
      <c r="J16" s="7"/>
      <c r="K16" s="11" t="str">
        <f>"185,0"</f>
        <v>185,0</v>
      </c>
      <c r="L16" s="11" t="str">
        <f>"130,5175"</f>
        <v>130,5175</v>
      </c>
      <c r="M16" s="6" t="s">
        <v>307</v>
      </c>
    </row>
    <row r="17" spans="1:13">
      <c r="A17" s="22">
        <v>1</v>
      </c>
      <c r="B17" s="8" t="s">
        <v>243</v>
      </c>
      <c r="C17" s="8" t="s">
        <v>244</v>
      </c>
      <c r="D17" s="8" t="s">
        <v>245</v>
      </c>
      <c r="E17" s="8" t="s">
        <v>319</v>
      </c>
      <c r="F17" s="8" t="s">
        <v>28</v>
      </c>
      <c r="G17" s="28" t="s">
        <v>21</v>
      </c>
      <c r="H17" s="28" t="s">
        <v>93</v>
      </c>
      <c r="I17" s="28" t="s">
        <v>167</v>
      </c>
      <c r="J17" s="9"/>
      <c r="K17" s="12" t="str">
        <f>"185,0"</f>
        <v>185,0</v>
      </c>
      <c r="L17" s="12" t="str">
        <f>"125,3190"</f>
        <v>125,3190</v>
      </c>
      <c r="M17" s="8"/>
    </row>
    <row r="19" spans="1:13" ht="16">
      <c r="B19" s="61" t="s">
        <v>61</v>
      </c>
      <c r="C19" s="61"/>
      <c r="D19" s="61"/>
      <c r="E19" s="61"/>
      <c r="F19" s="61"/>
      <c r="G19" s="61"/>
      <c r="H19" s="61"/>
      <c r="I19" s="61"/>
      <c r="J19" s="61"/>
    </row>
    <row r="20" spans="1:13">
      <c r="A20" s="21">
        <v>1</v>
      </c>
      <c r="B20" s="6" t="s">
        <v>62</v>
      </c>
      <c r="C20" s="6" t="s">
        <v>63</v>
      </c>
      <c r="D20" s="6" t="s">
        <v>64</v>
      </c>
      <c r="E20" s="6" t="s">
        <v>319</v>
      </c>
      <c r="F20" s="6" t="s">
        <v>65</v>
      </c>
      <c r="G20" s="27" t="s">
        <v>70</v>
      </c>
      <c r="H20" s="29" t="s">
        <v>71</v>
      </c>
      <c r="I20" s="27" t="s">
        <v>71</v>
      </c>
      <c r="J20" s="7"/>
      <c r="K20" s="11" t="str">
        <f>"330,0"</f>
        <v>330,0</v>
      </c>
      <c r="L20" s="11" t="str">
        <f>"200,8380"</f>
        <v>200,8380</v>
      </c>
      <c r="M20" s="6" t="s">
        <v>290</v>
      </c>
    </row>
    <row r="21" spans="1:13">
      <c r="A21" s="42">
        <v>2</v>
      </c>
      <c r="B21" s="15" t="s">
        <v>72</v>
      </c>
      <c r="C21" s="15" t="s">
        <v>246</v>
      </c>
      <c r="D21" s="15" t="s">
        <v>73</v>
      </c>
      <c r="E21" s="15" t="s">
        <v>319</v>
      </c>
      <c r="F21" s="15" t="s">
        <v>28</v>
      </c>
      <c r="G21" s="41" t="s">
        <v>78</v>
      </c>
      <c r="H21" s="41" t="s">
        <v>79</v>
      </c>
      <c r="I21" s="40" t="s">
        <v>79</v>
      </c>
      <c r="J21" s="14"/>
      <c r="K21" s="16" t="str">
        <f>"270,0"</f>
        <v>270,0</v>
      </c>
      <c r="L21" s="16" t="str">
        <f>"166,5630"</f>
        <v>166,5630</v>
      </c>
      <c r="M21" s="15" t="s">
        <v>315</v>
      </c>
    </row>
    <row r="22" spans="1:13">
      <c r="A22" s="22">
        <v>1</v>
      </c>
      <c r="B22" s="8" t="s">
        <v>72</v>
      </c>
      <c r="C22" s="8" t="s">
        <v>279</v>
      </c>
      <c r="D22" s="8" t="s">
        <v>73</v>
      </c>
      <c r="E22" s="8" t="s">
        <v>322</v>
      </c>
      <c r="F22" s="8" t="s">
        <v>28</v>
      </c>
      <c r="G22" s="30" t="s">
        <v>78</v>
      </c>
      <c r="H22" s="30" t="s">
        <v>79</v>
      </c>
      <c r="I22" s="28" t="s">
        <v>79</v>
      </c>
      <c r="J22" s="9"/>
      <c r="K22" s="12" t="str">
        <f>"270,0"</f>
        <v>270,0</v>
      </c>
      <c r="L22" s="12" t="str">
        <f>"171,2268"</f>
        <v>171,2268</v>
      </c>
      <c r="M22" s="8" t="s">
        <v>315</v>
      </c>
    </row>
    <row r="24" spans="1:13" ht="16">
      <c r="B24" s="61" t="s">
        <v>80</v>
      </c>
      <c r="C24" s="61"/>
      <c r="D24" s="61"/>
      <c r="E24" s="61"/>
      <c r="F24" s="61"/>
      <c r="G24" s="61"/>
      <c r="H24" s="61"/>
      <c r="I24" s="61"/>
      <c r="J24" s="61"/>
    </row>
    <row r="25" spans="1:13">
      <c r="A25" s="21">
        <v>1</v>
      </c>
      <c r="B25" s="6" t="s">
        <v>81</v>
      </c>
      <c r="C25" s="6" t="s">
        <v>82</v>
      </c>
      <c r="D25" s="6" t="s">
        <v>83</v>
      </c>
      <c r="E25" s="6" t="s">
        <v>319</v>
      </c>
      <c r="F25" s="43" t="s">
        <v>65</v>
      </c>
      <c r="G25" s="47" t="s">
        <v>85</v>
      </c>
      <c r="H25" s="27" t="s">
        <v>86</v>
      </c>
      <c r="I25" s="48" t="s">
        <v>87</v>
      </c>
      <c r="J25" s="45"/>
      <c r="K25" s="11" t="str">
        <f>"320,0"</f>
        <v>320,0</v>
      </c>
      <c r="L25" s="11" t="str">
        <f>"188,8640"</f>
        <v>188,8640</v>
      </c>
      <c r="M25" s="6"/>
    </row>
    <row r="26" spans="1:13">
      <c r="A26" s="22">
        <v>1</v>
      </c>
      <c r="B26" s="8" t="s">
        <v>247</v>
      </c>
      <c r="C26" s="8" t="s">
        <v>280</v>
      </c>
      <c r="D26" s="8" t="s">
        <v>248</v>
      </c>
      <c r="E26" s="8" t="s">
        <v>323</v>
      </c>
      <c r="F26" s="44" t="s">
        <v>28</v>
      </c>
      <c r="G26" s="49" t="s">
        <v>249</v>
      </c>
      <c r="H26" s="28" t="s">
        <v>94</v>
      </c>
      <c r="I26" s="50" t="s">
        <v>250</v>
      </c>
      <c r="J26" s="46"/>
      <c r="K26" s="12" t="str">
        <f>"290,0"</f>
        <v>290,0</v>
      </c>
      <c r="L26" s="12" t="str">
        <f>"199,9666"</f>
        <v>199,9666</v>
      </c>
      <c r="M26" s="8"/>
    </row>
    <row r="28" spans="1:13" ht="16">
      <c r="B28" s="61" t="s">
        <v>89</v>
      </c>
      <c r="C28" s="61"/>
      <c r="D28" s="61"/>
      <c r="E28" s="61"/>
      <c r="F28" s="61"/>
      <c r="G28" s="61"/>
      <c r="H28" s="61"/>
      <c r="I28" s="61"/>
      <c r="J28" s="61"/>
    </row>
    <row r="29" spans="1:13">
      <c r="A29" s="21">
        <v>1</v>
      </c>
      <c r="B29" s="6" t="s">
        <v>251</v>
      </c>
      <c r="C29" s="6" t="s">
        <v>252</v>
      </c>
      <c r="D29" s="6" t="s">
        <v>253</v>
      </c>
      <c r="E29" s="6" t="s">
        <v>320</v>
      </c>
      <c r="F29" s="6" t="s">
        <v>28</v>
      </c>
      <c r="G29" s="27" t="s">
        <v>69</v>
      </c>
      <c r="H29" s="27" t="s">
        <v>105</v>
      </c>
      <c r="I29" s="29" t="s">
        <v>159</v>
      </c>
      <c r="J29" s="7"/>
      <c r="K29" s="11" t="str">
        <f>"200,0"</f>
        <v>200,0</v>
      </c>
      <c r="L29" s="11" t="str">
        <f>"114,6000"</f>
        <v>114,6000</v>
      </c>
      <c r="M29" s="6" t="s">
        <v>313</v>
      </c>
    </row>
    <row r="30" spans="1:13">
      <c r="A30" s="42">
        <v>1</v>
      </c>
      <c r="B30" s="15" t="s">
        <v>90</v>
      </c>
      <c r="C30" s="15" t="s">
        <v>91</v>
      </c>
      <c r="D30" s="15" t="s">
        <v>92</v>
      </c>
      <c r="E30" s="15" t="s">
        <v>319</v>
      </c>
      <c r="F30" s="15" t="s">
        <v>305</v>
      </c>
      <c r="G30" s="40" t="s">
        <v>94</v>
      </c>
      <c r="H30" s="40" t="s">
        <v>85</v>
      </c>
      <c r="I30" s="40" t="s">
        <v>95</v>
      </c>
      <c r="J30" s="14"/>
      <c r="K30" s="16" t="str">
        <f>"310,0"</f>
        <v>310,0</v>
      </c>
      <c r="L30" s="16" t="str">
        <f>"180,2960"</f>
        <v>180,2960</v>
      </c>
      <c r="M30" s="15"/>
    </row>
    <row r="31" spans="1:13">
      <c r="A31" s="42">
        <v>2</v>
      </c>
      <c r="B31" s="15" t="s">
        <v>254</v>
      </c>
      <c r="C31" s="15" t="s">
        <v>255</v>
      </c>
      <c r="D31" s="15" t="s">
        <v>256</v>
      </c>
      <c r="E31" s="15" t="s">
        <v>319</v>
      </c>
      <c r="F31" s="15" t="s">
        <v>305</v>
      </c>
      <c r="G31" s="40" t="s">
        <v>79</v>
      </c>
      <c r="H31" s="40" t="s">
        <v>257</v>
      </c>
      <c r="I31" s="41" t="s">
        <v>94</v>
      </c>
      <c r="J31" s="14"/>
      <c r="K31" s="16" t="str">
        <f>"282,5"</f>
        <v>282,5</v>
      </c>
      <c r="L31" s="16" t="str">
        <f>"165,7992"</f>
        <v>165,7992</v>
      </c>
      <c r="M31" s="15"/>
    </row>
    <row r="32" spans="1:13">
      <c r="A32" s="22">
        <v>3</v>
      </c>
      <c r="B32" s="8" t="s">
        <v>258</v>
      </c>
      <c r="C32" s="8" t="s">
        <v>259</v>
      </c>
      <c r="D32" s="8" t="s">
        <v>260</v>
      </c>
      <c r="E32" s="8" t="s">
        <v>319</v>
      </c>
      <c r="F32" s="8" t="s">
        <v>65</v>
      </c>
      <c r="G32" s="28" t="s">
        <v>84</v>
      </c>
      <c r="H32" s="30" t="s">
        <v>261</v>
      </c>
      <c r="I32" s="30" t="s">
        <v>261</v>
      </c>
      <c r="J32" s="9"/>
      <c r="K32" s="12" t="str">
        <f>"240,0"</f>
        <v>240,0</v>
      </c>
      <c r="L32" s="12" t="str">
        <f>"137,4480"</f>
        <v>137,4480</v>
      </c>
      <c r="M32" s="8"/>
    </row>
    <row r="36" spans="2:6" ht="18">
      <c r="B36" s="32" t="s">
        <v>96</v>
      </c>
      <c r="C36" s="32"/>
    </row>
    <row r="37" spans="2:6" ht="16">
      <c r="B37" s="18" t="s">
        <v>97</v>
      </c>
      <c r="C37" s="18"/>
    </row>
    <row r="38" spans="2:6" ht="14">
      <c r="B38" s="33"/>
      <c r="C38" s="33" t="s">
        <v>106</v>
      </c>
    </row>
    <row r="39" spans="2:6" ht="14">
      <c r="B39" s="13" t="s">
        <v>99</v>
      </c>
      <c r="C39" s="13" t="s">
        <v>100</v>
      </c>
      <c r="D39" s="13" t="s">
        <v>101</v>
      </c>
      <c r="E39" s="13" t="s">
        <v>212</v>
      </c>
      <c r="F39" s="13" t="s">
        <v>102</v>
      </c>
    </row>
    <row r="40" spans="2:6">
      <c r="B40" s="3" t="s">
        <v>62</v>
      </c>
      <c r="C40" s="3" t="s">
        <v>106</v>
      </c>
      <c r="D40" s="2" t="s">
        <v>107</v>
      </c>
      <c r="E40" s="2" t="s">
        <v>71</v>
      </c>
      <c r="F40" s="34" t="s">
        <v>262</v>
      </c>
    </row>
    <row r="41" spans="2:6">
      <c r="B41" s="3" t="s">
        <v>81</v>
      </c>
      <c r="C41" s="3" t="s">
        <v>106</v>
      </c>
      <c r="D41" s="2" t="s">
        <v>108</v>
      </c>
      <c r="E41" s="2" t="s">
        <v>86</v>
      </c>
      <c r="F41" s="34" t="s">
        <v>263</v>
      </c>
    </row>
    <row r="42" spans="2:6">
      <c r="B42" s="3" t="s">
        <v>90</v>
      </c>
      <c r="C42" s="3" t="s">
        <v>106</v>
      </c>
      <c r="D42" s="2" t="s">
        <v>109</v>
      </c>
      <c r="E42" s="2" t="s">
        <v>95</v>
      </c>
      <c r="F42" s="34" t="s">
        <v>264</v>
      </c>
    </row>
  </sheetData>
  <mergeCells count="18">
    <mergeCell ref="F3:F4"/>
    <mergeCell ref="G3:J3"/>
    <mergeCell ref="A1:M2"/>
    <mergeCell ref="A3:A4"/>
    <mergeCell ref="B28:J28"/>
    <mergeCell ref="K3:K4"/>
    <mergeCell ref="L3:L4"/>
    <mergeCell ref="M3:M4"/>
    <mergeCell ref="B5:J5"/>
    <mergeCell ref="B8:J8"/>
    <mergeCell ref="B11:J11"/>
    <mergeCell ref="B15:J15"/>
    <mergeCell ref="B19:J19"/>
    <mergeCell ref="B24:J24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IPL ПЛ без экипировки ДК</vt:lpstr>
      <vt:lpstr>IPL ПЛ без экипировки</vt:lpstr>
      <vt:lpstr>IPL Двоеборье без экип ДК</vt:lpstr>
      <vt:lpstr>IPL Двоеборье без экип</vt:lpstr>
      <vt:lpstr>IPL Жим без экипировки ДК</vt:lpstr>
      <vt:lpstr>IPL Жим без экипировки</vt:lpstr>
      <vt:lpstr>IPL Тяга без экипировки ДК</vt:lpstr>
      <vt:lpstr>IPL Тяга без экипировки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Екатерина Шевелева</cp:lastModifiedBy>
  <cp:lastPrinted>2015-07-16T19:10:53Z</cp:lastPrinted>
  <dcterms:created xsi:type="dcterms:W3CDTF">2002-06-16T13:36:44Z</dcterms:created>
  <dcterms:modified xsi:type="dcterms:W3CDTF">2020-10-19T19:09:55Z</dcterms:modified>
</cp:coreProperties>
</file>