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3/Апрель/"/>
    </mc:Choice>
  </mc:AlternateContent>
  <xr:revisionPtr revIDLastSave="0" documentId="13_ncr:1_{2D9393ED-965C-1542-9757-D3A83D51E5B7}" xr6:coauthVersionLast="45" xr6:coauthVersionMax="45" xr10:uidLastSave="{00000000-0000-0000-0000-000000000000}"/>
  <bookViews>
    <workbookView xWindow="480" yWindow="460" windowWidth="28240" windowHeight="16100" firstSheet="5" activeTab="11" xr2:uid="{00000000-000D-0000-FFFF-FFFF00000000}"/>
  </bookViews>
  <sheets>
    <sheet name="IPL ПЛ без экипировки ДК" sheetId="6" r:id="rId1"/>
    <sheet name="IPL ПЛ без экипировки" sheetId="5" r:id="rId2"/>
    <sheet name="IPL ПЛ в бинтах" sheetId="7" r:id="rId3"/>
    <sheet name="IPL Присед без экипировки ДК" sheetId="14" r:id="rId4"/>
    <sheet name="IPL Жим без экипировки ДК" sheetId="10" r:id="rId5"/>
    <sheet name="IPL Жим без экипировки" sheetId="9" r:id="rId6"/>
    <sheet name="IPL Тяга без экипировки ДК" sheetId="12" r:id="rId7"/>
    <sheet name="IPL Тяга без экипировки" sheetId="11" r:id="rId8"/>
    <sheet name="СПР Пауэрспорт ДК" sheetId="28" r:id="rId9"/>
    <sheet name="СПР Жим стоя ДК" sheetId="24" r:id="rId10"/>
    <sheet name="СПР Подъем на бицепс ДК" sheetId="26" r:id="rId11"/>
    <sheet name="СПР Подъем на бицепс" sheetId="25" r:id="rId12"/>
  </sheets>
  <definedNames>
    <definedName name="_FilterDatabase" localSheetId="1" hidden="1">'IPL ПЛ без экипировки'!$A$1:$S$3</definedName>
  </definedNames>
  <calcPr calcId="191029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9" i="28" l="1"/>
  <c r="O9" i="28"/>
  <c r="P6" i="28"/>
  <c r="O6" i="28"/>
  <c r="L16" i="26"/>
  <c r="K16" i="26"/>
  <c r="L13" i="26"/>
  <c r="K13" i="26"/>
  <c r="L12" i="26"/>
  <c r="K12" i="26"/>
  <c r="L9" i="26"/>
  <c r="K9" i="26"/>
  <c r="L6" i="26"/>
  <c r="K6" i="26"/>
  <c r="L6" i="25"/>
  <c r="K6" i="25"/>
  <c r="L9" i="24"/>
  <c r="K9" i="24"/>
  <c r="L6" i="24"/>
  <c r="K6" i="24"/>
  <c r="L6" i="14"/>
  <c r="K6" i="14"/>
  <c r="L9" i="12"/>
  <c r="K9" i="12"/>
  <c r="L6" i="12"/>
  <c r="K6" i="12"/>
  <c r="L19" i="11"/>
  <c r="K19" i="11"/>
  <c r="L16" i="11"/>
  <c r="K16" i="11"/>
  <c r="L13" i="11"/>
  <c r="K13" i="11"/>
  <c r="L12" i="11"/>
  <c r="K12" i="11"/>
  <c r="L9" i="11"/>
  <c r="K9" i="11"/>
  <c r="L6" i="11"/>
  <c r="K6" i="11"/>
  <c r="L25" i="10"/>
  <c r="K25" i="10"/>
  <c r="L24" i="10"/>
  <c r="K24" i="10"/>
  <c r="L23" i="10"/>
  <c r="K23" i="10"/>
  <c r="L20" i="10"/>
  <c r="K20" i="10"/>
  <c r="L19" i="10"/>
  <c r="K19" i="10"/>
  <c r="L16" i="10"/>
  <c r="K16" i="10"/>
  <c r="L15" i="10"/>
  <c r="K15" i="10"/>
  <c r="L14" i="10"/>
  <c r="K14" i="10"/>
  <c r="L13" i="10"/>
  <c r="K13" i="10"/>
  <c r="L12" i="10"/>
  <c r="K12" i="10"/>
  <c r="L9" i="10"/>
  <c r="K9" i="10"/>
  <c r="L6" i="10"/>
  <c r="K6" i="10"/>
  <c r="L18" i="9"/>
  <c r="K18" i="9"/>
  <c r="L15" i="9"/>
  <c r="K15" i="9"/>
  <c r="L12" i="9"/>
  <c r="K12" i="9"/>
  <c r="L9" i="9"/>
  <c r="K9" i="9"/>
  <c r="L6" i="9"/>
  <c r="K6" i="9"/>
  <c r="T12" i="7"/>
  <c r="S12" i="7"/>
  <c r="T9" i="7"/>
  <c r="S9" i="7"/>
  <c r="T6" i="7"/>
  <c r="S6" i="7"/>
  <c r="T21" i="6"/>
  <c r="S21" i="6"/>
  <c r="T20" i="6"/>
  <c r="S20" i="6"/>
  <c r="T17" i="6"/>
  <c r="S17" i="6"/>
  <c r="T14" i="6"/>
  <c r="S14" i="6"/>
  <c r="T11" i="6"/>
  <c r="S11" i="6"/>
  <c r="T10" i="6"/>
  <c r="S10" i="6"/>
  <c r="T9" i="6"/>
  <c r="S9" i="6"/>
  <c r="T6" i="6"/>
  <c r="S6" i="6"/>
  <c r="T22" i="5"/>
  <c r="T21" i="5"/>
  <c r="S21" i="5"/>
  <c r="T20" i="5"/>
  <c r="S20" i="5"/>
  <c r="T17" i="5"/>
  <c r="S17" i="5"/>
  <c r="T14" i="5"/>
  <c r="S14" i="5"/>
  <c r="T11" i="5"/>
  <c r="S11" i="5"/>
  <c r="T10" i="5"/>
  <c r="S10" i="5"/>
  <c r="T9" i="5"/>
  <c r="S9" i="5"/>
  <c r="T6" i="5"/>
  <c r="S6" i="5"/>
</calcChain>
</file>

<file path=xl/sharedStrings.xml><?xml version="1.0" encoding="utf-8"?>
<sst xmlns="http://schemas.openxmlformats.org/spreadsheetml/2006/main" count="874" uniqueCount="301">
  <si>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</si>
  <si>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</si>
  <si>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</si>
  <si>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</si>
  <si>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</si>
  <si>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</si>
  <si>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</si>
  <si>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>Приседание</t>
  </si>
  <si>
    <t>Жим лёжа</t>
  </si>
  <si>
    <t>Становая тяга</t>
  </si>
  <si>
    <t>ВЕСОВАЯ КАТЕГОРИЯ   56</t>
  </si>
  <si>
    <t>55,90</t>
  </si>
  <si>
    <t>50,0</t>
  </si>
  <si>
    <t>60,0</t>
  </si>
  <si>
    <t>42,5</t>
  </si>
  <si>
    <t>45,0</t>
  </si>
  <si>
    <t>90,0</t>
  </si>
  <si>
    <t>97,5</t>
  </si>
  <si>
    <t>100,0</t>
  </si>
  <si>
    <t>ВЕСОВАЯ КАТЕГОРИЯ   67.5</t>
  </si>
  <si>
    <t>Девушки 15-19 (11.04.2006)/16</t>
  </si>
  <si>
    <t>66,60</t>
  </si>
  <si>
    <t>130,0</t>
  </si>
  <si>
    <t>137,5</t>
  </si>
  <si>
    <t>140,0</t>
  </si>
  <si>
    <t>65,0</t>
  </si>
  <si>
    <t>72,0</t>
  </si>
  <si>
    <t>77,5</t>
  </si>
  <si>
    <t>147,5</t>
  </si>
  <si>
    <t>152,5</t>
  </si>
  <si>
    <t>Открытая (11.04.2006)/16</t>
  </si>
  <si>
    <t>66,30</t>
  </si>
  <si>
    <t>80,0</t>
  </si>
  <si>
    <t>85,0</t>
  </si>
  <si>
    <t>47,5</t>
  </si>
  <si>
    <t>105,0</t>
  </si>
  <si>
    <t>107,5</t>
  </si>
  <si>
    <t>ВЕСОВАЯ КАТЕГОРИЯ   75</t>
  </si>
  <si>
    <t>Открытая (15.09.1992)/30</t>
  </si>
  <si>
    <t>73,90</t>
  </si>
  <si>
    <t>170,0</t>
  </si>
  <si>
    <t>115,0</t>
  </si>
  <si>
    <t>122,5</t>
  </si>
  <si>
    <t>220,0</t>
  </si>
  <si>
    <t>230,0</t>
  </si>
  <si>
    <t>ВЕСОВАЯ КАТЕГОРИЯ   82.5</t>
  </si>
  <si>
    <t>Юноши 15-19 (10.10.2007)/15</t>
  </si>
  <si>
    <t>79,00</t>
  </si>
  <si>
    <t>75,0</t>
  </si>
  <si>
    <t>120,0</t>
  </si>
  <si>
    <t>160,0</t>
  </si>
  <si>
    <t>ВЕСОВАЯ КАТЕГОРИЯ   100</t>
  </si>
  <si>
    <t>96,10</t>
  </si>
  <si>
    <t>150,0</t>
  </si>
  <si>
    <t>180,0</t>
  </si>
  <si>
    <t>135,0</t>
  </si>
  <si>
    <t>200,0</t>
  </si>
  <si>
    <t>215,0</t>
  </si>
  <si>
    <t>225,0</t>
  </si>
  <si>
    <t xml:space="preserve">Одинаев Александр </t>
  </si>
  <si>
    <t>Открытая (20.11.1993)/29</t>
  </si>
  <si>
    <t>94,60</t>
  </si>
  <si>
    <t>240,0</t>
  </si>
  <si>
    <t>250,0</t>
  </si>
  <si>
    <t>257,5</t>
  </si>
  <si>
    <t>190,0</t>
  </si>
  <si>
    <t>195,0</t>
  </si>
  <si>
    <t>285,0</t>
  </si>
  <si>
    <t>302,5</t>
  </si>
  <si>
    <t>307,5</t>
  </si>
  <si>
    <t>Открытая (30.01.1986)/37</t>
  </si>
  <si>
    <t>97,90</t>
  </si>
  <si>
    <t>165,0</t>
  </si>
  <si>
    <t xml:space="preserve">Абсолютный зачёт </t>
  </si>
  <si>
    <t xml:space="preserve">ФИО </t>
  </si>
  <si>
    <t xml:space="preserve">Возрастная группа </t>
  </si>
  <si>
    <t xml:space="preserve">Wilks </t>
  </si>
  <si>
    <t xml:space="preserve">Открытая </t>
  </si>
  <si>
    <t xml:space="preserve">Мастера </t>
  </si>
  <si>
    <t xml:space="preserve">Мужчины </t>
  </si>
  <si>
    <t>82.5</t>
  </si>
  <si>
    <t>100</t>
  </si>
  <si>
    <t>75</t>
  </si>
  <si>
    <t>1</t>
  </si>
  <si>
    <t>Маликова Светлана</t>
  </si>
  <si>
    <t>Филимонова Алёна</t>
  </si>
  <si>
    <t>Филимонова Александра</t>
  </si>
  <si>
    <t>Ларюшкин Игорь</t>
  </si>
  <si>
    <t>Орлов Егор</t>
  </si>
  <si>
    <t>Пудров Иван</t>
  </si>
  <si>
    <t>Бармин Михаил</t>
  </si>
  <si>
    <t>-</t>
  </si>
  <si>
    <t>Шлюев Егор</t>
  </si>
  <si>
    <t>ВЕСОВАЯ КАТЕГОРИЯ   48</t>
  </si>
  <si>
    <t>Открытая (15.11.1984)/38</t>
  </si>
  <si>
    <t>46,95</t>
  </si>
  <si>
    <t>55,0</t>
  </si>
  <si>
    <t>30,0</t>
  </si>
  <si>
    <t>35,0</t>
  </si>
  <si>
    <t>70,0</t>
  </si>
  <si>
    <t>ВЕСОВАЯ КАТЕГОРИЯ   52</t>
  </si>
  <si>
    <t>Девушки 15-19 (18.10.2004)/18</t>
  </si>
  <si>
    <t>51,40</t>
  </si>
  <si>
    <t>67,5</t>
  </si>
  <si>
    <t>72,5</t>
  </si>
  <si>
    <t>52,5</t>
  </si>
  <si>
    <t>57,5</t>
  </si>
  <si>
    <t>Открытая (06.03.1993)/30</t>
  </si>
  <si>
    <t>51,30</t>
  </si>
  <si>
    <t>82,5</t>
  </si>
  <si>
    <t>51,20</t>
  </si>
  <si>
    <t>110,0</t>
  </si>
  <si>
    <t>125,0</t>
  </si>
  <si>
    <t>ВЕСОВАЯ КАТЕГОРИЯ   90</t>
  </si>
  <si>
    <t>89,80</t>
  </si>
  <si>
    <t>210,0</t>
  </si>
  <si>
    <t>222,5</t>
  </si>
  <si>
    <t>Открытая (30.10.1980)/42</t>
  </si>
  <si>
    <t>99,90</t>
  </si>
  <si>
    <t>270,0</t>
  </si>
  <si>
    <t>280,0</t>
  </si>
  <si>
    <t>ВЕСОВАЯ КАТЕГОРИЯ   110</t>
  </si>
  <si>
    <t>Юноши 15-19 (22.09.2004)/18</t>
  </si>
  <si>
    <t>105,10</t>
  </si>
  <si>
    <t>145,0</t>
  </si>
  <si>
    <t xml:space="preserve">Каширин Алексей </t>
  </si>
  <si>
    <t>Открытая (10.07.1996)/26</t>
  </si>
  <si>
    <t>108,20</t>
  </si>
  <si>
    <t>Сапожникова Оксана</t>
  </si>
  <si>
    <t>Филимонова Валерия</t>
  </si>
  <si>
    <t>Чуркина Виктория</t>
  </si>
  <si>
    <t>Вологдина Юлия</t>
  </si>
  <si>
    <t>Казаков Глеб</t>
  </si>
  <si>
    <t>Наумов Владимир</t>
  </si>
  <si>
    <t>Загорин Евгений</t>
  </si>
  <si>
    <t>Шляхтун Егор</t>
  </si>
  <si>
    <t>Открытая (05.04.1988)/34</t>
  </si>
  <si>
    <t>66,00</t>
  </si>
  <si>
    <t>Открытая (14.11.1984)/38</t>
  </si>
  <si>
    <t>87,50</t>
  </si>
  <si>
    <t>ВЕСОВАЯ КАТЕГОРИЯ   125</t>
  </si>
  <si>
    <t xml:space="preserve">Игнатьев Иван </t>
  </si>
  <si>
    <t>Открытая (05.09.1985)/37</t>
  </si>
  <si>
    <t>120,40</t>
  </si>
  <si>
    <t>260,0</t>
  </si>
  <si>
    <t>275,0</t>
  </si>
  <si>
    <t>155,0</t>
  </si>
  <si>
    <t>Кузнецов Константин</t>
  </si>
  <si>
    <t>Игнатьев Иван</t>
  </si>
  <si>
    <t>ВЕСОВАЯ КАТЕГОРИЯ   44</t>
  </si>
  <si>
    <t>Девушки 15-19 (12.05.2012)/10</t>
  </si>
  <si>
    <t>41,30</t>
  </si>
  <si>
    <t>27,5</t>
  </si>
  <si>
    <t>32,0</t>
  </si>
  <si>
    <t>68,30</t>
  </si>
  <si>
    <t>Юноши 15-19 (08.01.2008)/15</t>
  </si>
  <si>
    <t>60,90</t>
  </si>
  <si>
    <t>Открытая (31.03.1977)/46</t>
  </si>
  <si>
    <t>88,90</t>
  </si>
  <si>
    <t xml:space="preserve">Кодопога/Республика Карелия </t>
  </si>
  <si>
    <t xml:space="preserve">Косарев Андрей </t>
  </si>
  <si>
    <t>Открытая (11.09.1982)/40</t>
  </si>
  <si>
    <t xml:space="preserve">Результат </t>
  </si>
  <si>
    <t>Результат</t>
  </si>
  <si>
    <t>Одинаева Ирина</t>
  </si>
  <si>
    <t>Соловьева Наталья</t>
  </si>
  <si>
    <t>Гнетнев Владимир</t>
  </si>
  <si>
    <t>Карнышев Алексей</t>
  </si>
  <si>
    <t>Одинаев Александр</t>
  </si>
  <si>
    <t xml:space="preserve">Дибров Олег </t>
  </si>
  <si>
    <t>Открытая (11.12.1996)/26</t>
  </si>
  <si>
    <t>74,10</t>
  </si>
  <si>
    <t>117,5</t>
  </si>
  <si>
    <t xml:space="preserve">Ляхов Тарас </t>
  </si>
  <si>
    <t>Открытая (07.07.1991)/31</t>
  </si>
  <si>
    <t>78,10</t>
  </si>
  <si>
    <t>127,5</t>
  </si>
  <si>
    <t>Открытая (08.05.1986)/36</t>
  </si>
  <si>
    <t>82,30</t>
  </si>
  <si>
    <t>81,00</t>
  </si>
  <si>
    <t xml:space="preserve">Александров Василий </t>
  </si>
  <si>
    <t>82,40</t>
  </si>
  <si>
    <t xml:space="preserve">Комиссаров Яков </t>
  </si>
  <si>
    <t>80,50</t>
  </si>
  <si>
    <t xml:space="preserve">Кондратьев Марк </t>
  </si>
  <si>
    <t>Открытая (02.09.2002)/20</t>
  </si>
  <si>
    <t>89,00</t>
  </si>
  <si>
    <t>132,5</t>
  </si>
  <si>
    <t>88,20</t>
  </si>
  <si>
    <t>142,5</t>
  </si>
  <si>
    <t xml:space="preserve">Гаевский Сергей </t>
  </si>
  <si>
    <t>Открытая (05.10.1972)/50</t>
  </si>
  <si>
    <t>98,80</t>
  </si>
  <si>
    <t xml:space="preserve">Машакин Олег </t>
  </si>
  <si>
    <t>91,70</t>
  </si>
  <si>
    <t>Дибров Олег</t>
  </si>
  <si>
    <t>Ляхов Тарас</t>
  </si>
  <si>
    <t>2</t>
  </si>
  <si>
    <t>Карпов Алексей</t>
  </si>
  <si>
    <t>Кирилин Николай</t>
  </si>
  <si>
    <t>Александров Василий</t>
  </si>
  <si>
    <t>Комиссаров Яков</t>
  </si>
  <si>
    <t>Кондратьев Марк</t>
  </si>
  <si>
    <t>Харченко Вячеслав</t>
  </si>
  <si>
    <t>Гаевский Сергей</t>
  </si>
  <si>
    <t>Машакин Олег</t>
  </si>
  <si>
    <t>Юноши 15-19 (28.11.2008)/14</t>
  </si>
  <si>
    <t>36,90</t>
  </si>
  <si>
    <t>Юноши 15-19 (30.11.2006)/16</t>
  </si>
  <si>
    <t>67,10</t>
  </si>
  <si>
    <t>Юноши 15-19 (25.10.2007)/15</t>
  </si>
  <si>
    <t>65,80</t>
  </si>
  <si>
    <t>78,90</t>
  </si>
  <si>
    <t>Лебедев Даниил</t>
  </si>
  <si>
    <t>Филатов Максим</t>
  </si>
  <si>
    <t>Пестов Никита</t>
  </si>
  <si>
    <t>Мальков Игорь</t>
  </si>
  <si>
    <t>Открытая (01.07.1971)/51</t>
  </si>
  <si>
    <t>46,20</t>
  </si>
  <si>
    <t>Юноши 15-19 (22.02.2006)/17</t>
  </si>
  <si>
    <t>71,30</t>
  </si>
  <si>
    <t xml:space="preserve">Аншуков Андрей </t>
  </si>
  <si>
    <t>Формода Оксана</t>
  </si>
  <si>
    <t>Зайков Владислав</t>
  </si>
  <si>
    <t>88,95</t>
  </si>
  <si>
    <t>87,5</t>
  </si>
  <si>
    <t>ВЕСОВАЯ КАТЕГОРИЯ   60</t>
  </si>
  <si>
    <t>Мастера 60+ (04.10.1960)/62</t>
  </si>
  <si>
    <t>57,35</t>
  </si>
  <si>
    <t>Ершов Виктор</t>
  </si>
  <si>
    <t>59,10</t>
  </si>
  <si>
    <t xml:space="preserve">Петров Андрей </t>
  </si>
  <si>
    <t>65,55</t>
  </si>
  <si>
    <t>Открытая (08.03.1983)/40</t>
  </si>
  <si>
    <t>89,90</t>
  </si>
  <si>
    <t>62,5</t>
  </si>
  <si>
    <t>Открытая (17.06.1982)/40</t>
  </si>
  <si>
    <t>99,20</t>
  </si>
  <si>
    <t xml:space="preserve">Сакович Олег </t>
  </si>
  <si>
    <t>Казаков Андрей</t>
  </si>
  <si>
    <t>Рыбалкин Вадим</t>
  </si>
  <si>
    <t>Мишин Вадим</t>
  </si>
  <si>
    <t>Петров Андрей</t>
  </si>
  <si>
    <t>95,0</t>
  </si>
  <si>
    <t xml:space="preserve">Петрозаводск/Республика Карелия </t>
  </si>
  <si>
    <t xml:space="preserve">Пудож/Республика Карелия </t>
  </si>
  <si>
    <t xml:space="preserve">Кондопога/Республика Карелия </t>
  </si>
  <si>
    <t xml:space="preserve">Лахденпохья/Республика Карелия </t>
  </si>
  <si>
    <t xml:space="preserve">Костомукша/Республика Карелия </t>
  </si>
  <si>
    <t xml:space="preserve">Питкяранта/Республика Карелия </t>
  </si>
  <si>
    <t xml:space="preserve">Сортавала/Республика Карелия </t>
  </si>
  <si>
    <t>Мастера 40-49 (04.05.1973)/49</t>
  </si>
  <si>
    <t>Мастера 40-49 (17.06.1982)/40</t>
  </si>
  <si>
    <t>Юноши 13-19 (13.06.2006)/16</t>
  </si>
  <si>
    <t>Юноши 13-19 (27.05.2004)/18</t>
  </si>
  <si>
    <t>Юниоры 20-23 (13.08.2002)/20</t>
  </si>
  <si>
    <t>Мастера 40-44 (18.03.1982)/41</t>
  </si>
  <si>
    <t>Юниоры 20-23 (01.09.2000)/22</t>
  </si>
  <si>
    <t>Мастера 40-44 (04.11.1979)/43</t>
  </si>
  <si>
    <t>Мастера 45-49 (04.05.1973)/49</t>
  </si>
  <si>
    <t>Мастера 50-54 (31.01.1972)/51</t>
  </si>
  <si>
    <t>Мастера 45-49 (15.04.1975)/47</t>
  </si>
  <si>
    <t>Мастера 45-49 (08.10.1976)/46</t>
  </si>
  <si>
    <t>Мастера 50-54 (05.10.1972)/50</t>
  </si>
  <si>
    <t xml:space="preserve">Мастера 50-54 </t>
  </si>
  <si>
    <t xml:space="preserve">Мастера 45-49 </t>
  </si>
  <si>
    <t>Мастера 50-54 (05.01.1973)/50</t>
  </si>
  <si>
    <t>Мастера 70-74 (09.01.1952)/71</t>
  </si>
  <si>
    <t>Мастера 65-69 (05.12.1953)/69</t>
  </si>
  <si>
    <t>Юниоры 20-23 (11.04.2000)/22</t>
  </si>
  <si>
    <t>Открытый мастерский турнир «Karjalainen Karhu»
СПР Пауэрспорт ДК
Петрозаводск/Республика Карелия, 01 апреля 2023 года</t>
  </si>
  <si>
    <t>Открытый мастерский турнир «Karjalainen Karhu»
СПР Строгий подъем штанги на бицепс ДК
Петрозаводск/Республика Карелия, 01 апреля 2023 года</t>
  </si>
  <si>
    <t>Открытый мастерский турнир «Karjalainen Karhu»
СПР Строгий подъем штанги на бицепс
Петрозаводск/Республика Карелия, 01 апреля 2023 года</t>
  </si>
  <si>
    <t>Открытый мастерский турнир «Karjalainen Karhu»
СПР Жим штанги стоя ДК
Петрозаводск/Республика Карелия, 01 апреля 2023 года</t>
  </si>
  <si>
    <t>Открытый мастерский турнир «Karjalainen Karhu»
IPL Присед без экипировки ДК
Петрозаводск/Республика Карелия, 01 апреля 2023 года</t>
  </si>
  <si>
    <t>Открытый мастерский турнир «Karjalainen Karhu»
IPL Становая тяга без экипировки ДК
Петрозаводск/Республика Карелия, 01 апреля 2023 года</t>
  </si>
  <si>
    <t>Открытый мастерский турнир «Karjalainen Karhu»
IPL Становая тяга без экипировки
Петрозаводск/Республика Карелия, 01 апреля 2023 года</t>
  </si>
  <si>
    <t>Открытый мастерский турнир «Karjalainen Karhu»
IPL Жим лежа без экипировки ДК
Петрозаводск/Республика Карелия, 01 апреля 2023 года</t>
  </si>
  <si>
    <t>Открытый мастерский турнир «Karjalainen Karhu»
IPL Жим лежа без экипировки
Петрозаводск/Республика Карелия, 01 апреля 2023 года</t>
  </si>
  <si>
    <t>Открытый мастерский турнир «Karjalainen Karhu»
IPL Пауэрлифтинг в бинтах
Петрозаводск/Республика Карелия, 01 апреля 2023 года</t>
  </si>
  <si>
    <t>Открытый мастерский турнир «Karjalainen Karhu»
IPL Пауэрлифтинг без экипировки ДК
Петрозаводск/Республика Карелия, 01 апреля 2023 года</t>
  </si>
  <si>
    <t>Открытый мастерский турнир «Karjalainen Karhu»
IPL Пауэрлифтинг без экипировки
Петрозаводск/Республика Карелия, 01 апреля 2023 года</t>
  </si>
  <si>
    <t xml:space="preserve">Гайдук Савелий </t>
  </si>
  <si>
    <t xml:space="preserve">Сыктывкар/Республика Коми </t>
  </si>
  <si>
    <t>Весовая категория</t>
  </si>
  <si>
    <t>Лапина Лариса</t>
  </si>
  <si>
    <t xml:space="preserve">Николаев Денис </t>
  </si>
  <si>
    <t>Ерошкин Геннадий</t>
  </si>
  <si>
    <t>Жим</t>
  </si>
  <si>
    <t>Тяга</t>
  </si>
  <si>
    <t>№</t>
  </si>
  <si>
    <t xml:space="preserve">
Дата рождения/Возраст</t>
  </si>
  <si>
    <t>Возрастная группа</t>
  </si>
  <si>
    <t>O</t>
  </si>
  <si>
    <t>T</t>
  </si>
  <si>
    <t>M3</t>
  </si>
  <si>
    <t>J</t>
  </si>
  <si>
    <t>M7</t>
  </si>
  <si>
    <t>M4</t>
  </si>
  <si>
    <t>M1</t>
  </si>
  <si>
    <t>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</si>
</sst>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9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 indent="1"/>
    </xf>
    <xf numFmtId="49" fontId="7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U21"/>
  <sheetViews>
    <sheetView workbookViewId="0">
      <selection activeCell="E22" sqref="E22"/>
    </sheetView>
  </sheetViews>
  <sheetFormatPr baseColWidth="10" defaultColWidth="9.1640625" defaultRowHeight="13"/>
  <cols>
    <col min="1" max="1" width="7.5" style="5" bestFit="1" customWidth="1"/>
    <col min="2" max="2" width="20" style="5" bestFit="1" customWidth="1"/>
    <col min="3" max="3" width="28.5" style="5" bestFit="1" customWidth="1"/>
    <col min="4" max="4" width="21.5" style="5" bestFit="1" customWidth="1"/>
    <col min="5" max="5" width="10.5" style="19" bestFit="1" customWidth="1"/>
    <col min="6" max="6" width="34.33203125" style="5" customWidth="1"/>
    <col min="7" max="9" width="5.5" style="28" customWidth="1"/>
    <col min="10" max="10" width="4.83203125" style="28" customWidth="1"/>
    <col min="11" max="13" width="5.5" style="28" customWidth="1"/>
    <col min="14" max="14" width="4.83203125" style="28" customWidth="1"/>
    <col min="15" max="17" width="5.5" style="28" customWidth="1"/>
    <col min="18" max="18" width="4.83203125" style="28" customWidth="1"/>
    <col min="19" max="19" width="7.83203125" style="6" bestFit="1" customWidth="1"/>
    <col min="20" max="20" width="8.5" style="6" bestFit="1" customWidth="1"/>
    <col min="21" max="21" width="25.1640625" style="5" customWidth="1"/>
    <col min="22" max="16384" width="9.1640625" style="3"/>
  </cols>
  <sheetData>
    <row r="1" spans="1:21" s="2" customFormat="1" ht="29" customHeight="1">
      <c r="A1" s="52" t="s">
        <v>280</v>
      </c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5"/>
    </row>
    <row r="2" spans="1:21" s="2" customFormat="1" ht="62" customHeight="1" thickBot="1">
      <c r="A2" s="56"/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9"/>
    </row>
    <row r="3" spans="1:21" s="1" customFormat="1" ht="12.75" customHeight="1">
      <c r="A3" s="60" t="s">
        <v>290</v>
      </c>
      <c r="B3" s="67" t="s">
        <v>0</v>
      </c>
      <c r="C3" s="62" t="s">
        <v>291</v>
      </c>
      <c r="D3" s="62" t="s">
        <v>6</v>
      </c>
      <c r="E3" s="46" t="s">
        <v>292</v>
      </c>
      <c r="F3" s="64" t="s">
        <v>5</v>
      </c>
      <c r="G3" s="64" t="s">
        <v>7</v>
      </c>
      <c r="H3" s="64"/>
      <c r="I3" s="64"/>
      <c r="J3" s="64"/>
      <c r="K3" s="64" t="s">
        <v>8</v>
      </c>
      <c r="L3" s="64"/>
      <c r="M3" s="64"/>
      <c r="N3" s="64"/>
      <c r="O3" s="64" t="s">
        <v>9</v>
      </c>
      <c r="P3" s="64"/>
      <c r="Q3" s="64"/>
      <c r="R3" s="64"/>
      <c r="S3" s="46" t="s">
        <v>1</v>
      </c>
      <c r="T3" s="46" t="s">
        <v>3</v>
      </c>
      <c r="U3" s="48" t="s">
        <v>2</v>
      </c>
    </row>
    <row r="4" spans="1:21" s="1" customFormat="1" ht="21" customHeight="1" thickBot="1">
      <c r="A4" s="61"/>
      <c r="B4" s="68"/>
      <c r="C4" s="63"/>
      <c r="D4" s="63"/>
      <c r="E4" s="47"/>
      <c r="F4" s="63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47"/>
      <c r="T4" s="47"/>
      <c r="U4" s="49"/>
    </row>
    <row r="5" spans="1:21" ht="16">
      <c r="A5" s="50" t="s">
        <v>93</v>
      </c>
      <c r="B5" s="50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1:21">
      <c r="A6" s="32" t="s">
        <v>83</v>
      </c>
      <c r="B6" s="7" t="s">
        <v>128</v>
      </c>
      <c r="C6" s="7" t="s">
        <v>94</v>
      </c>
      <c r="D6" s="7" t="s">
        <v>95</v>
      </c>
      <c r="E6" s="8" t="s">
        <v>293</v>
      </c>
      <c r="F6" s="7" t="s">
        <v>244</v>
      </c>
      <c r="G6" s="30" t="s">
        <v>12</v>
      </c>
      <c r="H6" s="31" t="s">
        <v>96</v>
      </c>
      <c r="I6" s="31" t="s">
        <v>13</v>
      </c>
      <c r="J6" s="32"/>
      <c r="K6" s="31" t="s">
        <v>97</v>
      </c>
      <c r="L6" s="30" t="s">
        <v>98</v>
      </c>
      <c r="M6" s="31" t="s">
        <v>98</v>
      </c>
      <c r="N6" s="32"/>
      <c r="O6" s="31" t="s">
        <v>99</v>
      </c>
      <c r="P6" s="30" t="s">
        <v>32</v>
      </c>
      <c r="Q6" s="31" t="s">
        <v>33</v>
      </c>
      <c r="R6" s="32"/>
      <c r="S6" s="9" t="str">
        <f>"180,0"</f>
        <v>180,0</v>
      </c>
      <c r="T6" s="9" t="str">
        <f>"268,8480"</f>
        <v>268,8480</v>
      </c>
      <c r="U6" s="7"/>
    </row>
    <row r="8" spans="1:21" ht="16">
      <c r="A8" s="65" t="s">
        <v>100</v>
      </c>
      <c r="B8" s="65"/>
      <c r="C8" s="65"/>
      <c r="D8" s="65"/>
      <c r="E8" s="66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</row>
    <row r="9" spans="1:21">
      <c r="A9" s="35" t="s">
        <v>83</v>
      </c>
      <c r="B9" s="10" t="s">
        <v>129</v>
      </c>
      <c r="C9" s="10" t="s">
        <v>101</v>
      </c>
      <c r="D9" s="10" t="s">
        <v>102</v>
      </c>
      <c r="E9" s="11" t="s">
        <v>294</v>
      </c>
      <c r="F9" s="10" t="s">
        <v>245</v>
      </c>
      <c r="G9" s="33" t="s">
        <v>103</v>
      </c>
      <c r="H9" s="33" t="s">
        <v>104</v>
      </c>
      <c r="I9" s="33" t="s">
        <v>27</v>
      </c>
      <c r="J9" s="35"/>
      <c r="K9" s="33" t="s">
        <v>105</v>
      </c>
      <c r="L9" s="33" t="s">
        <v>96</v>
      </c>
      <c r="M9" s="33" t="s">
        <v>106</v>
      </c>
      <c r="N9" s="35"/>
      <c r="O9" s="33" t="s">
        <v>32</v>
      </c>
      <c r="P9" s="33" t="s">
        <v>33</v>
      </c>
      <c r="Q9" s="33" t="s">
        <v>16</v>
      </c>
      <c r="R9" s="35"/>
      <c r="S9" s="12" t="str">
        <f>"225,0"</f>
        <v>225,0</v>
      </c>
      <c r="T9" s="12" t="str">
        <f>"283,0050"</f>
        <v>283,0050</v>
      </c>
      <c r="U9" s="10" t="s">
        <v>168</v>
      </c>
    </row>
    <row r="10" spans="1:21">
      <c r="A10" s="38" t="s">
        <v>83</v>
      </c>
      <c r="B10" s="13" t="s">
        <v>130</v>
      </c>
      <c r="C10" s="13" t="s">
        <v>107</v>
      </c>
      <c r="D10" s="13" t="s">
        <v>108</v>
      </c>
      <c r="E10" s="14" t="s">
        <v>293</v>
      </c>
      <c r="F10" s="13" t="s">
        <v>244</v>
      </c>
      <c r="G10" s="36" t="s">
        <v>48</v>
      </c>
      <c r="H10" s="37" t="s">
        <v>32</v>
      </c>
      <c r="I10" s="36" t="s">
        <v>109</v>
      </c>
      <c r="J10" s="38"/>
      <c r="K10" s="36" t="s">
        <v>15</v>
      </c>
      <c r="L10" s="36" t="s">
        <v>34</v>
      </c>
      <c r="M10" s="36" t="s">
        <v>12</v>
      </c>
      <c r="N10" s="38"/>
      <c r="O10" s="36" t="s">
        <v>16</v>
      </c>
      <c r="P10" s="36" t="s">
        <v>18</v>
      </c>
      <c r="Q10" s="36" t="s">
        <v>35</v>
      </c>
      <c r="R10" s="38"/>
      <c r="S10" s="15" t="str">
        <f>"237,5"</f>
        <v>237,5</v>
      </c>
      <c r="T10" s="15" t="str">
        <f>"299,1787"</f>
        <v>299,1787</v>
      </c>
      <c r="U10" s="13"/>
    </row>
    <row r="11" spans="1:21">
      <c r="A11" s="41" t="s">
        <v>83</v>
      </c>
      <c r="B11" s="16" t="s">
        <v>131</v>
      </c>
      <c r="C11" s="16" t="s">
        <v>266</v>
      </c>
      <c r="D11" s="16" t="s">
        <v>110</v>
      </c>
      <c r="E11" s="17" t="s">
        <v>295</v>
      </c>
      <c r="F11" s="16" t="s">
        <v>244</v>
      </c>
      <c r="G11" s="39" t="s">
        <v>99</v>
      </c>
      <c r="H11" s="39" t="s">
        <v>48</v>
      </c>
      <c r="I11" s="40" t="s">
        <v>32</v>
      </c>
      <c r="J11" s="41"/>
      <c r="K11" s="39" t="s">
        <v>15</v>
      </c>
      <c r="L11" s="39" t="s">
        <v>34</v>
      </c>
      <c r="M11" s="40" t="s">
        <v>12</v>
      </c>
      <c r="N11" s="41"/>
      <c r="O11" s="39" t="s">
        <v>111</v>
      </c>
      <c r="P11" s="40" t="s">
        <v>49</v>
      </c>
      <c r="Q11" s="39" t="s">
        <v>112</v>
      </c>
      <c r="R11" s="41"/>
      <c r="S11" s="18" t="str">
        <f>"247,5"</f>
        <v>247,5</v>
      </c>
      <c r="T11" s="18" t="str">
        <f>"359,0829"</f>
        <v>359,0829</v>
      </c>
      <c r="U11" s="16" t="s">
        <v>125</v>
      </c>
    </row>
    <row r="13" spans="1:21" ht="16">
      <c r="A13" s="65" t="s">
        <v>113</v>
      </c>
      <c r="B13" s="65"/>
      <c r="C13" s="65"/>
      <c r="D13" s="65"/>
      <c r="E13" s="66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</row>
    <row r="14" spans="1:21">
      <c r="A14" s="32" t="s">
        <v>83</v>
      </c>
      <c r="B14" s="7" t="s">
        <v>132</v>
      </c>
      <c r="C14" s="7" t="s">
        <v>255</v>
      </c>
      <c r="D14" s="7" t="s">
        <v>114</v>
      </c>
      <c r="E14" s="8" t="s">
        <v>296</v>
      </c>
      <c r="F14" s="7" t="s">
        <v>246</v>
      </c>
      <c r="G14" s="30" t="s">
        <v>65</v>
      </c>
      <c r="H14" s="30" t="s">
        <v>66</v>
      </c>
      <c r="I14" s="31" t="s">
        <v>66</v>
      </c>
      <c r="J14" s="32"/>
      <c r="K14" s="31" t="s">
        <v>111</v>
      </c>
      <c r="L14" s="31" t="s">
        <v>41</v>
      </c>
      <c r="M14" s="31" t="s">
        <v>49</v>
      </c>
      <c r="N14" s="32"/>
      <c r="O14" s="31" t="s">
        <v>115</v>
      </c>
      <c r="P14" s="31" t="s">
        <v>116</v>
      </c>
      <c r="Q14" s="31" t="s">
        <v>44</v>
      </c>
      <c r="R14" s="32"/>
      <c r="S14" s="9" t="str">
        <f>"545,0"</f>
        <v>545,0</v>
      </c>
      <c r="T14" s="9" t="str">
        <f>"348,3095"</f>
        <v>348,3095</v>
      </c>
      <c r="U14" s="7"/>
    </row>
    <row r="16" spans="1:21" ht="16">
      <c r="A16" s="65" t="s">
        <v>51</v>
      </c>
      <c r="B16" s="65"/>
      <c r="C16" s="65"/>
      <c r="D16" s="65"/>
      <c r="E16" s="66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</row>
    <row r="17" spans="1:21">
      <c r="A17" s="32" t="s">
        <v>83</v>
      </c>
      <c r="B17" s="7" t="s">
        <v>133</v>
      </c>
      <c r="C17" s="7" t="s">
        <v>117</v>
      </c>
      <c r="D17" s="7" t="s">
        <v>118</v>
      </c>
      <c r="E17" s="8" t="s">
        <v>293</v>
      </c>
      <c r="F17" s="7" t="s">
        <v>245</v>
      </c>
      <c r="G17" s="31" t="s">
        <v>56</v>
      </c>
      <c r="H17" s="31" t="s">
        <v>115</v>
      </c>
      <c r="I17" s="31" t="s">
        <v>43</v>
      </c>
      <c r="J17" s="32"/>
      <c r="K17" s="31" t="s">
        <v>24</v>
      </c>
      <c r="L17" s="31" t="s">
        <v>53</v>
      </c>
      <c r="M17" s="30" t="s">
        <v>50</v>
      </c>
      <c r="N17" s="32"/>
      <c r="O17" s="31" t="s">
        <v>119</v>
      </c>
      <c r="P17" s="31" t="s">
        <v>120</v>
      </c>
      <c r="Q17" s="31" t="s">
        <v>67</v>
      </c>
      <c r="R17" s="32"/>
      <c r="S17" s="9" t="str">
        <f>"655,0"</f>
        <v>655,0</v>
      </c>
      <c r="T17" s="9" t="str">
        <f>"398,7640"</f>
        <v>398,7640</v>
      </c>
      <c r="U17" s="7"/>
    </row>
    <row r="19" spans="1:21" ht="16">
      <c r="A19" s="65" t="s">
        <v>121</v>
      </c>
      <c r="B19" s="65"/>
      <c r="C19" s="65"/>
      <c r="D19" s="65"/>
      <c r="E19" s="66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</row>
    <row r="20" spans="1:21">
      <c r="A20" s="35" t="s">
        <v>83</v>
      </c>
      <c r="B20" s="10" t="s">
        <v>134</v>
      </c>
      <c r="C20" s="10" t="s">
        <v>122</v>
      </c>
      <c r="D20" s="10" t="s">
        <v>123</v>
      </c>
      <c r="E20" s="11" t="s">
        <v>294</v>
      </c>
      <c r="F20" s="10" t="s">
        <v>244</v>
      </c>
      <c r="G20" s="33" t="s">
        <v>55</v>
      </c>
      <c r="H20" s="33" t="s">
        <v>124</v>
      </c>
      <c r="I20" s="33" t="s">
        <v>29</v>
      </c>
      <c r="J20" s="35"/>
      <c r="K20" s="33" t="s">
        <v>35</v>
      </c>
      <c r="L20" s="33" t="s">
        <v>111</v>
      </c>
      <c r="M20" s="33" t="s">
        <v>41</v>
      </c>
      <c r="N20" s="35"/>
      <c r="O20" s="33" t="s">
        <v>54</v>
      </c>
      <c r="P20" s="33" t="s">
        <v>65</v>
      </c>
      <c r="Q20" s="33" t="s">
        <v>56</v>
      </c>
      <c r="R20" s="35"/>
      <c r="S20" s="12" t="str">
        <f>"467,5"</f>
        <v>467,5</v>
      </c>
      <c r="T20" s="12" t="str">
        <f>"279,2845"</f>
        <v>279,2845</v>
      </c>
      <c r="U20" s="10" t="s">
        <v>125</v>
      </c>
    </row>
    <row r="21" spans="1:21">
      <c r="A21" s="41" t="s">
        <v>83</v>
      </c>
      <c r="B21" s="16" t="s">
        <v>135</v>
      </c>
      <c r="C21" s="16" t="s">
        <v>126</v>
      </c>
      <c r="D21" s="16" t="s">
        <v>127</v>
      </c>
      <c r="E21" s="17" t="s">
        <v>293</v>
      </c>
      <c r="F21" s="16" t="s">
        <v>246</v>
      </c>
      <c r="G21" s="39" t="s">
        <v>56</v>
      </c>
      <c r="H21" s="40" t="s">
        <v>115</v>
      </c>
      <c r="I21" s="40" t="s">
        <v>115</v>
      </c>
      <c r="J21" s="41"/>
      <c r="K21" s="39" t="s">
        <v>22</v>
      </c>
      <c r="L21" s="40" t="s">
        <v>24</v>
      </c>
      <c r="M21" s="40" t="s">
        <v>24</v>
      </c>
      <c r="N21" s="41"/>
      <c r="O21" s="39" t="s">
        <v>115</v>
      </c>
      <c r="P21" s="39" t="s">
        <v>43</v>
      </c>
      <c r="Q21" s="39" t="s">
        <v>44</v>
      </c>
      <c r="R21" s="41"/>
      <c r="S21" s="18" t="str">
        <f>"560,0"</f>
        <v>560,0</v>
      </c>
      <c r="T21" s="18" t="str">
        <f>"331,2960"</f>
        <v>331,2960</v>
      </c>
      <c r="U21" s="16" t="s">
        <v>160</v>
      </c>
    </row>
  </sheetData>
  <mergeCells count="18">
    <mergeCell ref="A8:R8"/>
    <mergeCell ref="A13:R13"/>
    <mergeCell ref="A16:R16"/>
    <mergeCell ref="A19:R19"/>
    <mergeCell ref="B3:B4"/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9"/>
  <sheetViews>
    <sheetView workbookViewId="0">
      <selection activeCell="E10" sqref="E10"/>
    </sheetView>
  </sheetViews>
  <sheetFormatPr baseColWidth="10" defaultColWidth="9.1640625" defaultRowHeight="13"/>
  <cols>
    <col min="1" max="1" width="7.5" style="5" bestFit="1" customWidth="1"/>
    <col min="2" max="2" width="20.5" style="5" bestFit="1" customWidth="1"/>
    <col min="3" max="3" width="28.5" style="5" bestFit="1" customWidth="1"/>
    <col min="4" max="4" width="21.5" style="5" bestFit="1" customWidth="1"/>
    <col min="5" max="5" width="10.5" style="19" bestFit="1" customWidth="1"/>
    <col min="6" max="6" width="32.33203125" style="5" bestFit="1" customWidth="1"/>
    <col min="7" max="9" width="5.5" style="28" customWidth="1"/>
    <col min="10" max="10" width="4.83203125" style="28" customWidth="1"/>
    <col min="11" max="11" width="10.5" style="6" bestFit="1" customWidth="1"/>
    <col min="12" max="12" width="10.1640625" style="6" customWidth="1"/>
    <col min="13" max="13" width="20.5" style="5" customWidth="1"/>
    <col min="14" max="16384" width="9.1640625" style="3"/>
  </cols>
  <sheetData>
    <row r="1" spans="1:13" s="2" customFormat="1" ht="29" customHeight="1">
      <c r="A1" s="52" t="s">
        <v>273</v>
      </c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2" customFormat="1" ht="62" customHeight="1" thickBot="1">
      <c r="A2" s="56"/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</row>
    <row r="3" spans="1:13" s="1" customFormat="1" ht="12.75" customHeight="1">
      <c r="A3" s="60" t="s">
        <v>290</v>
      </c>
      <c r="B3" s="67" t="s">
        <v>0</v>
      </c>
      <c r="C3" s="62" t="s">
        <v>291</v>
      </c>
      <c r="D3" s="62" t="s">
        <v>6</v>
      </c>
      <c r="E3" s="46" t="s">
        <v>292</v>
      </c>
      <c r="F3" s="64" t="s">
        <v>5</v>
      </c>
      <c r="G3" s="64" t="s">
        <v>288</v>
      </c>
      <c r="H3" s="64"/>
      <c r="I3" s="64"/>
      <c r="J3" s="64"/>
      <c r="K3" s="46" t="s">
        <v>163</v>
      </c>
      <c r="L3" s="46" t="s">
        <v>3</v>
      </c>
      <c r="M3" s="48" t="s">
        <v>2</v>
      </c>
    </row>
    <row r="4" spans="1:13" s="1" customFormat="1" ht="21" customHeight="1" thickBot="1">
      <c r="A4" s="61"/>
      <c r="B4" s="68"/>
      <c r="C4" s="63"/>
      <c r="D4" s="63"/>
      <c r="E4" s="47"/>
      <c r="F4" s="63"/>
      <c r="G4" s="4">
        <v>1</v>
      </c>
      <c r="H4" s="4">
        <v>2</v>
      </c>
      <c r="I4" s="4">
        <v>3</v>
      </c>
      <c r="J4" s="4" t="s">
        <v>4</v>
      </c>
      <c r="K4" s="47"/>
      <c r="L4" s="47"/>
      <c r="M4" s="49"/>
    </row>
    <row r="5" spans="1:13" ht="16">
      <c r="A5" s="50" t="s">
        <v>45</v>
      </c>
      <c r="B5" s="50"/>
      <c r="C5" s="51"/>
      <c r="D5" s="51"/>
      <c r="E5" s="51"/>
      <c r="F5" s="51"/>
      <c r="G5" s="51"/>
      <c r="H5" s="51"/>
      <c r="I5" s="51"/>
      <c r="J5" s="51"/>
    </row>
    <row r="6" spans="1:13">
      <c r="A6" s="32" t="s">
        <v>83</v>
      </c>
      <c r="B6" s="7" t="s">
        <v>200</v>
      </c>
      <c r="C6" s="7" t="s">
        <v>251</v>
      </c>
      <c r="D6" s="7" t="s">
        <v>181</v>
      </c>
      <c r="E6" s="8" t="s">
        <v>299</v>
      </c>
      <c r="F6" s="7" t="s">
        <v>244</v>
      </c>
      <c r="G6" s="31" t="s">
        <v>16</v>
      </c>
      <c r="H6" s="31" t="s">
        <v>18</v>
      </c>
      <c r="I6" s="30" t="s">
        <v>36</v>
      </c>
      <c r="J6" s="32"/>
      <c r="K6" s="9" t="str">
        <f>"100,0"</f>
        <v>100,0</v>
      </c>
      <c r="L6" s="9" t="str">
        <f>"71,7996"</f>
        <v>71,7996</v>
      </c>
      <c r="M6" s="7"/>
    </row>
    <row r="8" spans="1:13" ht="16">
      <c r="A8" s="65" t="s">
        <v>113</v>
      </c>
      <c r="B8" s="65"/>
      <c r="C8" s="65"/>
      <c r="D8" s="65"/>
      <c r="E8" s="66"/>
      <c r="F8" s="65"/>
      <c r="G8" s="65"/>
      <c r="H8" s="65"/>
      <c r="I8" s="65"/>
      <c r="J8" s="65"/>
    </row>
    <row r="9" spans="1:13">
      <c r="A9" s="32" t="s">
        <v>83</v>
      </c>
      <c r="B9" s="7" t="s">
        <v>202</v>
      </c>
      <c r="C9" s="7" t="s">
        <v>185</v>
      </c>
      <c r="D9" s="7" t="s">
        <v>224</v>
      </c>
      <c r="E9" s="8" t="s">
        <v>293</v>
      </c>
      <c r="F9" s="7" t="s">
        <v>244</v>
      </c>
      <c r="G9" s="31" t="s">
        <v>13</v>
      </c>
      <c r="H9" s="31" t="s">
        <v>32</v>
      </c>
      <c r="I9" s="31" t="s">
        <v>225</v>
      </c>
      <c r="J9" s="32"/>
      <c r="K9" s="9" t="str">
        <f>"87,5"</f>
        <v>87,5</v>
      </c>
      <c r="L9" s="9" t="str">
        <f>"53,8891"</f>
        <v>53,8891</v>
      </c>
      <c r="M9" s="7"/>
    </row>
  </sheetData>
  <mergeCells count="13">
    <mergeCell ref="A8:J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6"/>
  <sheetViews>
    <sheetView workbookViewId="0">
      <selection activeCell="E17" sqref="E17"/>
    </sheetView>
  </sheetViews>
  <sheetFormatPr baseColWidth="10" defaultColWidth="9.1640625" defaultRowHeight="13"/>
  <cols>
    <col min="1" max="1" width="7.5" style="5" bestFit="1" customWidth="1"/>
    <col min="2" max="2" width="20.5" style="5" customWidth="1"/>
    <col min="3" max="3" width="27.6640625" style="5" bestFit="1" customWidth="1"/>
    <col min="4" max="4" width="21.5" style="5" bestFit="1" customWidth="1"/>
    <col min="5" max="5" width="10.5" style="19" bestFit="1" customWidth="1"/>
    <col min="6" max="6" width="32.33203125" style="5" bestFit="1" customWidth="1"/>
    <col min="7" max="9" width="5.5" style="28" customWidth="1"/>
    <col min="10" max="10" width="4.83203125" style="28" customWidth="1"/>
    <col min="11" max="11" width="10.5" style="6" bestFit="1" customWidth="1"/>
    <col min="12" max="12" width="7.5" style="6" bestFit="1" customWidth="1"/>
    <col min="13" max="13" width="21.1640625" style="5" customWidth="1"/>
    <col min="14" max="16384" width="9.1640625" style="3"/>
  </cols>
  <sheetData>
    <row r="1" spans="1:13" s="2" customFormat="1" ht="29" customHeight="1">
      <c r="A1" s="52" t="s">
        <v>271</v>
      </c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2" customFormat="1" ht="62" customHeight="1" thickBot="1">
      <c r="A2" s="56"/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</row>
    <row r="3" spans="1:13" s="1" customFormat="1" ht="12.75" customHeight="1">
      <c r="A3" s="60" t="s">
        <v>290</v>
      </c>
      <c r="B3" s="67" t="s">
        <v>0</v>
      </c>
      <c r="C3" s="62" t="s">
        <v>291</v>
      </c>
      <c r="D3" s="62" t="s">
        <v>6</v>
      </c>
      <c r="E3" s="46" t="s">
        <v>292</v>
      </c>
      <c r="F3" s="64" t="s">
        <v>5</v>
      </c>
      <c r="G3" s="64" t="s">
        <v>288</v>
      </c>
      <c r="H3" s="64"/>
      <c r="I3" s="64"/>
      <c r="J3" s="64"/>
      <c r="K3" s="46" t="s">
        <v>163</v>
      </c>
      <c r="L3" s="46" t="s">
        <v>3</v>
      </c>
      <c r="M3" s="48" t="s">
        <v>2</v>
      </c>
    </row>
    <row r="4" spans="1:13" s="1" customFormat="1" ht="21" customHeight="1" thickBot="1">
      <c r="A4" s="61"/>
      <c r="B4" s="68"/>
      <c r="C4" s="63"/>
      <c r="D4" s="63"/>
      <c r="E4" s="47"/>
      <c r="F4" s="63"/>
      <c r="G4" s="4">
        <v>1</v>
      </c>
      <c r="H4" s="4">
        <v>2</v>
      </c>
      <c r="I4" s="4">
        <v>3</v>
      </c>
      <c r="J4" s="4" t="s">
        <v>4</v>
      </c>
      <c r="K4" s="47"/>
      <c r="L4" s="47"/>
      <c r="M4" s="49"/>
    </row>
    <row r="5" spans="1:13" ht="16">
      <c r="A5" s="50" t="s">
        <v>226</v>
      </c>
      <c r="B5" s="50"/>
      <c r="C5" s="51"/>
      <c r="D5" s="51"/>
      <c r="E5" s="51"/>
      <c r="F5" s="51"/>
      <c r="G5" s="51"/>
      <c r="H5" s="51"/>
      <c r="I5" s="51"/>
      <c r="J5" s="51"/>
    </row>
    <row r="6" spans="1:13">
      <c r="A6" s="32" t="s">
        <v>83</v>
      </c>
      <c r="B6" s="7" t="s">
        <v>239</v>
      </c>
      <c r="C6" s="7" t="s">
        <v>253</v>
      </c>
      <c r="D6" s="7" t="s">
        <v>230</v>
      </c>
      <c r="E6" s="8" t="s">
        <v>294</v>
      </c>
      <c r="F6" s="7" t="s">
        <v>244</v>
      </c>
      <c r="G6" s="31" t="s">
        <v>34</v>
      </c>
      <c r="H6" s="31" t="s">
        <v>12</v>
      </c>
      <c r="I6" s="30" t="s">
        <v>105</v>
      </c>
      <c r="J6" s="32"/>
      <c r="K6" s="9" t="str">
        <f>"50,0"</f>
        <v>50,0</v>
      </c>
      <c r="L6" s="9" t="str">
        <f>"42,2625"</f>
        <v>42,2625</v>
      </c>
      <c r="M6" s="7" t="s">
        <v>231</v>
      </c>
    </row>
    <row r="8" spans="1:13" ht="16">
      <c r="A8" s="65" t="s">
        <v>19</v>
      </c>
      <c r="B8" s="65"/>
      <c r="C8" s="65"/>
      <c r="D8" s="65"/>
      <c r="E8" s="66"/>
      <c r="F8" s="65"/>
      <c r="G8" s="65"/>
      <c r="H8" s="65"/>
      <c r="I8" s="65"/>
      <c r="J8" s="65"/>
    </row>
    <row r="9" spans="1:13">
      <c r="A9" s="32" t="s">
        <v>83</v>
      </c>
      <c r="B9" s="7" t="s">
        <v>240</v>
      </c>
      <c r="C9" s="7" t="s">
        <v>254</v>
      </c>
      <c r="D9" s="7" t="s">
        <v>232</v>
      </c>
      <c r="E9" s="8" t="s">
        <v>294</v>
      </c>
      <c r="F9" s="7" t="s">
        <v>244</v>
      </c>
      <c r="G9" s="31" t="s">
        <v>15</v>
      </c>
      <c r="H9" s="30" t="s">
        <v>105</v>
      </c>
      <c r="I9" s="30" t="s">
        <v>105</v>
      </c>
      <c r="J9" s="32"/>
      <c r="K9" s="9" t="str">
        <f>"45,0"</f>
        <v>45,0</v>
      </c>
      <c r="L9" s="9" t="str">
        <f>"34,5397"</f>
        <v>34,5397</v>
      </c>
      <c r="M9" s="7" t="s">
        <v>184</v>
      </c>
    </row>
    <row r="11" spans="1:13" ht="16">
      <c r="A11" s="65" t="s">
        <v>113</v>
      </c>
      <c r="B11" s="65"/>
      <c r="C11" s="65"/>
      <c r="D11" s="65"/>
      <c r="E11" s="66"/>
      <c r="F11" s="65"/>
      <c r="G11" s="65"/>
      <c r="H11" s="65"/>
      <c r="I11" s="65"/>
      <c r="J11" s="65"/>
    </row>
    <row r="12" spans="1:13">
      <c r="A12" s="35" t="s">
        <v>83</v>
      </c>
      <c r="B12" s="10" t="s">
        <v>202</v>
      </c>
      <c r="C12" s="10" t="s">
        <v>185</v>
      </c>
      <c r="D12" s="10" t="s">
        <v>224</v>
      </c>
      <c r="E12" s="11" t="s">
        <v>293</v>
      </c>
      <c r="F12" s="10" t="s">
        <v>244</v>
      </c>
      <c r="G12" s="33" t="s">
        <v>99</v>
      </c>
      <c r="H12" s="34" t="s">
        <v>32</v>
      </c>
      <c r="I12" s="34" t="s">
        <v>32</v>
      </c>
      <c r="J12" s="35"/>
      <c r="K12" s="12" t="str">
        <f>"70,0"</f>
        <v>70,0</v>
      </c>
      <c r="L12" s="12" t="str">
        <f>"43,1113"</f>
        <v>43,1113</v>
      </c>
      <c r="M12" s="10"/>
    </row>
    <row r="13" spans="1:13">
      <c r="A13" s="41" t="s">
        <v>197</v>
      </c>
      <c r="B13" s="16" t="s">
        <v>241</v>
      </c>
      <c r="C13" s="16" t="s">
        <v>233</v>
      </c>
      <c r="D13" s="16" t="s">
        <v>234</v>
      </c>
      <c r="E13" s="17" t="s">
        <v>293</v>
      </c>
      <c r="F13" s="16" t="s">
        <v>244</v>
      </c>
      <c r="G13" s="39" t="s">
        <v>106</v>
      </c>
      <c r="H13" s="39" t="s">
        <v>13</v>
      </c>
      <c r="I13" s="39" t="s">
        <v>235</v>
      </c>
      <c r="J13" s="41"/>
      <c r="K13" s="18" t="str">
        <f>"62,5"</f>
        <v>62,5</v>
      </c>
      <c r="L13" s="18" t="str">
        <f>"38,2656"</f>
        <v>38,2656</v>
      </c>
      <c r="M13" s="16"/>
    </row>
    <row r="15" spans="1:13" ht="16">
      <c r="A15" s="65" t="s">
        <v>51</v>
      </c>
      <c r="B15" s="65"/>
      <c r="C15" s="65"/>
      <c r="D15" s="65"/>
      <c r="E15" s="66"/>
      <c r="F15" s="65"/>
      <c r="G15" s="65"/>
      <c r="H15" s="65"/>
      <c r="I15" s="65"/>
      <c r="J15" s="65"/>
    </row>
    <row r="16" spans="1:13">
      <c r="A16" s="32" t="s">
        <v>83</v>
      </c>
      <c r="B16" s="7" t="s">
        <v>242</v>
      </c>
      <c r="C16" s="7" t="s">
        <v>236</v>
      </c>
      <c r="D16" s="7" t="s">
        <v>237</v>
      </c>
      <c r="E16" s="8" t="s">
        <v>293</v>
      </c>
      <c r="F16" s="7" t="s">
        <v>244</v>
      </c>
      <c r="G16" s="31" t="s">
        <v>99</v>
      </c>
      <c r="H16" s="31" t="s">
        <v>48</v>
      </c>
      <c r="I16" s="31" t="s">
        <v>32</v>
      </c>
      <c r="J16" s="32"/>
      <c r="K16" s="9" t="str">
        <f>"80,0"</f>
        <v>80,0</v>
      </c>
      <c r="L16" s="9" t="str">
        <f>"46,6640"</f>
        <v>46,6640</v>
      </c>
      <c r="M16" s="7" t="s">
        <v>238</v>
      </c>
    </row>
  </sheetData>
  <mergeCells count="15">
    <mergeCell ref="A8:J8"/>
    <mergeCell ref="A11:J11"/>
    <mergeCell ref="A15:J15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6"/>
  <sheetViews>
    <sheetView tabSelected="1" workbookViewId="0">
      <selection activeCell="E6" sqref="E6"/>
    </sheetView>
  </sheetViews>
  <sheetFormatPr baseColWidth="10" defaultColWidth="9.1640625" defaultRowHeight="13"/>
  <cols>
    <col min="1" max="1" width="7.5" style="5" bestFit="1" customWidth="1"/>
    <col min="2" max="2" width="16.83203125" style="5" customWidth="1"/>
    <col min="3" max="3" width="26.33203125" style="5" bestFit="1" customWidth="1"/>
    <col min="4" max="4" width="21.5" style="5" bestFit="1" customWidth="1"/>
    <col min="5" max="5" width="10.5" style="19" bestFit="1" customWidth="1"/>
    <col min="6" max="6" width="30.6640625" style="5" customWidth="1"/>
    <col min="7" max="9" width="5.5" style="28" customWidth="1"/>
    <col min="10" max="10" width="4.83203125" style="28" customWidth="1"/>
    <col min="11" max="11" width="10.5" style="6" bestFit="1" customWidth="1"/>
    <col min="12" max="12" width="9.83203125" style="6" customWidth="1"/>
    <col min="13" max="13" width="18.5" style="5" customWidth="1"/>
    <col min="14" max="16384" width="9.1640625" style="3"/>
  </cols>
  <sheetData>
    <row r="1" spans="1:13" s="2" customFormat="1" ht="29" customHeight="1">
      <c r="A1" s="52" t="s">
        <v>272</v>
      </c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2" customFormat="1" ht="62" customHeight="1" thickBot="1">
      <c r="A2" s="56"/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</row>
    <row r="3" spans="1:13" s="1" customFormat="1" ht="12.75" customHeight="1">
      <c r="A3" s="60" t="s">
        <v>290</v>
      </c>
      <c r="B3" s="67" t="s">
        <v>0</v>
      </c>
      <c r="C3" s="62" t="s">
        <v>291</v>
      </c>
      <c r="D3" s="62" t="s">
        <v>6</v>
      </c>
      <c r="E3" s="46" t="s">
        <v>292</v>
      </c>
      <c r="F3" s="64" t="s">
        <v>5</v>
      </c>
      <c r="G3" s="64" t="s">
        <v>288</v>
      </c>
      <c r="H3" s="64"/>
      <c r="I3" s="64"/>
      <c r="J3" s="64"/>
      <c r="K3" s="46" t="s">
        <v>163</v>
      </c>
      <c r="L3" s="46" t="s">
        <v>3</v>
      </c>
      <c r="M3" s="48" t="s">
        <v>2</v>
      </c>
    </row>
    <row r="4" spans="1:13" s="1" customFormat="1" ht="21" customHeight="1" thickBot="1">
      <c r="A4" s="61"/>
      <c r="B4" s="68"/>
      <c r="C4" s="63"/>
      <c r="D4" s="63"/>
      <c r="E4" s="47"/>
      <c r="F4" s="63"/>
      <c r="G4" s="4">
        <v>1</v>
      </c>
      <c r="H4" s="4">
        <v>2</v>
      </c>
      <c r="I4" s="4">
        <v>3</v>
      </c>
      <c r="J4" s="4" t="s">
        <v>4</v>
      </c>
      <c r="K4" s="47"/>
      <c r="L4" s="47"/>
      <c r="M4" s="49"/>
    </row>
    <row r="5" spans="1:13" ht="16">
      <c r="A5" s="50" t="s">
        <v>226</v>
      </c>
      <c r="B5" s="50"/>
      <c r="C5" s="51"/>
      <c r="D5" s="51"/>
      <c r="E5" s="51"/>
      <c r="F5" s="51"/>
      <c r="G5" s="51"/>
      <c r="H5" s="51"/>
      <c r="I5" s="51"/>
      <c r="J5" s="51"/>
    </row>
    <row r="6" spans="1:13">
      <c r="A6" s="32" t="s">
        <v>83</v>
      </c>
      <c r="B6" s="7" t="s">
        <v>229</v>
      </c>
      <c r="C6" s="7" t="s">
        <v>227</v>
      </c>
      <c r="D6" s="7" t="s">
        <v>228</v>
      </c>
      <c r="E6" s="8" t="s">
        <v>295</v>
      </c>
      <c r="F6" s="7" t="s">
        <v>244</v>
      </c>
      <c r="G6" s="31" t="s">
        <v>34</v>
      </c>
      <c r="H6" s="30" t="s">
        <v>12</v>
      </c>
      <c r="I6" s="30" t="s">
        <v>105</v>
      </c>
      <c r="J6" s="32"/>
      <c r="K6" s="9" t="str">
        <f>"47,5"</f>
        <v>47,5</v>
      </c>
      <c r="L6" s="9" t="str">
        <f>"57,6332"</f>
        <v>57,6332</v>
      </c>
      <c r="M6" s="7"/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Лист5">
    <pageSetUpPr fitToPage="1"/>
  </sheetPr>
  <dimension ref="A1:U22"/>
  <sheetViews>
    <sheetView workbookViewId="0">
      <selection activeCell="E23" sqref="E23"/>
    </sheetView>
  </sheetViews>
  <sheetFormatPr baseColWidth="10" defaultColWidth="9.1640625" defaultRowHeight="13"/>
  <cols>
    <col min="1" max="1" width="7.5" style="5" bestFit="1" customWidth="1"/>
    <col min="2" max="2" width="23.1640625" style="5" bestFit="1" customWidth="1"/>
    <col min="3" max="3" width="28.5" style="5" bestFit="1" customWidth="1"/>
    <col min="4" max="4" width="21.5" style="5" bestFit="1" customWidth="1"/>
    <col min="5" max="5" width="10.5" style="19" bestFit="1" customWidth="1"/>
    <col min="6" max="6" width="32.33203125" style="5" bestFit="1" customWidth="1"/>
    <col min="7" max="9" width="5.5" style="28" customWidth="1"/>
    <col min="10" max="10" width="4.83203125" style="28" customWidth="1"/>
    <col min="11" max="13" width="5.5" style="28" customWidth="1"/>
    <col min="14" max="14" width="4.83203125" style="28" customWidth="1"/>
    <col min="15" max="17" width="5.5" style="28" customWidth="1"/>
    <col min="18" max="18" width="4.83203125" style="28" customWidth="1"/>
    <col min="19" max="19" width="7.83203125" style="29" bestFit="1" customWidth="1"/>
    <col min="20" max="20" width="8.5" style="6" bestFit="1" customWidth="1"/>
    <col min="21" max="21" width="24" style="5" customWidth="1"/>
    <col min="22" max="16384" width="9.1640625" style="3"/>
  </cols>
  <sheetData>
    <row r="1" spans="1:21" s="2" customFormat="1" ht="29" customHeight="1">
      <c r="A1" s="52" t="s">
        <v>281</v>
      </c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5"/>
    </row>
    <row r="2" spans="1:21" s="2" customFormat="1" ht="62" customHeight="1" thickBot="1">
      <c r="A2" s="56"/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9"/>
    </row>
    <row r="3" spans="1:21" s="1" customFormat="1" ht="12.75" customHeight="1">
      <c r="A3" s="60" t="s">
        <v>290</v>
      </c>
      <c r="B3" s="67" t="s">
        <v>0</v>
      </c>
      <c r="C3" s="62" t="s">
        <v>291</v>
      </c>
      <c r="D3" s="62" t="s">
        <v>6</v>
      </c>
      <c r="E3" s="46" t="s">
        <v>292</v>
      </c>
      <c r="F3" s="64" t="s">
        <v>5</v>
      </c>
      <c r="G3" s="64" t="s">
        <v>7</v>
      </c>
      <c r="H3" s="64"/>
      <c r="I3" s="64"/>
      <c r="J3" s="64"/>
      <c r="K3" s="64" t="s">
        <v>8</v>
      </c>
      <c r="L3" s="64"/>
      <c r="M3" s="64"/>
      <c r="N3" s="64"/>
      <c r="O3" s="64" t="s">
        <v>9</v>
      </c>
      <c r="P3" s="64"/>
      <c r="Q3" s="64"/>
      <c r="R3" s="64"/>
      <c r="S3" s="69" t="s">
        <v>1</v>
      </c>
      <c r="T3" s="46" t="s">
        <v>3</v>
      </c>
      <c r="U3" s="48" t="s">
        <v>2</v>
      </c>
    </row>
    <row r="4" spans="1:21" s="1" customFormat="1" ht="21" customHeight="1" thickBot="1">
      <c r="A4" s="61"/>
      <c r="B4" s="68"/>
      <c r="C4" s="63"/>
      <c r="D4" s="63"/>
      <c r="E4" s="47"/>
      <c r="F4" s="63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70"/>
      <c r="T4" s="47"/>
      <c r="U4" s="49"/>
    </row>
    <row r="5" spans="1:21" ht="16">
      <c r="A5" s="50" t="s">
        <v>10</v>
      </c>
      <c r="B5" s="50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1:21">
      <c r="A6" s="32" t="s">
        <v>83</v>
      </c>
      <c r="B6" s="7" t="s">
        <v>84</v>
      </c>
      <c r="C6" s="7" t="s">
        <v>267</v>
      </c>
      <c r="D6" s="7" t="s">
        <v>11</v>
      </c>
      <c r="E6" s="8" t="s">
        <v>297</v>
      </c>
      <c r="F6" s="7" t="s">
        <v>245</v>
      </c>
      <c r="G6" s="30" t="s">
        <v>12</v>
      </c>
      <c r="H6" s="31" t="s">
        <v>12</v>
      </c>
      <c r="I6" s="30" t="s">
        <v>13</v>
      </c>
      <c r="J6" s="32"/>
      <c r="K6" s="31" t="s">
        <v>14</v>
      </c>
      <c r="L6" s="30" t="s">
        <v>15</v>
      </c>
      <c r="M6" s="31" t="s">
        <v>15</v>
      </c>
      <c r="N6" s="32"/>
      <c r="O6" s="31" t="s">
        <v>16</v>
      </c>
      <c r="P6" s="31" t="s">
        <v>17</v>
      </c>
      <c r="Q6" s="31" t="s">
        <v>18</v>
      </c>
      <c r="R6" s="32"/>
      <c r="S6" s="42" t="str">
        <f>"195,0"</f>
        <v>195,0</v>
      </c>
      <c r="T6" s="9" t="str">
        <f>"399,7972"</f>
        <v>399,7972</v>
      </c>
      <c r="U6" s="7" t="s">
        <v>168</v>
      </c>
    </row>
    <row r="8" spans="1:21" ht="16">
      <c r="A8" s="65" t="s">
        <v>19</v>
      </c>
      <c r="B8" s="65"/>
      <c r="C8" s="65"/>
      <c r="D8" s="65"/>
      <c r="E8" s="66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</row>
    <row r="9" spans="1:21">
      <c r="A9" s="35" t="s">
        <v>83</v>
      </c>
      <c r="B9" s="10" t="s">
        <v>85</v>
      </c>
      <c r="C9" s="10" t="s">
        <v>20</v>
      </c>
      <c r="D9" s="10" t="s">
        <v>21</v>
      </c>
      <c r="E9" s="11" t="s">
        <v>294</v>
      </c>
      <c r="F9" s="10" t="s">
        <v>245</v>
      </c>
      <c r="G9" s="33" t="s">
        <v>22</v>
      </c>
      <c r="H9" s="34" t="s">
        <v>23</v>
      </c>
      <c r="I9" s="33" t="s">
        <v>24</v>
      </c>
      <c r="J9" s="35"/>
      <c r="K9" s="33" t="s">
        <v>25</v>
      </c>
      <c r="L9" s="33" t="s">
        <v>26</v>
      </c>
      <c r="M9" s="33" t="s">
        <v>27</v>
      </c>
      <c r="N9" s="35"/>
      <c r="O9" s="33" t="s">
        <v>24</v>
      </c>
      <c r="P9" s="33" t="s">
        <v>28</v>
      </c>
      <c r="Q9" s="33" t="s">
        <v>29</v>
      </c>
      <c r="R9" s="35"/>
      <c r="S9" s="43" t="str">
        <f>"370,0"</f>
        <v>370,0</v>
      </c>
      <c r="T9" s="12" t="str">
        <f>"381,3220"</f>
        <v>381,3220</v>
      </c>
      <c r="U9" s="10"/>
    </row>
    <row r="10" spans="1:21">
      <c r="A10" s="38" t="s">
        <v>83</v>
      </c>
      <c r="B10" s="13" t="s">
        <v>85</v>
      </c>
      <c r="C10" s="13" t="s">
        <v>30</v>
      </c>
      <c r="D10" s="13" t="s">
        <v>21</v>
      </c>
      <c r="E10" s="14" t="s">
        <v>293</v>
      </c>
      <c r="F10" s="13" t="s">
        <v>245</v>
      </c>
      <c r="G10" s="36" t="s">
        <v>22</v>
      </c>
      <c r="H10" s="37" t="s">
        <v>23</v>
      </c>
      <c r="I10" s="36" t="s">
        <v>24</v>
      </c>
      <c r="J10" s="38"/>
      <c r="K10" s="36" t="s">
        <v>25</v>
      </c>
      <c r="L10" s="36" t="s">
        <v>26</v>
      </c>
      <c r="M10" s="36" t="s">
        <v>27</v>
      </c>
      <c r="N10" s="38"/>
      <c r="O10" s="36" t="s">
        <v>24</v>
      </c>
      <c r="P10" s="36" t="s">
        <v>28</v>
      </c>
      <c r="Q10" s="36" t="s">
        <v>29</v>
      </c>
      <c r="R10" s="38"/>
      <c r="S10" s="45" t="str">
        <f>"370,0"</f>
        <v>370,0</v>
      </c>
      <c r="T10" s="15" t="str">
        <f>"381,3220"</f>
        <v>381,3220</v>
      </c>
      <c r="U10" s="13"/>
    </row>
    <row r="11" spans="1:21">
      <c r="A11" s="41" t="s">
        <v>83</v>
      </c>
      <c r="B11" s="16" t="s">
        <v>86</v>
      </c>
      <c r="C11" s="16" t="s">
        <v>268</v>
      </c>
      <c r="D11" s="16" t="s">
        <v>31</v>
      </c>
      <c r="E11" s="17" t="s">
        <v>298</v>
      </c>
      <c r="F11" s="16" t="s">
        <v>245</v>
      </c>
      <c r="G11" s="39" t="s">
        <v>32</v>
      </c>
      <c r="H11" s="39" t="s">
        <v>33</v>
      </c>
      <c r="I11" s="40" t="s">
        <v>16</v>
      </c>
      <c r="J11" s="41"/>
      <c r="K11" s="40" t="s">
        <v>15</v>
      </c>
      <c r="L11" s="39" t="s">
        <v>15</v>
      </c>
      <c r="M11" s="39" t="s">
        <v>34</v>
      </c>
      <c r="N11" s="41"/>
      <c r="O11" s="40" t="s">
        <v>35</v>
      </c>
      <c r="P11" s="39" t="s">
        <v>35</v>
      </c>
      <c r="Q11" s="39" t="s">
        <v>36</v>
      </c>
      <c r="R11" s="41"/>
      <c r="S11" s="44" t="str">
        <f>"240,0"</f>
        <v>240,0</v>
      </c>
      <c r="T11" s="18" t="str">
        <f>"412,8983"</f>
        <v>412,8983</v>
      </c>
      <c r="U11" s="16"/>
    </row>
    <row r="13" spans="1:21" ht="16">
      <c r="A13" s="65" t="s">
        <v>37</v>
      </c>
      <c r="B13" s="65"/>
      <c r="C13" s="65"/>
      <c r="D13" s="65"/>
      <c r="E13" s="66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</row>
    <row r="14" spans="1:21">
      <c r="A14" s="32" t="s">
        <v>83</v>
      </c>
      <c r="B14" s="7" t="s">
        <v>87</v>
      </c>
      <c r="C14" s="7" t="s">
        <v>38</v>
      </c>
      <c r="D14" s="7" t="s">
        <v>39</v>
      </c>
      <c r="E14" s="8" t="s">
        <v>293</v>
      </c>
      <c r="F14" s="7" t="s">
        <v>249</v>
      </c>
      <c r="G14" s="30" t="s">
        <v>40</v>
      </c>
      <c r="H14" s="30" t="s">
        <v>40</v>
      </c>
      <c r="I14" s="31" t="s">
        <v>40</v>
      </c>
      <c r="J14" s="32"/>
      <c r="K14" s="31" t="s">
        <v>41</v>
      </c>
      <c r="L14" s="31" t="s">
        <v>42</v>
      </c>
      <c r="M14" s="31" t="s">
        <v>22</v>
      </c>
      <c r="N14" s="32"/>
      <c r="O14" s="31" t="s">
        <v>43</v>
      </c>
      <c r="P14" s="31" t="s">
        <v>44</v>
      </c>
      <c r="Q14" s="32"/>
      <c r="R14" s="32"/>
      <c r="S14" s="42" t="str">
        <f>"530,0"</f>
        <v>530,0</v>
      </c>
      <c r="T14" s="9" t="str">
        <f>"381,6000"</f>
        <v>381,6000</v>
      </c>
      <c r="U14" s="7" t="s">
        <v>286</v>
      </c>
    </row>
    <row r="16" spans="1:21" ht="16">
      <c r="A16" s="65" t="s">
        <v>45</v>
      </c>
      <c r="B16" s="65"/>
      <c r="C16" s="65"/>
      <c r="D16" s="65"/>
      <c r="E16" s="66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</row>
    <row r="17" spans="1:21">
      <c r="A17" s="32" t="s">
        <v>83</v>
      </c>
      <c r="B17" s="7" t="s">
        <v>88</v>
      </c>
      <c r="C17" s="7" t="s">
        <v>46</v>
      </c>
      <c r="D17" s="7" t="s">
        <v>47</v>
      </c>
      <c r="E17" s="8" t="s">
        <v>294</v>
      </c>
      <c r="F17" s="7" t="s">
        <v>245</v>
      </c>
      <c r="G17" s="31" t="s">
        <v>18</v>
      </c>
      <c r="H17" s="31" t="s">
        <v>41</v>
      </c>
      <c r="I17" s="31" t="s">
        <v>22</v>
      </c>
      <c r="J17" s="32"/>
      <c r="K17" s="31" t="s">
        <v>25</v>
      </c>
      <c r="L17" s="31" t="s">
        <v>48</v>
      </c>
      <c r="M17" s="31" t="s">
        <v>33</v>
      </c>
      <c r="N17" s="32"/>
      <c r="O17" s="31" t="s">
        <v>49</v>
      </c>
      <c r="P17" s="31" t="s">
        <v>24</v>
      </c>
      <c r="Q17" s="31" t="s">
        <v>50</v>
      </c>
      <c r="R17" s="32"/>
      <c r="S17" s="42" t="str">
        <f>"375,0"</f>
        <v>375,0</v>
      </c>
      <c r="T17" s="9" t="str">
        <f>"258,0750"</f>
        <v>258,0750</v>
      </c>
      <c r="U17" s="7"/>
    </row>
    <row r="19" spans="1:21" ht="16">
      <c r="A19" s="65" t="s">
        <v>51</v>
      </c>
      <c r="B19" s="65"/>
      <c r="C19" s="65"/>
      <c r="D19" s="65"/>
      <c r="E19" s="66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</row>
    <row r="20" spans="1:21">
      <c r="A20" s="35" t="s">
        <v>83</v>
      </c>
      <c r="B20" s="10" t="s">
        <v>89</v>
      </c>
      <c r="C20" s="10" t="s">
        <v>269</v>
      </c>
      <c r="D20" s="10" t="s">
        <v>52</v>
      </c>
      <c r="E20" s="11" t="s">
        <v>296</v>
      </c>
      <c r="F20" s="10" t="s">
        <v>244</v>
      </c>
      <c r="G20" s="33" t="s">
        <v>53</v>
      </c>
      <c r="H20" s="33" t="s">
        <v>50</v>
      </c>
      <c r="I20" s="33" t="s">
        <v>54</v>
      </c>
      <c r="J20" s="35"/>
      <c r="K20" s="33" t="s">
        <v>49</v>
      </c>
      <c r="L20" s="34" t="s">
        <v>22</v>
      </c>
      <c r="M20" s="33" t="s">
        <v>55</v>
      </c>
      <c r="N20" s="35"/>
      <c r="O20" s="33" t="s">
        <v>56</v>
      </c>
      <c r="P20" s="33" t="s">
        <v>57</v>
      </c>
      <c r="Q20" s="34" t="s">
        <v>58</v>
      </c>
      <c r="R20" s="35"/>
      <c r="S20" s="43" t="str">
        <f>"530,0"</f>
        <v>530,0</v>
      </c>
      <c r="T20" s="12" t="str">
        <f>"327,9640"</f>
        <v>327,9640</v>
      </c>
      <c r="U20" s="10" t="s">
        <v>59</v>
      </c>
    </row>
    <row r="21" spans="1:21">
      <c r="A21" s="38" t="s">
        <v>83</v>
      </c>
      <c r="B21" s="13" t="s">
        <v>90</v>
      </c>
      <c r="C21" s="13" t="s">
        <v>60</v>
      </c>
      <c r="D21" s="13" t="s">
        <v>61</v>
      </c>
      <c r="E21" s="14" t="s">
        <v>293</v>
      </c>
      <c r="F21" s="13" t="s">
        <v>250</v>
      </c>
      <c r="G21" s="36" t="s">
        <v>62</v>
      </c>
      <c r="H21" s="36" t="s">
        <v>63</v>
      </c>
      <c r="I21" s="36" t="s">
        <v>64</v>
      </c>
      <c r="J21" s="38"/>
      <c r="K21" s="36" t="s">
        <v>54</v>
      </c>
      <c r="L21" s="36" t="s">
        <v>65</v>
      </c>
      <c r="M21" s="36" t="s">
        <v>66</v>
      </c>
      <c r="N21" s="38"/>
      <c r="O21" s="36" t="s">
        <v>67</v>
      </c>
      <c r="P21" s="36" t="s">
        <v>68</v>
      </c>
      <c r="Q21" s="36" t="s">
        <v>69</v>
      </c>
      <c r="R21" s="38"/>
      <c r="S21" s="45" t="str">
        <f>"760,0"</f>
        <v>760,0</v>
      </c>
      <c r="T21" s="15" t="str">
        <f>"473,6320"</f>
        <v>473,6320</v>
      </c>
      <c r="U21" s="13"/>
    </row>
    <row r="22" spans="1:21">
      <c r="A22" s="41" t="s">
        <v>91</v>
      </c>
      <c r="B22" s="16" t="s">
        <v>92</v>
      </c>
      <c r="C22" s="16" t="s">
        <v>70</v>
      </c>
      <c r="D22" s="16" t="s">
        <v>71</v>
      </c>
      <c r="E22" s="17" t="s">
        <v>293</v>
      </c>
      <c r="F22" s="16" t="s">
        <v>244</v>
      </c>
      <c r="G22" s="40" t="s">
        <v>44</v>
      </c>
      <c r="H22" s="40" t="s">
        <v>44</v>
      </c>
      <c r="I22" s="40" t="s">
        <v>44</v>
      </c>
      <c r="J22" s="41"/>
      <c r="K22" s="40"/>
      <c r="L22" s="41"/>
      <c r="M22" s="41"/>
      <c r="N22" s="41"/>
      <c r="O22" s="40"/>
      <c r="P22" s="41"/>
      <c r="Q22" s="41"/>
      <c r="R22" s="41"/>
      <c r="S22" s="44">
        <v>0</v>
      </c>
      <c r="T22" s="18" t="str">
        <f>"0,0000"</f>
        <v>0,0000</v>
      </c>
      <c r="U22" s="16"/>
    </row>
  </sheetData>
  <mergeCells count="18">
    <mergeCell ref="A5:R5"/>
    <mergeCell ref="A8:R8"/>
    <mergeCell ref="A13:R13"/>
    <mergeCell ref="A16:R16"/>
    <mergeCell ref="A19:R19"/>
    <mergeCell ref="E3:E4"/>
    <mergeCell ref="S3:S4"/>
    <mergeCell ref="T3:T4"/>
    <mergeCell ref="A1:U2"/>
    <mergeCell ref="G3:J3"/>
    <mergeCell ref="K3:N3"/>
    <mergeCell ref="O3:R3"/>
    <mergeCell ref="A3:A4"/>
    <mergeCell ref="C3:C4"/>
    <mergeCell ref="D3:D4"/>
    <mergeCell ref="U3:U4"/>
    <mergeCell ref="F3:F4"/>
    <mergeCell ref="B3:B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U12"/>
  <sheetViews>
    <sheetView workbookViewId="0">
      <selection activeCell="E13" sqref="E13"/>
    </sheetView>
  </sheetViews>
  <sheetFormatPr baseColWidth="10" defaultColWidth="9.1640625" defaultRowHeight="13"/>
  <cols>
    <col min="1" max="1" width="7.5" style="5" bestFit="1" customWidth="1"/>
    <col min="2" max="2" width="22" style="5" customWidth="1"/>
    <col min="3" max="3" width="26.33203125" style="5" bestFit="1" customWidth="1"/>
    <col min="4" max="4" width="21.5" style="5" bestFit="1" customWidth="1"/>
    <col min="5" max="5" width="10.5" style="19" bestFit="1" customWidth="1"/>
    <col min="6" max="6" width="32.83203125" style="5" customWidth="1"/>
    <col min="7" max="9" width="5.5" style="28" customWidth="1"/>
    <col min="10" max="10" width="4.83203125" style="28" customWidth="1"/>
    <col min="11" max="13" width="5.5" style="28" customWidth="1"/>
    <col min="14" max="14" width="4.83203125" style="28" customWidth="1"/>
    <col min="15" max="17" width="5.5" style="28" customWidth="1"/>
    <col min="18" max="18" width="4.83203125" style="28" customWidth="1"/>
    <col min="19" max="19" width="7.83203125" style="6" bestFit="1" customWidth="1"/>
    <col min="20" max="20" width="8.5" style="6" bestFit="1" customWidth="1"/>
    <col min="21" max="21" width="20" style="5" customWidth="1"/>
    <col min="22" max="16384" width="9.1640625" style="3"/>
  </cols>
  <sheetData>
    <row r="1" spans="1:21" s="2" customFormat="1" ht="29" customHeight="1">
      <c r="A1" s="52" t="s">
        <v>279</v>
      </c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5"/>
    </row>
    <row r="2" spans="1:21" s="2" customFormat="1" ht="62" customHeight="1" thickBot="1">
      <c r="A2" s="56"/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9"/>
    </row>
    <row r="3" spans="1:21" s="1" customFormat="1" ht="12.75" customHeight="1">
      <c r="A3" s="60" t="s">
        <v>290</v>
      </c>
      <c r="B3" s="67" t="s">
        <v>0</v>
      </c>
      <c r="C3" s="62" t="s">
        <v>291</v>
      </c>
      <c r="D3" s="62" t="s">
        <v>6</v>
      </c>
      <c r="E3" s="46" t="s">
        <v>292</v>
      </c>
      <c r="F3" s="64" t="s">
        <v>5</v>
      </c>
      <c r="G3" s="64" t="s">
        <v>7</v>
      </c>
      <c r="H3" s="64"/>
      <c r="I3" s="64"/>
      <c r="J3" s="64"/>
      <c r="K3" s="64" t="s">
        <v>8</v>
      </c>
      <c r="L3" s="64"/>
      <c r="M3" s="64"/>
      <c r="N3" s="64"/>
      <c r="O3" s="64" t="s">
        <v>9</v>
      </c>
      <c r="P3" s="64"/>
      <c r="Q3" s="64"/>
      <c r="R3" s="64"/>
      <c r="S3" s="46" t="s">
        <v>1</v>
      </c>
      <c r="T3" s="46" t="s">
        <v>3</v>
      </c>
      <c r="U3" s="48" t="s">
        <v>2</v>
      </c>
    </row>
    <row r="4" spans="1:21" s="1" customFormat="1" ht="21" customHeight="1" thickBot="1">
      <c r="A4" s="61"/>
      <c r="B4" s="68"/>
      <c r="C4" s="63"/>
      <c r="D4" s="63"/>
      <c r="E4" s="47"/>
      <c r="F4" s="63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47"/>
      <c r="T4" s="47"/>
      <c r="U4" s="49"/>
    </row>
    <row r="5" spans="1:21" ht="16">
      <c r="A5" s="50" t="s">
        <v>19</v>
      </c>
      <c r="B5" s="50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1:21">
      <c r="A6" s="32" t="s">
        <v>83</v>
      </c>
      <c r="B6" s="7" t="s">
        <v>285</v>
      </c>
      <c r="C6" s="7" t="s">
        <v>136</v>
      </c>
      <c r="D6" s="7" t="s">
        <v>137</v>
      </c>
      <c r="E6" s="8" t="s">
        <v>293</v>
      </c>
      <c r="F6" s="7" t="s">
        <v>244</v>
      </c>
      <c r="G6" s="31" t="s">
        <v>111</v>
      </c>
      <c r="H6" s="30" t="s">
        <v>49</v>
      </c>
      <c r="I6" s="31" t="s">
        <v>112</v>
      </c>
      <c r="J6" s="32"/>
      <c r="K6" s="31" t="s">
        <v>13</v>
      </c>
      <c r="L6" s="31" t="s">
        <v>25</v>
      </c>
      <c r="M6" s="31" t="s">
        <v>99</v>
      </c>
      <c r="N6" s="32"/>
      <c r="O6" s="31" t="s">
        <v>16</v>
      </c>
      <c r="P6" s="31" t="s">
        <v>18</v>
      </c>
      <c r="Q6" s="31" t="s">
        <v>111</v>
      </c>
      <c r="R6" s="32"/>
      <c r="S6" s="9" t="str">
        <f>"305,0"</f>
        <v>305,0</v>
      </c>
      <c r="T6" s="9" t="str">
        <f>"316,4070"</f>
        <v>316,4070</v>
      </c>
      <c r="U6" s="7" t="s">
        <v>287</v>
      </c>
    </row>
    <row r="8" spans="1:21" ht="16">
      <c r="A8" s="65" t="s">
        <v>113</v>
      </c>
      <c r="B8" s="65"/>
      <c r="C8" s="65"/>
      <c r="D8" s="65"/>
      <c r="E8" s="66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</row>
    <row r="9" spans="1:21">
      <c r="A9" s="32" t="s">
        <v>83</v>
      </c>
      <c r="B9" s="7" t="s">
        <v>147</v>
      </c>
      <c r="C9" s="7" t="s">
        <v>138</v>
      </c>
      <c r="D9" s="7" t="s">
        <v>139</v>
      </c>
      <c r="E9" s="8" t="s">
        <v>293</v>
      </c>
      <c r="F9" s="7" t="s">
        <v>246</v>
      </c>
      <c r="G9" s="31" t="s">
        <v>56</v>
      </c>
      <c r="H9" s="30" t="s">
        <v>115</v>
      </c>
      <c r="I9" s="30" t="s">
        <v>57</v>
      </c>
      <c r="J9" s="32"/>
      <c r="K9" s="31" t="s">
        <v>24</v>
      </c>
      <c r="L9" s="30" t="s">
        <v>53</v>
      </c>
      <c r="M9" s="30" t="s">
        <v>53</v>
      </c>
      <c r="N9" s="32"/>
      <c r="O9" s="31" t="s">
        <v>115</v>
      </c>
      <c r="P9" s="31" t="s">
        <v>43</v>
      </c>
      <c r="Q9" s="31" t="s">
        <v>44</v>
      </c>
      <c r="R9" s="32"/>
      <c r="S9" s="9" t="str">
        <f>"570,0"</f>
        <v>570,0</v>
      </c>
      <c r="T9" s="9" t="str">
        <f>"369,3030"</f>
        <v>369,3030</v>
      </c>
      <c r="U9" s="7"/>
    </row>
    <row r="11" spans="1:21" ht="16">
      <c r="A11" s="65" t="s">
        <v>140</v>
      </c>
      <c r="B11" s="65"/>
      <c r="C11" s="65"/>
      <c r="D11" s="65"/>
      <c r="E11" s="66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</row>
    <row r="12" spans="1:21">
      <c r="A12" s="32" t="s">
        <v>83</v>
      </c>
      <c r="B12" s="7" t="s">
        <v>148</v>
      </c>
      <c r="C12" s="7" t="s">
        <v>142</v>
      </c>
      <c r="D12" s="7" t="s">
        <v>143</v>
      </c>
      <c r="E12" s="8" t="s">
        <v>293</v>
      </c>
      <c r="F12" s="7" t="s">
        <v>244</v>
      </c>
      <c r="G12" s="30" t="s">
        <v>144</v>
      </c>
      <c r="H12" s="31" t="s">
        <v>144</v>
      </c>
      <c r="I12" s="30" t="s">
        <v>145</v>
      </c>
      <c r="J12" s="32"/>
      <c r="K12" s="31" t="s">
        <v>146</v>
      </c>
      <c r="L12" s="31" t="s">
        <v>50</v>
      </c>
      <c r="M12" s="32"/>
      <c r="N12" s="32"/>
      <c r="O12" s="30" t="s">
        <v>62</v>
      </c>
      <c r="P12" s="30" t="s">
        <v>62</v>
      </c>
      <c r="Q12" s="31" t="s">
        <v>62</v>
      </c>
      <c r="R12" s="32"/>
      <c r="S12" s="9" t="str">
        <f>"660,0"</f>
        <v>660,0</v>
      </c>
      <c r="T12" s="9" t="str">
        <f>"379,1700"</f>
        <v>379,1700</v>
      </c>
      <c r="U12" s="7"/>
    </row>
  </sheetData>
  <mergeCells count="16">
    <mergeCell ref="A8:R8"/>
    <mergeCell ref="A11:R11"/>
    <mergeCell ref="B3:B4"/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M6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9.5" style="5" customWidth="1"/>
    <col min="3" max="3" width="28.5" style="5" bestFit="1" customWidth="1"/>
    <col min="4" max="4" width="21.5" style="5" bestFit="1" customWidth="1"/>
    <col min="5" max="5" width="10.5" style="19" bestFit="1" customWidth="1"/>
    <col min="6" max="6" width="27.6640625" style="5" customWidth="1"/>
    <col min="7" max="9" width="5.5" style="28" customWidth="1"/>
    <col min="10" max="10" width="4.83203125" style="28" customWidth="1"/>
    <col min="11" max="11" width="10.5" style="6" bestFit="1" customWidth="1"/>
    <col min="12" max="12" width="8.5" style="6" bestFit="1" customWidth="1"/>
    <col min="13" max="13" width="20" style="5" customWidth="1"/>
    <col min="14" max="16384" width="9.1640625" style="3"/>
  </cols>
  <sheetData>
    <row r="1" spans="1:13" s="2" customFormat="1" ht="29" customHeight="1">
      <c r="A1" s="52" t="s">
        <v>274</v>
      </c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2" customFormat="1" ht="62" customHeight="1" thickBot="1">
      <c r="A2" s="56"/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</row>
    <row r="3" spans="1:13" s="1" customFormat="1" ht="12.75" customHeight="1">
      <c r="A3" s="60" t="s">
        <v>290</v>
      </c>
      <c r="B3" s="67" t="s">
        <v>0</v>
      </c>
      <c r="C3" s="62" t="s">
        <v>291</v>
      </c>
      <c r="D3" s="62" t="s">
        <v>6</v>
      </c>
      <c r="E3" s="46" t="s">
        <v>292</v>
      </c>
      <c r="F3" s="64" t="s">
        <v>5</v>
      </c>
      <c r="G3" s="64" t="s">
        <v>7</v>
      </c>
      <c r="H3" s="64"/>
      <c r="I3" s="64"/>
      <c r="J3" s="64"/>
      <c r="K3" s="46" t="s">
        <v>163</v>
      </c>
      <c r="L3" s="46" t="s">
        <v>3</v>
      </c>
      <c r="M3" s="48" t="s">
        <v>2</v>
      </c>
    </row>
    <row r="4" spans="1:13" s="1" customFormat="1" ht="21" customHeight="1" thickBot="1">
      <c r="A4" s="61"/>
      <c r="B4" s="68"/>
      <c r="C4" s="63"/>
      <c r="D4" s="63"/>
      <c r="E4" s="47"/>
      <c r="F4" s="63"/>
      <c r="G4" s="4">
        <v>1</v>
      </c>
      <c r="H4" s="4">
        <v>2</v>
      </c>
      <c r="I4" s="4">
        <v>3</v>
      </c>
      <c r="J4" s="4" t="s">
        <v>4</v>
      </c>
      <c r="K4" s="47"/>
      <c r="L4" s="47"/>
      <c r="M4" s="49"/>
    </row>
    <row r="5" spans="1:13" ht="16">
      <c r="A5" s="50" t="s">
        <v>113</v>
      </c>
      <c r="B5" s="50"/>
      <c r="C5" s="51"/>
      <c r="D5" s="51"/>
      <c r="E5" s="51"/>
      <c r="F5" s="51"/>
      <c r="G5" s="51"/>
      <c r="H5" s="51"/>
      <c r="I5" s="51"/>
      <c r="J5" s="51"/>
    </row>
    <row r="6" spans="1:13">
      <c r="A6" s="32" t="s">
        <v>83</v>
      </c>
      <c r="B6" s="7" t="s">
        <v>132</v>
      </c>
      <c r="C6" s="7" t="s">
        <v>255</v>
      </c>
      <c r="D6" s="7" t="s">
        <v>114</v>
      </c>
      <c r="E6" s="8" t="s">
        <v>296</v>
      </c>
      <c r="F6" s="7" t="s">
        <v>246</v>
      </c>
      <c r="G6" s="30" t="s">
        <v>65</v>
      </c>
      <c r="H6" s="30" t="s">
        <v>66</v>
      </c>
      <c r="I6" s="31" t="s">
        <v>66</v>
      </c>
      <c r="J6" s="32"/>
      <c r="K6" s="9" t="str">
        <f>"195,0"</f>
        <v>195,0</v>
      </c>
      <c r="L6" s="9" t="str">
        <f>"124,6245"</f>
        <v>124,6245</v>
      </c>
      <c r="M6" s="7"/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M42"/>
  <sheetViews>
    <sheetView workbookViewId="0">
      <selection activeCell="E26" sqref="E26"/>
    </sheetView>
  </sheetViews>
  <sheetFormatPr baseColWidth="10" defaultColWidth="9.1640625" defaultRowHeight="13"/>
  <cols>
    <col min="1" max="1" width="7.5" style="5" bestFit="1" customWidth="1"/>
    <col min="2" max="2" width="20.5" style="5" bestFit="1" customWidth="1"/>
    <col min="3" max="3" width="28.5" style="5" bestFit="1" customWidth="1"/>
    <col min="4" max="4" width="21.5" style="5" bestFit="1" customWidth="1"/>
    <col min="5" max="5" width="10.5" style="19" bestFit="1" customWidth="1"/>
    <col min="6" max="6" width="35.1640625" style="5" customWidth="1"/>
    <col min="7" max="9" width="5.5" style="28" customWidth="1"/>
    <col min="10" max="10" width="4.83203125" style="28" customWidth="1"/>
    <col min="11" max="11" width="10.5" style="6" bestFit="1" customWidth="1"/>
    <col min="12" max="12" width="8.5" style="6" bestFit="1" customWidth="1"/>
    <col min="13" max="13" width="19.33203125" style="5" bestFit="1" customWidth="1"/>
    <col min="14" max="16384" width="9.1640625" style="3"/>
  </cols>
  <sheetData>
    <row r="1" spans="1:13" s="2" customFormat="1" ht="29" customHeight="1">
      <c r="A1" s="52" t="s">
        <v>277</v>
      </c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2" customFormat="1" ht="62" customHeight="1" thickBot="1">
      <c r="A2" s="56"/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</row>
    <row r="3" spans="1:13" s="1" customFormat="1" ht="12.75" customHeight="1">
      <c r="A3" s="60" t="s">
        <v>290</v>
      </c>
      <c r="B3" s="67" t="s">
        <v>0</v>
      </c>
      <c r="C3" s="62" t="s">
        <v>291</v>
      </c>
      <c r="D3" s="62" t="s">
        <v>6</v>
      </c>
      <c r="E3" s="46" t="s">
        <v>292</v>
      </c>
      <c r="F3" s="64" t="s">
        <v>5</v>
      </c>
      <c r="G3" s="64" t="s">
        <v>8</v>
      </c>
      <c r="H3" s="64"/>
      <c r="I3" s="64"/>
      <c r="J3" s="64"/>
      <c r="K3" s="46" t="s">
        <v>163</v>
      </c>
      <c r="L3" s="46" t="s">
        <v>3</v>
      </c>
      <c r="M3" s="48" t="s">
        <v>2</v>
      </c>
    </row>
    <row r="4" spans="1:13" s="1" customFormat="1" ht="21" customHeight="1" thickBot="1">
      <c r="A4" s="61"/>
      <c r="B4" s="68"/>
      <c r="C4" s="63"/>
      <c r="D4" s="63"/>
      <c r="E4" s="47"/>
      <c r="F4" s="63"/>
      <c r="G4" s="4">
        <v>1</v>
      </c>
      <c r="H4" s="4">
        <v>2</v>
      </c>
      <c r="I4" s="4">
        <v>3</v>
      </c>
      <c r="J4" s="4" t="s">
        <v>4</v>
      </c>
      <c r="K4" s="47"/>
      <c r="L4" s="47"/>
      <c r="M4" s="49"/>
    </row>
    <row r="5" spans="1:13" ht="16">
      <c r="A5" s="50" t="s">
        <v>100</v>
      </c>
      <c r="B5" s="50"/>
      <c r="C5" s="51"/>
      <c r="D5" s="51"/>
      <c r="E5" s="51"/>
      <c r="F5" s="51"/>
      <c r="G5" s="51"/>
      <c r="H5" s="51"/>
      <c r="I5" s="51"/>
      <c r="J5" s="51"/>
    </row>
    <row r="6" spans="1:13">
      <c r="A6" s="32" t="s">
        <v>83</v>
      </c>
      <c r="B6" s="7" t="s">
        <v>129</v>
      </c>
      <c r="C6" s="7" t="s">
        <v>101</v>
      </c>
      <c r="D6" s="7" t="s">
        <v>102</v>
      </c>
      <c r="E6" s="8" t="s">
        <v>294</v>
      </c>
      <c r="F6" s="7" t="s">
        <v>245</v>
      </c>
      <c r="G6" s="31" t="s">
        <v>105</v>
      </c>
      <c r="H6" s="31" t="s">
        <v>96</v>
      </c>
      <c r="I6" s="31" t="s">
        <v>106</v>
      </c>
      <c r="J6" s="32"/>
      <c r="K6" s="9" t="str">
        <f>"57,5"</f>
        <v>57,5</v>
      </c>
      <c r="L6" s="9" t="str">
        <f>"72,3235"</f>
        <v>72,3235</v>
      </c>
      <c r="M6" s="7" t="s">
        <v>59</v>
      </c>
    </row>
    <row r="8" spans="1:13" ht="16">
      <c r="A8" s="65" t="s">
        <v>37</v>
      </c>
      <c r="B8" s="65"/>
      <c r="C8" s="65"/>
      <c r="D8" s="65"/>
      <c r="E8" s="66"/>
      <c r="F8" s="65"/>
      <c r="G8" s="65"/>
      <c r="H8" s="65"/>
      <c r="I8" s="65"/>
      <c r="J8" s="65"/>
    </row>
    <row r="9" spans="1:13">
      <c r="A9" s="32" t="s">
        <v>83</v>
      </c>
      <c r="B9" s="7" t="s">
        <v>195</v>
      </c>
      <c r="C9" s="7" t="s">
        <v>170</v>
      </c>
      <c r="D9" s="7" t="s">
        <v>171</v>
      </c>
      <c r="E9" s="8" t="s">
        <v>293</v>
      </c>
      <c r="F9" s="7" t="s">
        <v>244</v>
      </c>
      <c r="G9" s="31" t="s">
        <v>172</v>
      </c>
      <c r="H9" s="31" t="s">
        <v>112</v>
      </c>
      <c r="I9" s="30" t="s">
        <v>55</v>
      </c>
      <c r="J9" s="32"/>
      <c r="K9" s="9" t="str">
        <f>"125,0"</f>
        <v>125,0</v>
      </c>
      <c r="L9" s="9" t="str">
        <f>"89,8250"</f>
        <v>89,8250</v>
      </c>
      <c r="M9" s="7"/>
    </row>
    <row r="11" spans="1:13" ht="16">
      <c r="A11" s="65" t="s">
        <v>45</v>
      </c>
      <c r="B11" s="65"/>
      <c r="C11" s="65"/>
      <c r="D11" s="65"/>
      <c r="E11" s="66"/>
      <c r="F11" s="65"/>
      <c r="G11" s="65"/>
      <c r="H11" s="65"/>
      <c r="I11" s="65"/>
      <c r="J11" s="65"/>
    </row>
    <row r="12" spans="1:13">
      <c r="A12" s="35" t="s">
        <v>83</v>
      </c>
      <c r="B12" s="10" t="s">
        <v>196</v>
      </c>
      <c r="C12" s="10" t="s">
        <v>174</v>
      </c>
      <c r="D12" s="10" t="s">
        <v>175</v>
      </c>
      <c r="E12" s="11" t="s">
        <v>293</v>
      </c>
      <c r="F12" s="10" t="s">
        <v>283</v>
      </c>
      <c r="G12" s="33" t="s">
        <v>42</v>
      </c>
      <c r="H12" s="33" t="s">
        <v>176</v>
      </c>
      <c r="I12" s="33" t="s">
        <v>22</v>
      </c>
      <c r="J12" s="35"/>
      <c r="K12" s="12" t="str">
        <f>"130,0"</f>
        <v>130,0</v>
      </c>
      <c r="L12" s="12" t="str">
        <f>"90,1290"</f>
        <v>90,1290</v>
      </c>
      <c r="M12" s="10"/>
    </row>
    <row r="13" spans="1:13">
      <c r="A13" s="38" t="s">
        <v>197</v>
      </c>
      <c r="B13" s="13" t="s">
        <v>198</v>
      </c>
      <c r="C13" s="13" t="s">
        <v>177</v>
      </c>
      <c r="D13" s="13" t="s">
        <v>178</v>
      </c>
      <c r="E13" s="14" t="s">
        <v>293</v>
      </c>
      <c r="F13" s="13" t="s">
        <v>244</v>
      </c>
      <c r="G13" s="37" t="s">
        <v>49</v>
      </c>
      <c r="H13" s="36" t="s">
        <v>49</v>
      </c>
      <c r="I13" s="37" t="s">
        <v>42</v>
      </c>
      <c r="J13" s="38"/>
      <c r="K13" s="15" t="str">
        <f>"120,0"</f>
        <v>120,0</v>
      </c>
      <c r="L13" s="15" t="str">
        <f>"80,5080"</f>
        <v>80,5080</v>
      </c>
      <c r="M13" s="13"/>
    </row>
    <row r="14" spans="1:13">
      <c r="A14" s="38" t="s">
        <v>83</v>
      </c>
      <c r="B14" s="13" t="s">
        <v>199</v>
      </c>
      <c r="C14" s="13" t="s">
        <v>258</v>
      </c>
      <c r="D14" s="13" t="s">
        <v>179</v>
      </c>
      <c r="E14" s="14" t="s">
        <v>299</v>
      </c>
      <c r="F14" s="13" t="s">
        <v>244</v>
      </c>
      <c r="G14" s="36" t="s">
        <v>22</v>
      </c>
      <c r="H14" s="36" t="s">
        <v>55</v>
      </c>
      <c r="I14" s="37" t="s">
        <v>23</v>
      </c>
      <c r="J14" s="38"/>
      <c r="K14" s="15" t="str">
        <f>"135,0"</f>
        <v>135,0</v>
      </c>
      <c r="L14" s="15" t="str">
        <f>"94,0096"</f>
        <v>94,0096</v>
      </c>
      <c r="M14" s="13"/>
    </row>
    <row r="15" spans="1:13">
      <c r="A15" s="38" t="s">
        <v>83</v>
      </c>
      <c r="B15" s="13" t="s">
        <v>200</v>
      </c>
      <c r="C15" s="13" t="s">
        <v>259</v>
      </c>
      <c r="D15" s="13" t="s">
        <v>181</v>
      </c>
      <c r="E15" s="14" t="s">
        <v>300</v>
      </c>
      <c r="F15" s="13" t="s">
        <v>244</v>
      </c>
      <c r="G15" s="36" t="s">
        <v>24</v>
      </c>
      <c r="H15" s="37" t="s">
        <v>124</v>
      </c>
      <c r="I15" s="37" t="s">
        <v>124</v>
      </c>
      <c r="J15" s="38"/>
      <c r="K15" s="15" t="str">
        <f>"140,0"</f>
        <v>140,0</v>
      </c>
      <c r="L15" s="15" t="str">
        <f>"106,2450"</f>
        <v>106,2450</v>
      </c>
      <c r="M15" s="13"/>
    </row>
    <row r="16" spans="1:13">
      <c r="A16" s="41" t="s">
        <v>83</v>
      </c>
      <c r="B16" s="16" t="s">
        <v>201</v>
      </c>
      <c r="C16" s="16" t="s">
        <v>260</v>
      </c>
      <c r="D16" s="16" t="s">
        <v>183</v>
      </c>
      <c r="E16" s="17" t="s">
        <v>295</v>
      </c>
      <c r="F16" s="16" t="s">
        <v>244</v>
      </c>
      <c r="G16" s="39" t="s">
        <v>24</v>
      </c>
      <c r="H16" s="39" t="s">
        <v>124</v>
      </c>
      <c r="I16" s="40" t="s">
        <v>28</v>
      </c>
      <c r="J16" s="41"/>
      <c r="K16" s="18" t="str">
        <f>"145,0"</f>
        <v>145,0</v>
      </c>
      <c r="L16" s="18" t="str">
        <f>"115,1648"</f>
        <v>115,1648</v>
      </c>
      <c r="M16" s="16"/>
    </row>
    <row r="18" spans="1:13" ht="16">
      <c r="A18" s="65" t="s">
        <v>113</v>
      </c>
      <c r="B18" s="65"/>
      <c r="C18" s="65"/>
      <c r="D18" s="65"/>
      <c r="E18" s="66"/>
      <c r="F18" s="65"/>
      <c r="G18" s="65"/>
      <c r="H18" s="65"/>
      <c r="I18" s="65"/>
      <c r="J18" s="65"/>
    </row>
    <row r="19" spans="1:13">
      <c r="A19" s="35" t="s">
        <v>83</v>
      </c>
      <c r="B19" s="10" t="s">
        <v>202</v>
      </c>
      <c r="C19" s="10" t="s">
        <v>185</v>
      </c>
      <c r="D19" s="10" t="s">
        <v>186</v>
      </c>
      <c r="E19" s="11" t="s">
        <v>293</v>
      </c>
      <c r="F19" s="10" t="s">
        <v>244</v>
      </c>
      <c r="G19" s="33" t="s">
        <v>49</v>
      </c>
      <c r="H19" s="33" t="s">
        <v>187</v>
      </c>
      <c r="I19" s="35"/>
      <c r="J19" s="35"/>
      <c r="K19" s="12" t="str">
        <f>"132,5"</f>
        <v>132,5</v>
      </c>
      <c r="L19" s="12" t="str">
        <f>"85,0782"</f>
        <v>85,0782</v>
      </c>
      <c r="M19" s="10"/>
    </row>
    <row r="20" spans="1:13">
      <c r="A20" s="41" t="s">
        <v>83</v>
      </c>
      <c r="B20" s="16" t="s">
        <v>203</v>
      </c>
      <c r="C20" s="16" t="s">
        <v>261</v>
      </c>
      <c r="D20" s="16" t="s">
        <v>188</v>
      </c>
      <c r="E20" s="17" t="s">
        <v>300</v>
      </c>
      <c r="F20" s="16" t="s">
        <v>248</v>
      </c>
      <c r="G20" s="39" t="s">
        <v>55</v>
      </c>
      <c r="H20" s="40" t="s">
        <v>189</v>
      </c>
      <c r="I20" s="40" t="s">
        <v>189</v>
      </c>
      <c r="J20" s="41"/>
      <c r="K20" s="18" t="str">
        <f>"135,0"</f>
        <v>135,0</v>
      </c>
      <c r="L20" s="18" t="str">
        <f>"95,4490"</f>
        <v>95,4490</v>
      </c>
      <c r="M20" s="16"/>
    </row>
    <row r="22" spans="1:13" ht="16">
      <c r="A22" s="65" t="s">
        <v>51</v>
      </c>
      <c r="B22" s="65"/>
      <c r="C22" s="65"/>
      <c r="D22" s="65"/>
      <c r="E22" s="66"/>
      <c r="F22" s="65"/>
      <c r="G22" s="65"/>
      <c r="H22" s="65"/>
      <c r="I22" s="65"/>
      <c r="J22" s="65"/>
    </row>
    <row r="23" spans="1:13">
      <c r="A23" s="35" t="s">
        <v>83</v>
      </c>
      <c r="B23" s="10" t="s">
        <v>204</v>
      </c>
      <c r="C23" s="10" t="s">
        <v>191</v>
      </c>
      <c r="D23" s="10" t="s">
        <v>192</v>
      </c>
      <c r="E23" s="11" t="s">
        <v>293</v>
      </c>
      <c r="F23" s="10" t="s">
        <v>244</v>
      </c>
      <c r="G23" s="33" t="s">
        <v>23</v>
      </c>
      <c r="H23" s="33" t="s">
        <v>189</v>
      </c>
      <c r="I23" s="33" t="s">
        <v>124</v>
      </c>
      <c r="J23" s="35"/>
      <c r="K23" s="12" t="str">
        <f>"145,0"</f>
        <v>145,0</v>
      </c>
      <c r="L23" s="12" t="str">
        <f>"88,6820"</f>
        <v>88,6820</v>
      </c>
      <c r="M23" s="10" t="s">
        <v>141</v>
      </c>
    </row>
    <row r="24" spans="1:13">
      <c r="A24" s="38" t="s">
        <v>83</v>
      </c>
      <c r="B24" s="13" t="s">
        <v>205</v>
      </c>
      <c r="C24" s="13" t="s">
        <v>262</v>
      </c>
      <c r="D24" s="13" t="s">
        <v>194</v>
      </c>
      <c r="E24" s="14" t="s">
        <v>300</v>
      </c>
      <c r="F24" s="13" t="s">
        <v>245</v>
      </c>
      <c r="G24" s="36" t="s">
        <v>124</v>
      </c>
      <c r="H24" s="37" t="s">
        <v>53</v>
      </c>
      <c r="I24" s="36" t="s">
        <v>53</v>
      </c>
      <c r="J24" s="38"/>
      <c r="K24" s="15" t="str">
        <f>"150,0"</f>
        <v>150,0</v>
      </c>
      <c r="L24" s="15" t="str">
        <f>"102,2752"</f>
        <v>102,2752</v>
      </c>
      <c r="M24" s="13" t="s">
        <v>59</v>
      </c>
    </row>
    <row r="25" spans="1:13">
      <c r="A25" s="41" t="s">
        <v>83</v>
      </c>
      <c r="B25" s="16" t="s">
        <v>204</v>
      </c>
      <c r="C25" s="16" t="s">
        <v>263</v>
      </c>
      <c r="D25" s="16" t="s">
        <v>192</v>
      </c>
      <c r="E25" s="17" t="s">
        <v>295</v>
      </c>
      <c r="F25" s="16" t="s">
        <v>244</v>
      </c>
      <c r="G25" s="39" t="s">
        <v>23</v>
      </c>
      <c r="H25" s="39" t="s">
        <v>189</v>
      </c>
      <c r="I25" s="39" t="s">
        <v>124</v>
      </c>
      <c r="J25" s="41"/>
      <c r="K25" s="18" t="str">
        <f>"145,0"</f>
        <v>145,0</v>
      </c>
      <c r="L25" s="18" t="str">
        <f>"101,9843"</f>
        <v>101,9843</v>
      </c>
      <c r="M25" s="16" t="s">
        <v>141</v>
      </c>
    </row>
    <row r="27" spans="1:13" ht="16">
      <c r="F27" s="20"/>
      <c r="G27" s="5"/>
      <c r="K27" s="28"/>
      <c r="M27" s="6"/>
    </row>
    <row r="28" spans="1:13">
      <c r="G28" s="5"/>
      <c r="K28" s="28"/>
      <c r="M28" s="6"/>
    </row>
    <row r="29" spans="1:13" ht="18">
      <c r="B29" s="21" t="s">
        <v>73</v>
      </c>
      <c r="C29" s="21"/>
      <c r="G29" s="3"/>
      <c r="K29" s="28"/>
      <c r="M29" s="6"/>
    </row>
    <row r="30" spans="1:13" ht="16">
      <c r="B30" s="22" t="s">
        <v>79</v>
      </c>
      <c r="C30" s="22"/>
      <c r="G30" s="3"/>
      <c r="K30" s="28"/>
      <c r="M30" s="6"/>
    </row>
    <row r="31" spans="1:13" ht="14">
      <c r="B31" s="23"/>
      <c r="C31" s="24" t="s">
        <v>77</v>
      </c>
      <c r="G31" s="3"/>
      <c r="K31" s="28"/>
      <c r="M31" s="6"/>
    </row>
    <row r="32" spans="1:13" ht="14">
      <c r="B32" s="25" t="s">
        <v>74</v>
      </c>
      <c r="C32" s="25" t="s">
        <v>75</v>
      </c>
      <c r="D32" s="25" t="s">
        <v>284</v>
      </c>
      <c r="E32" s="26" t="s">
        <v>162</v>
      </c>
      <c r="F32" s="25" t="s">
        <v>76</v>
      </c>
      <c r="G32" s="3"/>
      <c r="K32" s="28"/>
      <c r="M32" s="6"/>
    </row>
    <row r="33" spans="2:13">
      <c r="B33" s="5" t="s">
        <v>173</v>
      </c>
      <c r="C33" s="5" t="s">
        <v>77</v>
      </c>
      <c r="D33" s="28" t="s">
        <v>80</v>
      </c>
      <c r="E33" s="29">
        <v>130</v>
      </c>
      <c r="F33" s="27">
        <v>90.129001140594497</v>
      </c>
      <c r="G33" s="3"/>
      <c r="K33" s="28"/>
      <c r="M33" s="6"/>
    </row>
    <row r="34" spans="2:13">
      <c r="B34" s="5" t="s">
        <v>169</v>
      </c>
      <c r="C34" s="5" t="s">
        <v>77</v>
      </c>
      <c r="D34" s="28" t="s">
        <v>82</v>
      </c>
      <c r="E34" s="29">
        <v>125</v>
      </c>
      <c r="F34" s="27">
        <v>89.8249968886375</v>
      </c>
      <c r="G34" s="3"/>
      <c r="K34" s="28"/>
      <c r="M34" s="6"/>
    </row>
    <row r="35" spans="2:13">
      <c r="B35" s="5" t="s">
        <v>190</v>
      </c>
      <c r="C35" s="5" t="s">
        <v>77</v>
      </c>
      <c r="D35" s="28" t="s">
        <v>81</v>
      </c>
      <c r="E35" s="29">
        <v>145</v>
      </c>
      <c r="F35" s="27">
        <v>88.681997358798995</v>
      </c>
      <c r="G35" s="3"/>
      <c r="K35" s="28"/>
      <c r="M35" s="6"/>
    </row>
    <row r="36" spans="2:13">
      <c r="G36" s="3"/>
      <c r="K36" s="28"/>
      <c r="M36" s="6"/>
    </row>
    <row r="37" spans="2:13" ht="14">
      <c r="B37" s="23"/>
      <c r="C37" s="24" t="s">
        <v>78</v>
      </c>
      <c r="G37" s="3"/>
      <c r="K37" s="28"/>
      <c r="M37" s="6"/>
    </row>
    <row r="38" spans="2:13" ht="14">
      <c r="B38" s="25" t="s">
        <v>74</v>
      </c>
      <c r="C38" s="25" t="s">
        <v>75</v>
      </c>
      <c r="D38" s="25" t="s">
        <v>284</v>
      </c>
      <c r="E38" s="26" t="s">
        <v>162</v>
      </c>
      <c r="F38" s="25" t="s">
        <v>76</v>
      </c>
      <c r="G38" s="3"/>
      <c r="K38" s="28"/>
      <c r="M38" s="6"/>
    </row>
    <row r="39" spans="2:13">
      <c r="B39" s="5" t="s">
        <v>182</v>
      </c>
      <c r="C39" s="5" t="s">
        <v>264</v>
      </c>
      <c r="D39" s="28" t="s">
        <v>80</v>
      </c>
      <c r="E39" s="29">
        <v>145</v>
      </c>
      <c r="F39" s="27">
        <v>115.164801211357</v>
      </c>
      <c r="G39" s="3"/>
      <c r="K39" s="28"/>
      <c r="M39" s="6"/>
    </row>
    <row r="40" spans="2:13">
      <c r="B40" s="5" t="s">
        <v>180</v>
      </c>
      <c r="C40" s="5" t="s">
        <v>265</v>
      </c>
      <c r="D40" s="28" t="s">
        <v>80</v>
      </c>
      <c r="E40" s="29">
        <v>140</v>
      </c>
      <c r="F40" s="27">
        <v>106.244995718002</v>
      </c>
      <c r="G40" s="3"/>
      <c r="K40" s="28"/>
      <c r="M40" s="6"/>
    </row>
    <row r="41" spans="2:13">
      <c r="B41" s="5" t="s">
        <v>193</v>
      </c>
      <c r="C41" s="5" t="s">
        <v>265</v>
      </c>
      <c r="D41" s="28" t="s">
        <v>81</v>
      </c>
      <c r="E41" s="29">
        <v>150</v>
      </c>
      <c r="F41" s="27">
        <v>102.275248843431</v>
      </c>
      <c r="G41" s="3"/>
      <c r="K41" s="28"/>
      <c r="M41" s="6"/>
    </row>
    <row r="42" spans="2:13">
      <c r="E42" s="5"/>
      <c r="F42" s="19"/>
      <c r="G42" s="5"/>
      <c r="K42" s="28"/>
      <c r="M42" s="6"/>
    </row>
  </sheetData>
  <mergeCells count="16">
    <mergeCell ref="A8:J8"/>
    <mergeCell ref="A11:J11"/>
    <mergeCell ref="A18:J18"/>
    <mergeCell ref="A22:J22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M18"/>
  <sheetViews>
    <sheetView workbookViewId="0">
      <selection activeCell="E19" sqref="E19"/>
    </sheetView>
  </sheetViews>
  <sheetFormatPr baseColWidth="10" defaultColWidth="9.1640625" defaultRowHeight="13"/>
  <cols>
    <col min="1" max="1" width="7.5" style="5" bestFit="1" customWidth="1"/>
    <col min="2" max="2" width="22.1640625" style="5" customWidth="1"/>
    <col min="3" max="3" width="28.5" style="5" bestFit="1" customWidth="1"/>
    <col min="4" max="4" width="21.5" style="5" bestFit="1" customWidth="1"/>
    <col min="5" max="5" width="10.5" style="19" bestFit="1" customWidth="1"/>
    <col min="6" max="6" width="35.1640625" style="5" customWidth="1"/>
    <col min="7" max="9" width="5.5" style="28" customWidth="1"/>
    <col min="10" max="10" width="4.83203125" style="28" customWidth="1"/>
    <col min="11" max="11" width="10.5" style="6" bestFit="1" customWidth="1"/>
    <col min="12" max="12" width="8.5" style="6" bestFit="1" customWidth="1"/>
    <col min="13" max="13" width="21.1640625" style="5" customWidth="1"/>
    <col min="14" max="16384" width="9.1640625" style="3"/>
  </cols>
  <sheetData>
    <row r="1" spans="1:13" s="2" customFormat="1" ht="29" customHeight="1">
      <c r="A1" s="52" t="s">
        <v>278</v>
      </c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2" customFormat="1" ht="62" customHeight="1" thickBot="1">
      <c r="A2" s="56"/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</row>
    <row r="3" spans="1:13" s="1" customFormat="1" ht="12.75" customHeight="1">
      <c r="A3" s="60" t="s">
        <v>290</v>
      </c>
      <c r="B3" s="67" t="s">
        <v>0</v>
      </c>
      <c r="C3" s="62" t="s">
        <v>291</v>
      </c>
      <c r="D3" s="62" t="s">
        <v>6</v>
      </c>
      <c r="E3" s="46" t="s">
        <v>292</v>
      </c>
      <c r="F3" s="64" t="s">
        <v>5</v>
      </c>
      <c r="G3" s="64" t="s">
        <v>8</v>
      </c>
      <c r="H3" s="64"/>
      <c r="I3" s="64"/>
      <c r="J3" s="64"/>
      <c r="K3" s="46" t="s">
        <v>163</v>
      </c>
      <c r="L3" s="46" t="s">
        <v>3</v>
      </c>
      <c r="M3" s="48" t="s">
        <v>2</v>
      </c>
    </row>
    <row r="4" spans="1:13" s="1" customFormat="1" ht="21" customHeight="1" thickBot="1">
      <c r="A4" s="61"/>
      <c r="B4" s="68"/>
      <c r="C4" s="63"/>
      <c r="D4" s="63"/>
      <c r="E4" s="47"/>
      <c r="F4" s="63"/>
      <c r="G4" s="4">
        <v>1</v>
      </c>
      <c r="H4" s="4">
        <v>2</v>
      </c>
      <c r="I4" s="4">
        <v>3</v>
      </c>
      <c r="J4" s="4" t="s">
        <v>4</v>
      </c>
      <c r="K4" s="47"/>
      <c r="L4" s="47"/>
      <c r="M4" s="49"/>
    </row>
    <row r="5" spans="1:13" ht="16">
      <c r="A5" s="50" t="s">
        <v>149</v>
      </c>
      <c r="B5" s="50"/>
      <c r="C5" s="51"/>
      <c r="D5" s="51"/>
      <c r="E5" s="51"/>
      <c r="F5" s="51"/>
      <c r="G5" s="51"/>
      <c r="H5" s="51"/>
      <c r="I5" s="51"/>
      <c r="J5" s="51"/>
    </row>
    <row r="6" spans="1:13">
      <c r="A6" s="32" t="s">
        <v>83</v>
      </c>
      <c r="B6" s="7" t="s">
        <v>164</v>
      </c>
      <c r="C6" s="7" t="s">
        <v>150</v>
      </c>
      <c r="D6" s="7" t="s">
        <v>151</v>
      </c>
      <c r="E6" s="8" t="s">
        <v>294</v>
      </c>
      <c r="F6" s="7" t="s">
        <v>245</v>
      </c>
      <c r="G6" s="31" t="s">
        <v>152</v>
      </c>
      <c r="H6" s="31" t="s">
        <v>97</v>
      </c>
      <c r="I6" s="30" t="s">
        <v>153</v>
      </c>
      <c r="J6" s="32"/>
      <c r="K6" s="9" t="str">
        <f>"30,0"</f>
        <v>30,0</v>
      </c>
      <c r="L6" s="9" t="str">
        <f>"43,9800"</f>
        <v>43,9800</v>
      </c>
      <c r="M6" s="7" t="s">
        <v>59</v>
      </c>
    </row>
    <row r="8" spans="1:13" ht="16">
      <c r="A8" s="65" t="s">
        <v>37</v>
      </c>
      <c r="B8" s="65"/>
      <c r="C8" s="65"/>
      <c r="D8" s="65"/>
      <c r="E8" s="66"/>
      <c r="F8" s="65"/>
      <c r="G8" s="65"/>
      <c r="H8" s="65"/>
      <c r="I8" s="65"/>
      <c r="J8" s="65"/>
    </row>
    <row r="9" spans="1:13">
      <c r="A9" s="32" t="s">
        <v>83</v>
      </c>
      <c r="B9" s="7" t="s">
        <v>165</v>
      </c>
      <c r="C9" s="7" t="s">
        <v>256</v>
      </c>
      <c r="D9" s="7" t="s">
        <v>154</v>
      </c>
      <c r="E9" s="8" t="s">
        <v>299</v>
      </c>
      <c r="F9" s="7" t="s">
        <v>247</v>
      </c>
      <c r="G9" s="31" t="s">
        <v>12</v>
      </c>
      <c r="H9" s="30" t="s">
        <v>96</v>
      </c>
      <c r="I9" s="31" t="s">
        <v>96</v>
      </c>
      <c r="J9" s="32"/>
      <c r="K9" s="9" t="str">
        <f>"55,0"</f>
        <v>55,0</v>
      </c>
      <c r="L9" s="9" t="str">
        <f>"55,9438"</f>
        <v>55,9438</v>
      </c>
      <c r="M9" s="7"/>
    </row>
    <row r="11" spans="1:13" ht="16">
      <c r="A11" s="65" t="s">
        <v>19</v>
      </c>
      <c r="B11" s="65"/>
      <c r="C11" s="65"/>
      <c r="D11" s="65"/>
      <c r="E11" s="66"/>
      <c r="F11" s="65"/>
      <c r="G11" s="65"/>
      <c r="H11" s="65"/>
      <c r="I11" s="65"/>
      <c r="J11" s="65"/>
    </row>
    <row r="12" spans="1:13">
      <c r="A12" s="32" t="s">
        <v>83</v>
      </c>
      <c r="B12" s="7" t="s">
        <v>166</v>
      </c>
      <c r="C12" s="7" t="s">
        <v>155</v>
      </c>
      <c r="D12" s="7" t="s">
        <v>156</v>
      </c>
      <c r="E12" s="8" t="s">
        <v>294</v>
      </c>
      <c r="F12" s="7" t="s">
        <v>246</v>
      </c>
      <c r="G12" s="31" t="s">
        <v>96</v>
      </c>
      <c r="H12" s="30" t="s">
        <v>106</v>
      </c>
      <c r="I12" s="31" t="s">
        <v>106</v>
      </c>
      <c r="J12" s="32"/>
      <c r="K12" s="9" t="str">
        <f>"57,5"</f>
        <v>57,5</v>
      </c>
      <c r="L12" s="9" t="str">
        <f>"48,3862"</f>
        <v>48,3862</v>
      </c>
      <c r="M12" s="7"/>
    </row>
    <row r="14" spans="1:13" ht="16">
      <c r="A14" s="65" t="s">
        <v>113</v>
      </c>
      <c r="B14" s="65"/>
      <c r="C14" s="65"/>
      <c r="D14" s="65"/>
      <c r="E14" s="66"/>
      <c r="F14" s="65"/>
      <c r="G14" s="65"/>
      <c r="H14" s="65"/>
      <c r="I14" s="65"/>
      <c r="J14" s="65"/>
    </row>
    <row r="15" spans="1:13">
      <c r="A15" s="32" t="s">
        <v>83</v>
      </c>
      <c r="B15" s="7" t="s">
        <v>167</v>
      </c>
      <c r="C15" s="7" t="s">
        <v>157</v>
      </c>
      <c r="D15" s="7" t="s">
        <v>158</v>
      </c>
      <c r="E15" s="8" t="s">
        <v>293</v>
      </c>
      <c r="F15" s="7" t="s">
        <v>159</v>
      </c>
      <c r="G15" s="31" t="s">
        <v>50</v>
      </c>
      <c r="H15" s="31" t="s">
        <v>72</v>
      </c>
      <c r="I15" s="30" t="s">
        <v>40</v>
      </c>
      <c r="J15" s="32"/>
      <c r="K15" s="9" t="str">
        <f>"165,0"</f>
        <v>165,0</v>
      </c>
      <c r="L15" s="9" t="str">
        <f>"105,9960"</f>
        <v>105,9960</v>
      </c>
      <c r="M15" s="7" t="s">
        <v>160</v>
      </c>
    </row>
    <row r="17" spans="1:13" ht="16">
      <c r="A17" s="65" t="s">
        <v>51</v>
      </c>
      <c r="B17" s="65"/>
      <c r="C17" s="65"/>
      <c r="D17" s="65"/>
      <c r="E17" s="66"/>
      <c r="F17" s="65"/>
      <c r="G17" s="65"/>
      <c r="H17" s="65"/>
      <c r="I17" s="65"/>
      <c r="J17" s="65"/>
    </row>
    <row r="18" spans="1:13">
      <c r="A18" s="32" t="s">
        <v>83</v>
      </c>
      <c r="B18" s="7" t="s">
        <v>168</v>
      </c>
      <c r="C18" s="7" t="s">
        <v>161</v>
      </c>
      <c r="D18" s="7" t="s">
        <v>52</v>
      </c>
      <c r="E18" s="8" t="s">
        <v>293</v>
      </c>
      <c r="F18" s="7" t="s">
        <v>244</v>
      </c>
      <c r="G18" s="31" t="s">
        <v>146</v>
      </c>
      <c r="H18" s="31" t="s">
        <v>72</v>
      </c>
      <c r="I18" s="30" t="s">
        <v>40</v>
      </c>
      <c r="J18" s="32"/>
      <c r="K18" s="9" t="str">
        <f>"165,0"</f>
        <v>165,0</v>
      </c>
      <c r="L18" s="9" t="str">
        <f>"102,1020"</f>
        <v>102,1020</v>
      </c>
      <c r="M18" s="7"/>
    </row>
  </sheetData>
  <mergeCells count="16">
    <mergeCell ref="A8:J8"/>
    <mergeCell ref="A11:J11"/>
    <mergeCell ref="A14:J14"/>
    <mergeCell ref="A17:J17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M9"/>
  <sheetViews>
    <sheetView workbookViewId="0">
      <selection activeCell="E10" sqref="E10"/>
    </sheetView>
  </sheetViews>
  <sheetFormatPr baseColWidth="10" defaultColWidth="9.1640625" defaultRowHeight="13"/>
  <cols>
    <col min="1" max="1" width="7.5" style="5" bestFit="1" customWidth="1"/>
    <col min="2" max="2" width="21" style="5" customWidth="1"/>
    <col min="3" max="3" width="26.5" style="5" bestFit="1" customWidth="1"/>
    <col min="4" max="4" width="21.5" style="5" bestFit="1" customWidth="1"/>
    <col min="5" max="5" width="10.5" style="19" bestFit="1" customWidth="1"/>
    <col min="6" max="6" width="29.5" style="5" bestFit="1" customWidth="1"/>
    <col min="7" max="9" width="5.5" style="28" customWidth="1"/>
    <col min="10" max="10" width="4.83203125" style="28" customWidth="1"/>
    <col min="11" max="11" width="10.5" style="6" bestFit="1" customWidth="1"/>
    <col min="12" max="12" width="8.5" style="6" bestFit="1" customWidth="1"/>
    <col min="13" max="13" width="17.33203125" style="5" bestFit="1" customWidth="1"/>
    <col min="14" max="16384" width="9.1640625" style="3"/>
  </cols>
  <sheetData>
    <row r="1" spans="1:13" s="2" customFormat="1" ht="29" customHeight="1">
      <c r="A1" s="52" t="s">
        <v>275</v>
      </c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2" customFormat="1" ht="62" customHeight="1" thickBot="1">
      <c r="A2" s="56"/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</row>
    <row r="3" spans="1:13" s="1" customFormat="1" ht="12.75" customHeight="1">
      <c r="A3" s="60" t="s">
        <v>290</v>
      </c>
      <c r="B3" s="67" t="s">
        <v>0</v>
      </c>
      <c r="C3" s="62" t="s">
        <v>291</v>
      </c>
      <c r="D3" s="62" t="s">
        <v>6</v>
      </c>
      <c r="E3" s="46" t="s">
        <v>292</v>
      </c>
      <c r="F3" s="64" t="s">
        <v>5</v>
      </c>
      <c r="G3" s="64" t="s">
        <v>9</v>
      </c>
      <c r="H3" s="64"/>
      <c r="I3" s="64"/>
      <c r="J3" s="64"/>
      <c r="K3" s="46" t="s">
        <v>163</v>
      </c>
      <c r="L3" s="46" t="s">
        <v>3</v>
      </c>
      <c r="M3" s="48" t="s">
        <v>2</v>
      </c>
    </row>
    <row r="4" spans="1:13" s="1" customFormat="1" ht="21" customHeight="1" thickBot="1">
      <c r="A4" s="61"/>
      <c r="B4" s="68"/>
      <c r="C4" s="63"/>
      <c r="D4" s="63"/>
      <c r="E4" s="47"/>
      <c r="F4" s="63"/>
      <c r="G4" s="4">
        <v>1</v>
      </c>
      <c r="H4" s="4">
        <v>2</v>
      </c>
      <c r="I4" s="4">
        <v>3</v>
      </c>
      <c r="J4" s="4" t="s">
        <v>4</v>
      </c>
      <c r="K4" s="47"/>
      <c r="L4" s="47"/>
      <c r="M4" s="49"/>
    </row>
    <row r="5" spans="1:13" ht="16">
      <c r="A5" s="50" t="s">
        <v>93</v>
      </c>
      <c r="B5" s="50"/>
      <c r="C5" s="51"/>
      <c r="D5" s="51"/>
      <c r="E5" s="51"/>
      <c r="F5" s="51"/>
      <c r="G5" s="51"/>
      <c r="H5" s="51"/>
      <c r="I5" s="51"/>
      <c r="J5" s="51"/>
    </row>
    <row r="6" spans="1:13">
      <c r="A6" s="32" t="s">
        <v>83</v>
      </c>
      <c r="B6" s="7" t="s">
        <v>222</v>
      </c>
      <c r="C6" s="7" t="s">
        <v>217</v>
      </c>
      <c r="D6" s="7" t="s">
        <v>218</v>
      </c>
      <c r="E6" s="8" t="s">
        <v>293</v>
      </c>
      <c r="F6" s="7" t="s">
        <v>244</v>
      </c>
      <c r="G6" s="31" t="s">
        <v>99</v>
      </c>
      <c r="H6" s="31" t="s">
        <v>48</v>
      </c>
      <c r="I6" s="31" t="s">
        <v>32</v>
      </c>
      <c r="J6" s="32"/>
      <c r="K6" s="9" t="str">
        <f>"80,0"</f>
        <v>80,0</v>
      </c>
      <c r="L6" s="9" t="str">
        <f>"108,9200"</f>
        <v>108,9200</v>
      </c>
      <c r="M6" s="7" t="s">
        <v>125</v>
      </c>
    </row>
    <row r="8" spans="1:13" ht="16">
      <c r="A8" s="65" t="s">
        <v>37</v>
      </c>
      <c r="B8" s="65"/>
      <c r="C8" s="65"/>
      <c r="D8" s="65"/>
      <c r="E8" s="66"/>
      <c r="F8" s="65"/>
      <c r="G8" s="65"/>
      <c r="H8" s="65"/>
      <c r="I8" s="65"/>
      <c r="J8" s="65"/>
    </row>
    <row r="9" spans="1:13">
      <c r="A9" s="32" t="s">
        <v>83</v>
      </c>
      <c r="B9" s="7" t="s">
        <v>223</v>
      </c>
      <c r="C9" s="7" t="s">
        <v>219</v>
      </c>
      <c r="D9" s="7" t="s">
        <v>220</v>
      </c>
      <c r="E9" s="8" t="s">
        <v>294</v>
      </c>
      <c r="F9" s="7" t="s">
        <v>244</v>
      </c>
      <c r="G9" s="31" t="s">
        <v>176</v>
      </c>
      <c r="H9" s="31" t="s">
        <v>23</v>
      </c>
      <c r="I9" s="31" t="s">
        <v>189</v>
      </c>
      <c r="J9" s="32"/>
      <c r="K9" s="9" t="str">
        <f>"142,5"</f>
        <v>142,5</v>
      </c>
      <c r="L9" s="9" t="str">
        <f>"105,3075"</f>
        <v>105,3075</v>
      </c>
      <c r="M9" s="7" t="s">
        <v>221</v>
      </c>
    </row>
  </sheetData>
  <mergeCells count="13">
    <mergeCell ref="A8:J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M19"/>
  <sheetViews>
    <sheetView workbookViewId="0">
      <selection activeCell="E20" sqref="E20"/>
    </sheetView>
  </sheetViews>
  <sheetFormatPr baseColWidth="10" defaultColWidth="9.1640625" defaultRowHeight="13"/>
  <cols>
    <col min="1" max="1" width="7.5" style="5" bestFit="1" customWidth="1"/>
    <col min="2" max="2" width="21.83203125" style="5" customWidth="1"/>
    <col min="3" max="3" width="28.5" style="5" bestFit="1" customWidth="1"/>
    <col min="4" max="4" width="21.5" style="5" bestFit="1" customWidth="1"/>
    <col min="5" max="5" width="10.5" style="19" bestFit="1" customWidth="1"/>
    <col min="6" max="6" width="32.33203125" style="5" bestFit="1" customWidth="1"/>
    <col min="7" max="9" width="5.5" style="28" customWidth="1"/>
    <col min="10" max="10" width="4.83203125" style="28" customWidth="1"/>
    <col min="11" max="11" width="10.5" style="6" bestFit="1" customWidth="1"/>
    <col min="12" max="12" width="10.1640625" style="6" customWidth="1"/>
    <col min="13" max="13" width="19" style="5" customWidth="1"/>
    <col min="14" max="16384" width="9.1640625" style="3"/>
  </cols>
  <sheetData>
    <row r="1" spans="1:13" s="2" customFormat="1" ht="29" customHeight="1">
      <c r="A1" s="52" t="s">
        <v>276</v>
      </c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2" customFormat="1" ht="62" customHeight="1" thickBot="1">
      <c r="A2" s="56"/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</row>
    <row r="3" spans="1:13" s="1" customFormat="1" ht="12.75" customHeight="1">
      <c r="A3" s="60" t="s">
        <v>290</v>
      </c>
      <c r="B3" s="67" t="s">
        <v>0</v>
      </c>
      <c r="C3" s="62" t="s">
        <v>291</v>
      </c>
      <c r="D3" s="62" t="s">
        <v>6</v>
      </c>
      <c r="E3" s="46" t="s">
        <v>292</v>
      </c>
      <c r="F3" s="64" t="s">
        <v>5</v>
      </c>
      <c r="G3" s="64" t="s">
        <v>9</v>
      </c>
      <c r="H3" s="64"/>
      <c r="I3" s="64"/>
      <c r="J3" s="64"/>
      <c r="K3" s="46" t="s">
        <v>163</v>
      </c>
      <c r="L3" s="46" t="s">
        <v>3</v>
      </c>
      <c r="M3" s="48" t="s">
        <v>2</v>
      </c>
    </row>
    <row r="4" spans="1:13" s="1" customFormat="1" ht="21" customHeight="1" thickBot="1">
      <c r="A4" s="61"/>
      <c r="B4" s="68"/>
      <c r="C4" s="63"/>
      <c r="D4" s="63"/>
      <c r="E4" s="47"/>
      <c r="F4" s="63"/>
      <c r="G4" s="4">
        <v>1</v>
      </c>
      <c r="H4" s="4">
        <v>2</v>
      </c>
      <c r="I4" s="4">
        <v>3</v>
      </c>
      <c r="J4" s="4" t="s">
        <v>4</v>
      </c>
      <c r="K4" s="47"/>
      <c r="L4" s="47"/>
      <c r="M4" s="49"/>
    </row>
    <row r="5" spans="1:13" ht="16">
      <c r="A5" s="50" t="s">
        <v>37</v>
      </c>
      <c r="B5" s="50"/>
      <c r="C5" s="51"/>
      <c r="D5" s="51"/>
      <c r="E5" s="51"/>
      <c r="F5" s="51"/>
      <c r="G5" s="51"/>
      <c r="H5" s="51"/>
      <c r="I5" s="51"/>
      <c r="J5" s="51"/>
    </row>
    <row r="6" spans="1:13">
      <c r="A6" s="32" t="s">
        <v>83</v>
      </c>
      <c r="B6" s="7" t="s">
        <v>165</v>
      </c>
      <c r="C6" s="7" t="s">
        <v>256</v>
      </c>
      <c r="D6" s="7" t="s">
        <v>154</v>
      </c>
      <c r="E6" s="8" t="s">
        <v>299</v>
      </c>
      <c r="F6" s="7" t="s">
        <v>247</v>
      </c>
      <c r="G6" s="31" t="s">
        <v>99</v>
      </c>
      <c r="H6" s="31" t="s">
        <v>32</v>
      </c>
      <c r="I6" s="31" t="s">
        <v>16</v>
      </c>
      <c r="J6" s="32"/>
      <c r="K6" s="9" t="str">
        <f>"90,0"</f>
        <v>90,0</v>
      </c>
      <c r="L6" s="9" t="str">
        <f>"91,5444"</f>
        <v>91,5444</v>
      </c>
      <c r="M6" s="7"/>
    </row>
    <row r="8" spans="1:13" ht="16">
      <c r="A8" s="65" t="s">
        <v>100</v>
      </c>
      <c r="B8" s="65"/>
      <c r="C8" s="65"/>
      <c r="D8" s="65"/>
      <c r="E8" s="66"/>
      <c r="F8" s="65"/>
      <c r="G8" s="65"/>
      <c r="H8" s="65"/>
      <c r="I8" s="65"/>
      <c r="J8" s="65"/>
    </row>
    <row r="9" spans="1:13">
      <c r="A9" s="32" t="s">
        <v>83</v>
      </c>
      <c r="B9" s="7" t="s">
        <v>213</v>
      </c>
      <c r="C9" s="7" t="s">
        <v>206</v>
      </c>
      <c r="D9" s="7" t="s">
        <v>207</v>
      </c>
      <c r="E9" s="8" t="s">
        <v>294</v>
      </c>
      <c r="F9" s="7" t="s">
        <v>247</v>
      </c>
      <c r="G9" s="31" t="s">
        <v>99</v>
      </c>
      <c r="H9" s="31" t="s">
        <v>48</v>
      </c>
      <c r="I9" s="30" t="s">
        <v>32</v>
      </c>
      <c r="J9" s="32"/>
      <c r="K9" s="9" t="str">
        <f>"75,0"</f>
        <v>75,0</v>
      </c>
      <c r="L9" s="9" t="str">
        <f>"100,1550"</f>
        <v>100,1550</v>
      </c>
      <c r="M9" s="7" t="s">
        <v>282</v>
      </c>
    </row>
    <row r="11" spans="1:13" ht="16">
      <c r="A11" s="65" t="s">
        <v>19</v>
      </c>
      <c r="B11" s="65"/>
      <c r="C11" s="65"/>
      <c r="D11" s="65"/>
      <c r="E11" s="66"/>
      <c r="F11" s="65"/>
      <c r="G11" s="65"/>
      <c r="H11" s="65"/>
      <c r="I11" s="65"/>
      <c r="J11" s="65"/>
    </row>
    <row r="12" spans="1:13">
      <c r="A12" s="35" t="s">
        <v>83</v>
      </c>
      <c r="B12" s="10" t="s">
        <v>214</v>
      </c>
      <c r="C12" s="10" t="s">
        <v>208</v>
      </c>
      <c r="D12" s="10" t="s">
        <v>209</v>
      </c>
      <c r="E12" s="11" t="s">
        <v>294</v>
      </c>
      <c r="F12" s="10" t="s">
        <v>244</v>
      </c>
      <c r="G12" s="33" t="s">
        <v>53</v>
      </c>
      <c r="H12" s="33" t="s">
        <v>146</v>
      </c>
      <c r="I12" s="33" t="s">
        <v>50</v>
      </c>
      <c r="J12" s="35"/>
      <c r="K12" s="12" t="str">
        <f>"160,0"</f>
        <v>160,0</v>
      </c>
      <c r="L12" s="12" t="str">
        <f>"123,9520"</f>
        <v>123,9520</v>
      </c>
      <c r="M12" s="10" t="s">
        <v>282</v>
      </c>
    </row>
    <row r="13" spans="1:13">
      <c r="A13" s="41" t="s">
        <v>197</v>
      </c>
      <c r="B13" s="16" t="s">
        <v>215</v>
      </c>
      <c r="C13" s="16" t="s">
        <v>210</v>
      </c>
      <c r="D13" s="16" t="s">
        <v>211</v>
      </c>
      <c r="E13" s="17" t="s">
        <v>294</v>
      </c>
      <c r="F13" s="16" t="s">
        <v>247</v>
      </c>
      <c r="G13" s="39" t="s">
        <v>22</v>
      </c>
      <c r="H13" s="39" t="s">
        <v>55</v>
      </c>
      <c r="I13" s="39" t="s">
        <v>124</v>
      </c>
      <c r="J13" s="41"/>
      <c r="K13" s="18" t="str">
        <f>"145,0"</f>
        <v>145,0</v>
      </c>
      <c r="L13" s="18" t="str">
        <f>"114,1440"</f>
        <v>114,1440</v>
      </c>
      <c r="M13" s="16"/>
    </row>
    <row r="15" spans="1:13" ht="16">
      <c r="A15" s="65" t="s">
        <v>45</v>
      </c>
      <c r="B15" s="65"/>
      <c r="C15" s="65"/>
      <c r="D15" s="65"/>
      <c r="E15" s="66"/>
      <c r="F15" s="65"/>
      <c r="G15" s="65"/>
      <c r="H15" s="65"/>
      <c r="I15" s="65"/>
      <c r="J15" s="65"/>
    </row>
    <row r="16" spans="1:13">
      <c r="A16" s="32" t="s">
        <v>83</v>
      </c>
      <c r="B16" s="7" t="s">
        <v>216</v>
      </c>
      <c r="C16" s="7" t="s">
        <v>257</v>
      </c>
      <c r="D16" s="7" t="s">
        <v>212</v>
      </c>
      <c r="E16" s="8" t="s">
        <v>296</v>
      </c>
      <c r="F16" s="7" t="s">
        <v>247</v>
      </c>
      <c r="G16" s="30" t="s">
        <v>24</v>
      </c>
      <c r="H16" s="31" t="s">
        <v>189</v>
      </c>
      <c r="I16" s="31" t="s">
        <v>28</v>
      </c>
      <c r="J16" s="32"/>
      <c r="K16" s="9" t="str">
        <f>"147,5"</f>
        <v>147,5</v>
      </c>
      <c r="L16" s="9" t="str">
        <f>"101,5980"</f>
        <v>101,5980</v>
      </c>
      <c r="M16" s="7" t="s">
        <v>282</v>
      </c>
    </row>
    <row r="18" spans="1:13" ht="16">
      <c r="A18" s="65" t="s">
        <v>51</v>
      </c>
      <c r="B18" s="65"/>
      <c r="C18" s="65"/>
      <c r="D18" s="65"/>
      <c r="E18" s="66"/>
      <c r="F18" s="65"/>
      <c r="G18" s="65"/>
      <c r="H18" s="65"/>
      <c r="I18" s="65"/>
      <c r="J18" s="65"/>
    </row>
    <row r="19" spans="1:13">
      <c r="A19" s="32" t="s">
        <v>83</v>
      </c>
      <c r="B19" s="7" t="s">
        <v>133</v>
      </c>
      <c r="C19" s="7" t="s">
        <v>117</v>
      </c>
      <c r="D19" s="7" t="s">
        <v>118</v>
      </c>
      <c r="E19" s="8" t="s">
        <v>293</v>
      </c>
      <c r="F19" s="7" t="s">
        <v>245</v>
      </c>
      <c r="G19" s="31" t="s">
        <v>119</v>
      </c>
      <c r="H19" s="31" t="s">
        <v>120</v>
      </c>
      <c r="I19" s="31" t="s">
        <v>67</v>
      </c>
      <c r="J19" s="32"/>
      <c r="K19" s="9" t="str">
        <f>"285,0"</f>
        <v>285,0</v>
      </c>
      <c r="L19" s="9" t="str">
        <f>"173,5080"</f>
        <v>173,5080</v>
      </c>
      <c r="M19" s="7"/>
    </row>
  </sheetData>
  <mergeCells count="16">
    <mergeCell ref="A8:J8"/>
    <mergeCell ref="A11:J11"/>
    <mergeCell ref="A15:J15"/>
    <mergeCell ref="A18:J1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9"/>
  <sheetViews>
    <sheetView workbookViewId="0">
      <selection activeCell="E10" sqref="E10"/>
    </sheetView>
  </sheetViews>
  <sheetFormatPr baseColWidth="10" defaultColWidth="9.1640625" defaultRowHeight="13"/>
  <cols>
    <col min="1" max="1" width="7.5" style="5" bestFit="1" customWidth="1"/>
    <col min="2" max="2" width="20.5" style="5" bestFit="1" customWidth="1"/>
    <col min="3" max="3" width="28.5" style="5" bestFit="1" customWidth="1"/>
    <col min="4" max="4" width="21.5" style="5" bestFit="1" customWidth="1"/>
    <col min="5" max="5" width="10.5" style="19" bestFit="1" customWidth="1"/>
    <col min="6" max="6" width="32.33203125" style="5" bestFit="1" customWidth="1"/>
    <col min="7" max="9" width="5.5" style="28" customWidth="1"/>
    <col min="10" max="10" width="4.83203125" style="28" customWidth="1"/>
    <col min="11" max="13" width="5.5" style="28" customWidth="1"/>
    <col min="14" max="14" width="4.83203125" style="28" customWidth="1"/>
    <col min="15" max="15" width="7.83203125" style="6" bestFit="1" customWidth="1"/>
    <col min="16" max="16" width="8.5" style="6" bestFit="1" customWidth="1"/>
    <col min="17" max="17" width="19.83203125" style="5" customWidth="1"/>
    <col min="18" max="16384" width="9.1640625" style="3"/>
  </cols>
  <sheetData>
    <row r="1" spans="1:17" s="2" customFormat="1" ht="29" customHeight="1">
      <c r="A1" s="52" t="s">
        <v>270</v>
      </c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5"/>
    </row>
    <row r="2" spans="1:17" s="2" customFormat="1" ht="62" customHeight="1" thickBot="1">
      <c r="A2" s="56"/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9"/>
    </row>
    <row r="3" spans="1:17" s="1" customFormat="1" ht="12.75" customHeight="1">
      <c r="A3" s="60" t="s">
        <v>290</v>
      </c>
      <c r="B3" s="67" t="s">
        <v>0</v>
      </c>
      <c r="C3" s="62" t="s">
        <v>291</v>
      </c>
      <c r="D3" s="62" t="s">
        <v>6</v>
      </c>
      <c r="E3" s="46" t="s">
        <v>292</v>
      </c>
      <c r="F3" s="64" t="s">
        <v>5</v>
      </c>
      <c r="G3" s="64" t="s">
        <v>288</v>
      </c>
      <c r="H3" s="64"/>
      <c r="I3" s="64"/>
      <c r="J3" s="64"/>
      <c r="K3" s="64" t="s">
        <v>289</v>
      </c>
      <c r="L3" s="64"/>
      <c r="M3" s="64"/>
      <c r="N3" s="64"/>
      <c r="O3" s="46" t="s">
        <v>1</v>
      </c>
      <c r="P3" s="46" t="s">
        <v>3</v>
      </c>
      <c r="Q3" s="48" t="s">
        <v>2</v>
      </c>
    </row>
    <row r="4" spans="1:17" s="1" customFormat="1" ht="21" customHeight="1" thickBot="1">
      <c r="A4" s="61"/>
      <c r="B4" s="68"/>
      <c r="C4" s="63"/>
      <c r="D4" s="63"/>
      <c r="E4" s="47"/>
      <c r="F4" s="63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7"/>
      <c r="P4" s="47"/>
      <c r="Q4" s="49"/>
    </row>
    <row r="5" spans="1:17" ht="16">
      <c r="A5" s="50" t="s">
        <v>45</v>
      </c>
      <c r="B5" s="50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17">
      <c r="A6" s="32" t="s">
        <v>83</v>
      </c>
      <c r="B6" s="7" t="s">
        <v>200</v>
      </c>
      <c r="C6" s="7" t="s">
        <v>251</v>
      </c>
      <c r="D6" s="7" t="s">
        <v>181</v>
      </c>
      <c r="E6" s="8" t="s">
        <v>299</v>
      </c>
      <c r="F6" s="7" t="s">
        <v>244</v>
      </c>
      <c r="G6" s="31" t="s">
        <v>16</v>
      </c>
      <c r="H6" s="31" t="s">
        <v>18</v>
      </c>
      <c r="I6" s="30" t="s">
        <v>36</v>
      </c>
      <c r="J6" s="32"/>
      <c r="K6" s="31" t="s">
        <v>25</v>
      </c>
      <c r="L6" s="31" t="s">
        <v>99</v>
      </c>
      <c r="M6" s="30" t="s">
        <v>104</v>
      </c>
      <c r="N6" s="32"/>
      <c r="O6" s="9" t="str">
        <f>"170,0"</f>
        <v>170,0</v>
      </c>
      <c r="P6" s="9" t="str">
        <f>"122,0594"</f>
        <v>122,0594</v>
      </c>
      <c r="Q6" s="7"/>
    </row>
    <row r="8" spans="1:17" ht="16">
      <c r="A8" s="65" t="s">
        <v>51</v>
      </c>
      <c r="B8" s="65"/>
      <c r="C8" s="65"/>
      <c r="D8" s="65"/>
      <c r="E8" s="66"/>
      <c r="F8" s="65"/>
      <c r="G8" s="65"/>
      <c r="H8" s="65"/>
      <c r="I8" s="65"/>
      <c r="J8" s="65"/>
      <c r="K8" s="65"/>
      <c r="L8" s="65"/>
      <c r="M8" s="65"/>
      <c r="N8" s="65"/>
    </row>
    <row r="9" spans="1:17">
      <c r="A9" s="32" t="s">
        <v>83</v>
      </c>
      <c r="B9" s="7" t="s">
        <v>242</v>
      </c>
      <c r="C9" s="7" t="s">
        <v>252</v>
      </c>
      <c r="D9" s="7" t="s">
        <v>237</v>
      </c>
      <c r="E9" s="8" t="s">
        <v>299</v>
      </c>
      <c r="F9" s="7" t="s">
        <v>244</v>
      </c>
      <c r="G9" s="31" t="s">
        <v>243</v>
      </c>
      <c r="H9" s="31" t="s">
        <v>18</v>
      </c>
      <c r="I9" s="30" t="s">
        <v>35</v>
      </c>
      <c r="J9" s="32"/>
      <c r="K9" s="31" t="s">
        <v>99</v>
      </c>
      <c r="L9" s="31" t="s">
        <v>48</v>
      </c>
      <c r="M9" s="31" t="s">
        <v>32</v>
      </c>
      <c r="N9" s="32"/>
      <c r="O9" s="9" t="str">
        <f>"180,0"</f>
        <v>180,0</v>
      </c>
      <c r="P9" s="9" t="str">
        <f>"104,9940"</f>
        <v>104,9940</v>
      </c>
      <c r="Q9" s="7" t="s">
        <v>238</v>
      </c>
    </row>
  </sheetData>
  <mergeCells count="14">
    <mergeCell ref="A8:N8"/>
    <mergeCell ref="B3:B4"/>
    <mergeCell ref="O3:O4"/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IPL ПЛ без экипировки ДК</vt:lpstr>
      <vt:lpstr>IPL ПЛ без экипировки</vt:lpstr>
      <vt:lpstr>IPL ПЛ в бинтах</vt:lpstr>
      <vt:lpstr>IPL Присед без экипировки ДК</vt:lpstr>
      <vt:lpstr>IPL Жим без экипировки ДК</vt:lpstr>
      <vt:lpstr>IPL Жим без экипировки</vt:lpstr>
      <vt:lpstr>IPL Тяга без экипировки ДК</vt:lpstr>
      <vt:lpstr>IPL Тяга без экипировки</vt:lpstr>
      <vt:lpstr>СПР Пауэрспорт ДК</vt:lpstr>
      <vt:lpstr>СПР Жим стоя ДК</vt:lpstr>
      <vt:lpstr>СПР Подъем на бицепс ДК</vt:lpstr>
      <vt:lpstr>СПР Подъем на бицепс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2023-04-06T15:37:32Z</dcterms:modified>
</cp:coreProperties>
</file>