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Апрель/"/>
    </mc:Choice>
  </mc:AlternateContent>
  <xr:revisionPtr revIDLastSave="0" documentId="13_ncr:1_{EF1184DB-9C2D-3846-A00C-E2047D363D26}" xr6:coauthVersionLast="45" xr6:coauthVersionMax="45" xr10:uidLastSave="{00000000-0000-0000-0000-000000000000}"/>
  <bookViews>
    <workbookView xWindow="480" yWindow="460" windowWidth="27520" windowHeight="16060" firstSheet="6" activeTab="11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5" r:id="rId5"/>
    <sheet name="WRPF Жим лежа без экип ДК" sheetId="10" r:id="rId6"/>
    <sheet name="WRPF Жим лежа без экип" sheetId="9" r:id="rId7"/>
    <sheet name="WRPF Военный жим ДК" sheetId="12" r:id="rId8"/>
    <sheet name="WRPF Тяга без экипировки ДК" sheetId="14" r:id="rId9"/>
    <sheet name="WRPF Тяга без экипировки" sheetId="13" r:id="rId10"/>
    <sheet name="WRPF Подъем на бицепс ДК" sheetId="17" r:id="rId11"/>
    <sheet name="WRPF Подъем на бицепс" sheetId="16" r:id="rId12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17" l="1"/>
  <c r="K17" i="17"/>
  <c r="L14" i="17"/>
  <c r="K14" i="17"/>
  <c r="L11" i="17"/>
  <c r="K11" i="17"/>
  <c r="L10" i="17"/>
  <c r="K10" i="17"/>
  <c r="L9" i="17"/>
  <c r="K9" i="17"/>
  <c r="L6" i="17"/>
  <c r="K6" i="17"/>
  <c r="L24" i="16"/>
  <c r="K24" i="16"/>
  <c r="L23" i="16"/>
  <c r="K23" i="16"/>
  <c r="L20" i="16"/>
  <c r="K20" i="16"/>
  <c r="L19" i="16"/>
  <c r="K19" i="16"/>
  <c r="L16" i="16"/>
  <c r="K16" i="16"/>
  <c r="L13" i="16"/>
  <c r="K13" i="16"/>
  <c r="L12" i="16"/>
  <c r="K12" i="16"/>
  <c r="L9" i="16"/>
  <c r="K9" i="16"/>
  <c r="L6" i="16"/>
  <c r="K6" i="16"/>
  <c r="P6" i="15"/>
  <c r="O6" i="15"/>
  <c r="L27" i="14"/>
  <c r="K27" i="14"/>
  <c r="L24" i="14"/>
  <c r="K24" i="14"/>
  <c r="L23" i="14"/>
  <c r="K23" i="14"/>
  <c r="L22" i="14"/>
  <c r="K22" i="14"/>
  <c r="L19" i="14"/>
  <c r="K19" i="14"/>
  <c r="L16" i="14"/>
  <c r="K16" i="14"/>
  <c r="L15" i="14"/>
  <c r="K15" i="14"/>
  <c r="L12" i="14"/>
  <c r="K12" i="14"/>
  <c r="L9" i="14"/>
  <c r="K9" i="14"/>
  <c r="L6" i="14"/>
  <c r="K6" i="14"/>
  <c r="L26" i="13"/>
  <c r="K26" i="13"/>
  <c r="L23" i="13"/>
  <c r="K23" i="13"/>
  <c r="L22" i="13"/>
  <c r="K22" i="13"/>
  <c r="L19" i="13"/>
  <c r="K19" i="13"/>
  <c r="L16" i="13"/>
  <c r="K16" i="13"/>
  <c r="L15" i="13"/>
  <c r="K15" i="13"/>
  <c r="L12" i="13"/>
  <c r="K12" i="13"/>
  <c r="L9" i="13"/>
  <c r="K9" i="13"/>
  <c r="L6" i="13"/>
  <c r="K6" i="13"/>
  <c r="L12" i="12"/>
  <c r="K12" i="12"/>
  <c r="L9" i="12"/>
  <c r="K9" i="12"/>
  <c r="L6" i="12"/>
  <c r="K6" i="12"/>
  <c r="L48" i="10"/>
  <c r="K48" i="10"/>
  <c r="L47" i="10"/>
  <c r="K47" i="10"/>
  <c r="L46" i="10"/>
  <c r="K46" i="10"/>
  <c r="L45" i="10"/>
  <c r="K45" i="10"/>
  <c r="L44" i="10"/>
  <c r="K44" i="10"/>
  <c r="L41" i="10"/>
  <c r="K41" i="10"/>
  <c r="L40" i="10"/>
  <c r="K40" i="10"/>
  <c r="L39" i="10"/>
  <c r="K39" i="10"/>
  <c r="L36" i="10"/>
  <c r="K36" i="10"/>
  <c r="L35" i="10"/>
  <c r="K35" i="10"/>
  <c r="L32" i="10"/>
  <c r="K32" i="10"/>
  <c r="L31" i="10"/>
  <c r="K31" i="10"/>
  <c r="L30" i="10"/>
  <c r="K30" i="10"/>
  <c r="L29" i="10"/>
  <c r="K29" i="10"/>
  <c r="L28" i="10"/>
  <c r="K28" i="10"/>
  <c r="L25" i="10"/>
  <c r="K25" i="10"/>
  <c r="L24" i="10"/>
  <c r="K24" i="10"/>
  <c r="L23" i="10"/>
  <c r="L22" i="10"/>
  <c r="K22" i="10"/>
  <c r="L21" i="10"/>
  <c r="K21" i="10"/>
  <c r="L20" i="10"/>
  <c r="K20" i="10"/>
  <c r="L19" i="10"/>
  <c r="K19" i="10"/>
  <c r="L18" i="10"/>
  <c r="K18" i="10"/>
  <c r="L15" i="10"/>
  <c r="K15" i="10"/>
  <c r="L14" i="10"/>
  <c r="L13" i="10"/>
  <c r="K13" i="10"/>
  <c r="L12" i="10"/>
  <c r="K12" i="10"/>
  <c r="L9" i="10"/>
  <c r="K9" i="10"/>
  <c r="L6" i="10"/>
  <c r="K6" i="10"/>
  <c r="L30" i="9"/>
  <c r="K30" i="9"/>
  <c r="L27" i="9"/>
  <c r="K27" i="9"/>
  <c r="L26" i="9"/>
  <c r="L25" i="9"/>
  <c r="K25" i="9"/>
  <c r="L24" i="9"/>
  <c r="K24" i="9"/>
  <c r="L23" i="9"/>
  <c r="K23" i="9"/>
  <c r="L20" i="9"/>
  <c r="K20" i="9"/>
  <c r="L19" i="9"/>
  <c r="K19" i="9"/>
  <c r="L18" i="9"/>
  <c r="K18" i="9"/>
  <c r="L17" i="9"/>
  <c r="K17" i="9"/>
  <c r="L14" i="9"/>
  <c r="K14" i="9"/>
  <c r="L13" i="9"/>
  <c r="K13" i="9"/>
  <c r="L10" i="9"/>
  <c r="K10" i="9"/>
  <c r="L7" i="9"/>
  <c r="K7" i="9"/>
  <c r="L6" i="9"/>
  <c r="K6" i="9"/>
  <c r="T16" i="8"/>
  <c r="S16" i="8"/>
  <c r="T15" i="8"/>
  <c r="S15" i="8"/>
  <c r="T12" i="8"/>
  <c r="S12" i="8"/>
  <c r="T9" i="8"/>
  <c r="S9" i="8"/>
  <c r="T6" i="8"/>
  <c r="S6" i="8"/>
  <c r="T22" i="7"/>
  <c r="S22" i="7"/>
  <c r="T21" i="7"/>
  <c r="S21" i="7"/>
  <c r="T18" i="7"/>
  <c r="S18" i="7"/>
  <c r="T15" i="7"/>
  <c r="S15" i="7"/>
  <c r="T12" i="7"/>
  <c r="S12" i="7"/>
  <c r="T9" i="7"/>
  <c r="S9" i="7"/>
  <c r="T6" i="7"/>
  <c r="S6" i="7"/>
  <c r="T15" i="6"/>
  <c r="S15" i="6"/>
  <c r="T12" i="6"/>
  <c r="S12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<sst xmlns="http://schemas.openxmlformats.org/spreadsheetml/2006/main" count="1254" uniqueCount="372">
  <si>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</si>
  <si>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</si>
  <si>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</si>
  <si>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</si>
  <si>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</si>
  <si>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</si>
  <si>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</si>
  <si>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</si>
  <si>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</si>
  <si>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</si>
  <si>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82.5</t>
  </si>
  <si>
    <t>Открытая (09.09.1983)/39</t>
  </si>
  <si>
    <t>81,70</t>
  </si>
  <si>
    <t xml:space="preserve">Карымское/Забайкальский край </t>
  </si>
  <si>
    <t>230,0</t>
  </si>
  <si>
    <t>240,0</t>
  </si>
  <si>
    <t>250,0</t>
  </si>
  <si>
    <t>170,0</t>
  </si>
  <si>
    <t>180,0</t>
  </si>
  <si>
    <t>182,5</t>
  </si>
  <si>
    <t>270,0</t>
  </si>
  <si>
    <t>280,0</t>
  </si>
  <si>
    <t>290,0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</si>
  <si>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</si>
  <si>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</si>
  <si>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</si>
  <si>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</si>
  <si>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</si>
  <si>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</si>
  <si>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82.5</t>
  </si>
  <si>
    <t>1</t>
  </si>
  <si>
    <t>Семенов Дмитрий</t>
  </si>
  <si>
    <t>ВЕСОВАЯ КАТЕГОРИЯ   67.5</t>
  </si>
  <si>
    <t>Мастера 40-49 (10.02.1980)/43</t>
  </si>
  <si>
    <t>66,00</t>
  </si>
  <si>
    <t>90,0</t>
  </si>
  <si>
    <t>100,0</t>
  </si>
  <si>
    <t>105,0</t>
  </si>
  <si>
    <t>47,5</t>
  </si>
  <si>
    <t>50,0</t>
  </si>
  <si>
    <t>52,5</t>
  </si>
  <si>
    <t>ВЕСОВАЯ КАТЕГОРИЯ   60</t>
  </si>
  <si>
    <t>Открытая (27.09.1986)/36</t>
  </si>
  <si>
    <t>60,00</t>
  </si>
  <si>
    <t xml:space="preserve">Чита/Забайкальский край </t>
  </si>
  <si>
    <t>110,0</t>
  </si>
  <si>
    <t>120,0</t>
  </si>
  <si>
    <t>55,0</t>
  </si>
  <si>
    <t>60,0</t>
  </si>
  <si>
    <t>65,0</t>
  </si>
  <si>
    <t>130,0</t>
  </si>
  <si>
    <t>Открытая (21.05.2004)/18</t>
  </si>
  <si>
    <t>81,80</t>
  </si>
  <si>
    <t xml:space="preserve">Чернышевск/Забайкальский край </t>
  </si>
  <si>
    <t>200,0</t>
  </si>
  <si>
    <t>220,0</t>
  </si>
  <si>
    <t>115,0</t>
  </si>
  <si>
    <t>125,0</t>
  </si>
  <si>
    <t>ВЕСОВАЯ КАТЕГОРИЯ   100</t>
  </si>
  <si>
    <t>Открытая (13.11.1990)/32</t>
  </si>
  <si>
    <t>92,70</t>
  </si>
  <si>
    <t>150,0</t>
  </si>
  <si>
    <t>160,0</t>
  </si>
  <si>
    <t>107,5</t>
  </si>
  <si>
    <t>185,0</t>
  </si>
  <si>
    <t>Супрун Ирина</t>
  </si>
  <si>
    <t>Гомбоева Алёна</t>
  </si>
  <si>
    <t>Наринян Серж</t>
  </si>
  <si>
    <t>Жилин Иван</t>
  </si>
  <si>
    <t>ВЕСОВАЯ КАТЕГОРИЯ   52</t>
  </si>
  <si>
    <t>Открытая (25.03.1984)/39</t>
  </si>
  <si>
    <t>49,30</t>
  </si>
  <si>
    <t>70,0</t>
  </si>
  <si>
    <t>75,0</t>
  </si>
  <si>
    <t>35,0</t>
  </si>
  <si>
    <t>37,5</t>
  </si>
  <si>
    <t>40,0</t>
  </si>
  <si>
    <t>85,0</t>
  </si>
  <si>
    <t>95,0</t>
  </si>
  <si>
    <t>Открытая (31.10.1988)/34</t>
  </si>
  <si>
    <t>67,30</t>
  </si>
  <si>
    <t>117,5</t>
  </si>
  <si>
    <t>190,0</t>
  </si>
  <si>
    <t>210,0</t>
  </si>
  <si>
    <t>ВЕСОВАЯ КАТЕГОРИЯ   75</t>
  </si>
  <si>
    <t>Юноши 17-19 (27.03.2005)/18</t>
  </si>
  <si>
    <t>72,00</t>
  </si>
  <si>
    <t>142,5</t>
  </si>
  <si>
    <t>77,5</t>
  </si>
  <si>
    <t>ВЕСОВАЯ КАТЕГОРИЯ   90</t>
  </si>
  <si>
    <t>Мастера 50-59 (12.08.1969)/53</t>
  </si>
  <si>
    <t>89,40</t>
  </si>
  <si>
    <t>Открытая (09.09.1990)/32</t>
  </si>
  <si>
    <t>95,90</t>
  </si>
  <si>
    <t xml:space="preserve">Братск/Иркутская область </t>
  </si>
  <si>
    <t>135,0</t>
  </si>
  <si>
    <t>140,0</t>
  </si>
  <si>
    <t>ВЕСОВАЯ КАТЕГОРИЯ   125</t>
  </si>
  <si>
    <t>Открытая (05.10.1991)/31</t>
  </si>
  <si>
    <t>118,00</t>
  </si>
  <si>
    <t>137,5</t>
  </si>
  <si>
    <t>192,5</t>
  </si>
  <si>
    <t>205,0</t>
  </si>
  <si>
    <t>Открытая (19.06.1987)/35</t>
  </si>
  <si>
    <t>115,00</t>
  </si>
  <si>
    <t>145,0</t>
  </si>
  <si>
    <t>152,5</t>
  </si>
  <si>
    <t>197,5</t>
  </si>
  <si>
    <t>Охрема Екатерина</t>
  </si>
  <si>
    <t>Аствацатрян Варданес</t>
  </si>
  <si>
    <t>Дроботушенко Егор</t>
  </si>
  <si>
    <t>Трубников Александр</t>
  </si>
  <si>
    <t>Хайбуллин Сергей</t>
  </si>
  <si>
    <t>Лосев Даниил</t>
  </si>
  <si>
    <t>2</t>
  </si>
  <si>
    <t>Кузнецов Дмитрий</t>
  </si>
  <si>
    <t>Открытая (09.05.1988)/34</t>
  </si>
  <si>
    <t>51,10</t>
  </si>
  <si>
    <t>45,0</t>
  </si>
  <si>
    <t>Открытая (03.08.1982)/40</t>
  </si>
  <si>
    <t>58,50</t>
  </si>
  <si>
    <t>112,5</t>
  </si>
  <si>
    <t>102,5</t>
  </si>
  <si>
    <t>Открытая (24.07.1993)/29</t>
  </si>
  <si>
    <t>195,0</t>
  </si>
  <si>
    <t>Открытая (29.04.2003)/19</t>
  </si>
  <si>
    <t>87,00</t>
  </si>
  <si>
    <t>132,5</t>
  </si>
  <si>
    <t>165,0</t>
  </si>
  <si>
    <t>175,0</t>
  </si>
  <si>
    <t>Открытая (30.03.1995)/28</t>
  </si>
  <si>
    <t>90,00</t>
  </si>
  <si>
    <t>Аствацатрян Екатерина</t>
  </si>
  <si>
    <t>Базалеева Оксана</t>
  </si>
  <si>
    <t>Кравцов Виктор</t>
  </si>
  <si>
    <t>Болдырев Андрей</t>
  </si>
  <si>
    <t>Беломестнов Владислав</t>
  </si>
  <si>
    <t>Открытая (12.01.1971)/52</t>
  </si>
  <si>
    <t>74,00</t>
  </si>
  <si>
    <t>Мастера 50-59 (12.01.1971)/52</t>
  </si>
  <si>
    <t>Юноши 17-19 (26.04.2005)/17</t>
  </si>
  <si>
    <t>71,00</t>
  </si>
  <si>
    <t>82,5</t>
  </si>
  <si>
    <t>Открытая (27.04.1962)/60</t>
  </si>
  <si>
    <t>155,0</t>
  </si>
  <si>
    <t>Мастера 60-69 (27.04.1962)/60</t>
  </si>
  <si>
    <t>Юноши 17-19 (23.07.2005)/17</t>
  </si>
  <si>
    <t>95,50</t>
  </si>
  <si>
    <t>Открытая (09.11.1994)/28</t>
  </si>
  <si>
    <t>92,80</t>
  </si>
  <si>
    <t xml:space="preserve">Ягодин Кирилл </t>
  </si>
  <si>
    <t>Открытая (30.09.1992)/30</t>
  </si>
  <si>
    <t>95,00</t>
  </si>
  <si>
    <t>Открытая (28.04.1967)/55</t>
  </si>
  <si>
    <t>93,50</t>
  </si>
  <si>
    <t>ВЕСОВАЯ КАТЕГОРИЯ   110</t>
  </si>
  <si>
    <t>Открытая (04.08.1992)/30</t>
  </si>
  <si>
    <t>109,00</t>
  </si>
  <si>
    <t>217,5</t>
  </si>
  <si>
    <t>225,0</t>
  </si>
  <si>
    <t xml:space="preserve">Николаев Иван </t>
  </si>
  <si>
    <t>Открытая (24.10.1989)/33</t>
  </si>
  <si>
    <t>207,5</t>
  </si>
  <si>
    <t xml:space="preserve">Пешков Дмитрий </t>
  </si>
  <si>
    <t>Открытая (06.07.1991)/31</t>
  </si>
  <si>
    <t>108,00</t>
  </si>
  <si>
    <t xml:space="preserve">Приаргунск/Забайкальский край </t>
  </si>
  <si>
    <t>Открытая (16.02.1987)/36</t>
  </si>
  <si>
    <t>105,90</t>
  </si>
  <si>
    <t>Мастера 50-59 (23.05.1965)/57</t>
  </si>
  <si>
    <t>106,00</t>
  </si>
  <si>
    <t>Юноши 17-19 (29.03.2005)/18</t>
  </si>
  <si>
    <t>117,00</t>
  </si>
  <si>
    <t xml:space="preserve">Результат </t>
  </si>
  <si>
    <t>110</t>
  </si>
  <si>
    <t>Результат</t>
  </si>
  <si>
    <t>Номероцкая Юлия</t>
  </si>
  <si>
    <t>Овчинников Андрей</t>
  </si>
  <si>
    <t>Федоров Сергей</t>
  </si>
  <si>
    <t>Пермяков Алексей</t>
  </si>
  <si>
    <t>Чернаков Денис</t>
  </si>
  <si>
    <t>Варванский Сергей</t>
  </si>
  <si>
    <t>3</t>
  </si>
  <si>
    <t>Бачек Борис</t>
  </si>
  <si>
    <t>Ягодин Кирилл</t>
  </si>
  <si>
    <t>Николаев Иван</t>
  </si>
  <si>
    <t>Пешков Дмитрий</t>
  </si>
  <si>
    <t>-</t>
  </si>
  <si>
    <t>Скажутин Роман</t>
  </si>
  <si>
    <t>Цильке Николай</t>
  </si>
  <si>
    <t>Ануфриев Захар</t>
  </si>
  <si>
    <t>ВЕСОВАЯ КАТЕГОРИЯ   56</t>
  </si>
  <si>
    <t>Открытая (04.02.1993)/30</t>
  </si>
  <si>
    <t>55,70</t>
  </si>
  <si>
    <t>Юноши 14-16 (25.05.2007)/15</t>
  </si>
  <si>
    <t>66,20</t>
  </si>
  <si>
    <t>Юноши 17-19 (19.03.2006)/17</t>
  </si>
  <si>
    <t>63,40</t>
  </si>
  <si>
    <t>Юноши 17-19 (13.06.2005)/17</t>
  </si>
  <si>
    <t>66,80</t>
  </si>
  <si>
    <t>Открытая (16.01.1997)/26</t>
  </si>
  <si>
    <t>66,30</t>
  </si>
  <si>
    <t xml:space="preserve">Нерчинск/Забайкальский край </t>
  </si>
  <si>
    <t>Юноши 17-19 (18.08.2004)/18</t>
  </si>
  <si>
    <t>72,70</t>
  </si>
  <si>
    <t>Открытая (16.05.1993)/29</t>
  </si>
  <si>
    <t>72,90</t>
  </si>
  <si>
    <t>122,5</t>
  </si>
  <si>
    <t>Открытая (18.12.1988)/34</t>
  </si>
  <si>
    <t>74,40</t>
  </si>
  <si>
    <t>Открытая (02.01.1989)/34</t>
  </si>
  <si>
    <t>68,70</t>
  </si>
  <si>
    <t>80,0</t>
  </si>
  <si>
    <t>Открытая (23.02.1986)/37</t>
  </si>
  <si>
    <t>70,80</t>
  </si>
  <si>
    <t>Открытая (14.01.1992)/31</t>
  </si>
  <si>
    <t>71,40</t>
  </si>
  <si>
    <t>Мастера 40-49 (24.04.1975)/47</t>
  </si>
  <si>
    <t>74,50</t>
  </si>
  <si>
    <t>Мастера 50-59 (21.09.1964)/58</t>
  </si>
  <si>
    <t>74,90</t>
  </si>
  <si>
    <t>92,5</t>
  </si>
  <si>
    <t>Юноши 14-16 (10.02.2007)/16</t>
  </si>
  <si>
    <t>79,30</t>
  </si>
  <si>
    <t>Юноши 17-19 (01.07.2004)/18</t>
  </si>
  <si>
    <t>80,40</t>
  </si>
  <si>
    <t>127,5</t>
  </si>
  <si>
    <t xml:space="preserve">Сачук Антон </t>
  </si>
  <si>
    <t>Открытая (11.07.1983)/39</t>
  </si>
  <si>
    <t>81,60</t>
  </si>
  <si>
    <t>Открытая (12.08.1992)/30</t>
  </si>
  <si>
    <t>Открытая (27.07.1996)/26</t>
  </si>
  <si>
    <t>89,20</t>
  </si>
  <si>
    <t xml:space="preserve">Борзя/Забайкальский край </t>
  </si>
  <si>
    <t>Открытая (31.01.1987)/36</t>
  </si>
  <si>
    <t>89,50</t>
  </si>
  <si>
    <t>Мастера 40-49 (09.02.1980)/43</t>
  </si>
  <si>
    <t>100,00</t>
  </si>
  <si>
    <t>Мастера 50-59 (28.04.1967)/55</t>
  </si>
  <si>
    <t>Мастера 60-69 (26.07.1956)/66</t>
  </si>
  <si>
    <t>93,00</t>
  </si>
  <si>
    <t xml:space="preserve">Зайцев Артем </t>
  </si>
  <si>
    <t>Открытая (30.10.1990)/32</t>
  </si>
  <si>
    <t>110,00</t>
  </si>
  <si>
    <t>167,5</t>
  </si>
  <si>
    <t xml:space="preserve">Потехин Павел </t>
  </si>
  <si>
    <t>Открытая (26.06.1990)/32</t>
  </si>
  <si>
    <t>108,80</t>
  </si>
  <si>
    <t>147,5</t>
  </si>
  <si>
    <t>Мастера 40-49 (23.06.1982)/40</t>
  </si>
  <si>
    <t>107,90</t>
  </si>
  <si>
    <t>Мастера 50-59 (01.03.1972)/51</t>
  </si>
  <si>
    <t>109,50</t>
  </si>
  <si>
    <t>Мастера 50-59 (09.03.1973)/50</t>
  </si>
  <si>
    <t>108,40</t>
  </si>
  <si>
    <t>Винтоняк Юлия</t>
  </si>
  <si>
    <t>Наринян Майк</t>
  </si>
  <si>
    <t>Ильин Дмитрий</t>
  </si>
  <si>
    <t>Булышев Илья</t>
  </si>
  <si>
    <t>Белоносов Роман</t>
  </si>
  <si>
    <t>Гордеев Егор</t>
  </si>
  <si>
    <t>Казанцев Денис</t>
  </si>
  <si>
    <t>Альмаков Сергей</t>
  </si>
  <si>
    <t>Шарипов Даниль</t>
  </si>
  <si>
    <t>4</t>
  </si>
  <si>
    <t>Алиев Олег</t>
  </si>
  <si>
    <t>Телешев Алексей</t>
  </si>
  <si>
    <t>Абдуллаев Арсений</t>
  </si>
  <si>
    <t>Софронов Николай</t>
  </si>
  <si>
    <t>Лахнов Арсений</t>
  </si>
  <si>
    <t>Архипов Антон</t>
  </si>
  <si>
    <t>Сачук Антон</t>
  </si>
  <si>
    <t>Князев Владислав</t>
  </si>
  <si>
    <t>Сластихин Дмитрий</t>
  </si>
  <si>
    <t>Устюжанин Александр</t>
  </si>
  <si>
    <t>Паздников Олег</t>
  </si>
  <si>
    <t>Войтенко Владимир</t>
  </si>
  <si>
    <t>Зайцев Артем</t>
  </si>
  <si>
    <t>Потехин Павел</t>
  </si>
  <si>
    <t>Забелин Яков</t>
  </si>
  <si>
    <t>Зубричев Алексей</t>
  </si>
  <si>
    <t>Прокофьев Валерий</t>
  </si>
  <si>
    <t>Открытая (12.01.1987)/36</t>
  </si>
  <si>
    <t>56,00</t>
  </si>
  <si>
    <t>Юноши 14-16 (19.11.2008)/14</t>
  </si>
  <si>
    <t>61,00</t>
  </si>
  <si>
    <t>Открытая (26.07.1986)/36</t>
  </si>
  <si>
    <t>75,80</t>
  </si>
  <si>
    <t>Открытая (05.02.1993)/30</t>
  </si>
  <si>
    <t>305,0</t>
  </si>
  <si>
    <t>325,0</t>
  </si>
  <si>
    <t>300,0</t>
  </si>
  <si>
    <t>Сергеева Елена</t>
  </si>
  <si>
    <t>Макаров Даниил</t>
  </si>
  <si>
    <t>Петушков Евгений</t>
  </si>
  <si>
    <t>Яковлев Николай</t>
  </si>
  <si>
    <t>Открытая (24.04.1989)/33</t>
  </si>
  <si>
    <t>59,30</t>
  </si>
  <si>
    <t>Мастера 50-59 (03.10.1968)/54</t>
  </si>
  <si>
    <t>65,10</t>
  </si>
  <si>
    <t>Открытая (11.12.1995)/27</t>
  </si>
  <si>
    <t>78,80</t>
  </si>
  <si>
    <t>Открытая (09.03.1987)/36</t>
  </si>
  <si>
    <t>215,0</t>
  </si>
  <si>
    <t>ВЕСОВАЯ КАТЕГОРИЯ   140</t>
  </si>
  <si>
    <t>Открытая (09.08.1994)/28</t>
  </si>
  <si>
    <t>140,00</t>
  </si>
  <si>
    <t>202,5</t>
  </si>
  <si>
    <t>Бритвина Людмила</t>
  </si>
  <si>
    <t>Трухина Виктория</t>
  </si>
  <si>
    <t>Нечаев Иван</t>
  </si>
  <si>
    <t>Бурд Константин</t>
  </si>
  <si>
    <t>Эйсмонт Иван</t>
  </si>
  <si>
    <t>57,30</t>
  </si>
  <si>
    <t>69,00</t>
  </si>
  <si>
    <t>67,5</t>
  </si>
  <si>
    <t>Открытая (07.11.2004)/18</t>
  </si>
  <si>
    <t>72,5</t>
  </si>
  <si>
    <t>62,5</t>
  </si>
  <si>
    <t>107,00</t>
  </si>
  <si>
    <t>Дашинимаев Билиг</t>
  </si>
  <si>
    <t>Таракановский Михаил</t>
  </si>
  <si>
    <t>Смирнов Сергей</t>
  </si>
  <si>
    <t>66,25</t>
  </si>
  <si>
    <t>72,85</t>
  </si>
  <si>
    <t>74,35</t>
  </si>
  <si>
    <t>Открытая (07.06.1992)/30</t>
  </si>
  <si>
    <t>80,00</t>
  </si>
  <si>
    <t>Омельченко Евгений</t>
  </si>
  <si>
    <t>Ловцов И.</t>
  </si>
  <si>
    <t>Мик С.</t>
  </si>
  <si>
    <t xml:space="preserve">Дедков В. </t>
  </si>
  <si>
    <t>Семенов Д.</t>
  </si>
  <si>
    <t xml:space="preserve">Александрова Н. </t>
  </si>
  <si>
    <t>Трухин В.</t>
  </si>
  <si>
    <t xml:space="preserve">Ягодин К. </t>
  </si>
  <si>
    <t xml:space="preserve">Непотюк А. </t>
  </si>
  <si>
    <t>Балданов Б.</t>
  </si>
  <si>
    <t>Телешев А.</t>
  </si>
  <si>
    <t>Открытый мастерский турнир «King of Iron»
WRPF Пауэрлифтинг без экипировки ДК
Чита/Забайкальский край, 22 апреля 2023 года</t>
  </si>
  <si>
    <t>Открытый мастерский турнир «King of Iron»
WRPF Пауэрлифтинг без экипировки
Чита/Забайкальский край, 22 апреля 2023 года</t>
  </si>
  <si>
    <t>Открытый мастерский турнир «King of Iron»
WRPF Пауэрлифтинг классический в бинтах ДК
Чита/Забайкальский край, 22 апреля 2023 года</t>
  </si>
  <si>
    <t>Открытый мастерский турнир «King of Iron»
WRPF Пауэрлифтинг классический в бинтах
Чита/Забайкальский край, 22 апреля 2023 года</t>
  </si>
  <si>
    <t>Открытый мастерский турнир «King of Iron»
WRPF Силовое двоеборье без экипировки ДК
Чита/Забайкальский край, 22 апреля 2023 года</t>
  </si>
  <si>
    <t>Открытый мастерский турнир «King of Iron»
WRPF Жим лежа без экипировки ДК
Чита/Забайкальский край, 22 апреля 2023 года</t>
  </si>
  <si>
    <t>Открытый мастерский турнир «King of Iron»
WRPF Жим лежа без экипировки
Чита/Забайкальский край, 22 апреля 2023 года</t>
  </si>
  <si>
    <t>Открытый мастерский турнир «King of Iron»
WRPF Военный жим лежа с ДК
Чита/Забайкальский край, 22 апреля 2023 года</t>
  </si>
  <si>
    <t>Открытый мастерский турнир «King of Iron»
WRPF Становая тяга без экипировки ДК
Чита/Забайкальский край, 22 апреля 2023 года</t>
  </si>
  <si>
    <t>Открытый мастерский турнир «King of Iron»
WRPF Становая тяга без экипировки
Чита/Забайкальский край, 22 апреля 2023 года</t>
  </si>
  <si>
    <t>Открытый мастерский турнир «King of Iron»
WRPF Строгий подъем штанги на бицепс ДК
Чита/Забайкальский край, 22 апреля 2023 года</t>
  </si>
  <si>
    <t>Открытый мастерский турнир «King of Iron»
WRPF Строгий подъем штанги на бицепс
Чита/Забайкальский край, 22 апреля 2023 года</t>
  </si>
  <si>
    <t xml:space="preserve">Фрей М. </t>
  </si>
  <si>
    <t>Весовая категория</t>
  </si>
  <si>
    <t>Краснокаменск/Забайкальский край</t>
  </si>
  <si>
    <t xml:space="preserve">Мик С. </t>
  </si>
  <si>
    <t>Юноши 13-19 (15.03.2005)/18</t>
  </si>
  <si>
    <t>Юноши 13-19 (19.11.2008)/14</t>
  </si>
  <si>
    <t>Юноши 13-19 (07.11.2004)/18</t>
  </si>
  <si>
    <t>Мастера 40-49 (02.06.1976)/46</t>
  </si>
  <si>
    <t>Даурия /Забайкальский край</t>
  </si>
  <si>
    <t xml:space="preserve">Никитин Д. </t>
  </si>
  <si>
    <t>Жим</t>
  </si>
  <si>
    <t>№</t>
  </si>
  <si>
    <t xml:space="preserve">
Дата рождения/Возраст</t>
  </si>
  <si>
    <t>Возрастная группа</t>
  </si>
  <si>
    <t>O</t>
  </si>
  <si>
    <t>T2</t>
  </si>
  <si>
    <t>M2</t>
  </si>
  <si>
    <t>M1</t>
  </si>
  <si>
    <t>T1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</si>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</sst>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18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2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7.33203125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22.83203125" style="5" customWidth="1"/>
    <col min="22" max="16384" width="9.1640625" style="3"/>
  </cols>
  <sheetData>
    <row r="1" spans="1:21" s="2" customFormat="1" ht="29" customHeight="1">
      <c r="A1" s="52" t="s">
        <v>339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7</v>
      </c>
      <c r="H3" s="64"/>
      <c r="I3" s="64"/>
      <c r="J3" s="64"/>
      <c r="K3" s="64" t="s">
        <v>8</v>
      </c>
      <c r="L3" s="64"/>
      <c r="M3" s="64"/>
      <c r="N3" s="64"/>
      <c r="O3" s="64" t="s">
        <v>9</v>
      </c>
      <c r="P3" s="64"/>
      <c r="Q3" s="64"/>
      <c r="R3" s="64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69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23" t="s">
        <v>30</v>
      </c>
      <c r="B6" s="7" t="s">
        <v>132</v>
      </c>
      <c r="C6" s="7" t="s">
        <v>116</v>
      </c>
      <c r="D6" s="7" t="s">
        <v>117</v>
      </c>
      <c r="E6" s="8" t="s">
        <v>365</v>
      </c>
      <c r="F6" s="7" t="s">
        <v>44</v>
      </c>
      <c r="G6" s="21" t="s">
        <v>35</v>
      </c>
      <c r="H6" s="21" t="s">
        <v>78</v>
      </c>
      <c r="I6" s="22" t="s">
        <v>36</v>
      </c>
      <c r="J6" s="23"/>
      <c r="K6" s="21" t="s">
        <v>118</v>
      </c>
      <c r="L6" s="21" t="s">
        <v>39</v>
      </c>
      <c r="M6" s="22" t="s">
        <v>40</v>
      </c>
      <c r="N6" s="23"/>
      <c r="O6" s="21" t="s">
        <v>35</v>
      </c>
      <c r="P6" s="21" t="s">
        <v>36</v>
      </c>
      <c r="Q6" s="22" t="s">
        <v>63</v>
      </c>
      <c r="R6" s="23"/>
      <c r="S6" s="9" t="str">
        <f>"245,0"</f>
        <v>245,0</v>
      </c>
      <c r="T6" s="9" t="str">
        <f>"309,5575"</f>
        <v>309,5575</v>
      </c>
      <c r="U6" s="7"/>
    </row>
    <row r="8" spans="1:21" ht="16">
      <c r="A8" s="65" t="s">
        <v>41</v>
      </c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23" t="s">
        <v>30</v>
      </c>
      <c r="B9" s="7" t="s">
        <v>133</v>
      </c>
      <c r="C9" s="7" t="s">
        <v>119</v>
      </c>
      <c r="D9" s="7" t="s">
        <v>120</v>
      </c>
      <c r="E9" s="8" t="s">
        <v>365</v>
      </c>
      <c r="F9" s="7" t="s">
        <v>44</v>
      </c>
      <c r="G9" s="21" t="s">
        <v>36</v>
      </c>
      <c r="H9" s="21" t="s">
        <v>63</v>
      </c>
      <c r="I9" s="22" t="s">
        <v>121</v>
      </c>
      <c r="J9" s="23"/>
      <c r="K9" s="21" t="s">
        <v>118</v>
      </c>
      <c r="L9" s="22" t="s">
        <v>39</v>
      </c>
      <c r="M9" s="22" t="s">
        <v>39</v>
      </c>
      <c r="N9" s="23"/>
      <c r="O9" s="21" t="s">
        <v>122</v>
      </c>
      <c r="P9" s="21" t="s">
        <v>63</v>
      </c>
      <c r="Q9" s="22" t="s">
        <v>121</v>
      </c>
      <c r="R9" s="23"/>
      <c r="S9" s="9" t="str">
        <f>"260,0"</f>
        <v>260,0</v>
      </c>
      <c r="T9" s="9" t="str">
        <f>"295,6460"</f>
        <v>295,6460</v>
      </c>
      <c r="U9" s="7" t="s">
        <v>334</v>
      </c>
    </row>
    <row r="11" spans="1:21" ht="16">
      <c r="A11" s="65" t="s">
        <v>10</v>
      </c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1">
      <c r="A12" s="23" t="s">
        <v>30</v>
      </c>
      <c r="B12" s="7" t="s">
        <v>134</v>
      </c>
      <c r="C12" s="7" t="s">
        <v>123</v>
      </c>
      <c r="D12" s="7" t="s">
        <v>52</v>
      </c>
      <c r="E12" s="8" t="s">
        <v>365</v>
      </c>
      <c r="F12" s="7" t="s">
        <v>44</v>
      </c>
      <c r="G12" s="21" t="s">
        <v>17</v>
      </c>
      <c r="H12" s="21" t="s">
        <v>18</v>
      </c>
      <c r="I12" s="22" t="s">
        <v>82</v>
      </c>
      <c r="J12" s="23"/>
      <c r="K12" s="21" t="s">
        <v>57</v>
      </c>
      <c r="L12" s="21" t="s">
        <v>50</v>
      </c>
      <c r="M12" s="22" t="s">
        <v>95</v>
      </c>
      <c r="N12" s="23"/>
      <c r="O12" s="21" t="s">
        <v>64</v>
      </c>
      <c r="P12" s="21" t="s">
        <v>124</v>
      </c>
      <c r="Q12" s="21" t="s">
        <v>102</v>
      </c>
      <c r="R12" s="23"/>
      <c r="S12" s="9" t="str">
        <f>"515,0"</f>
        <v>515,0</v>
      </c>
      <c r="T12" s="9" t="str">
        <f>"346,8010"</f>
        <v>346,8010</v>
      </c>
      <c r="U12" s="7"/>
    </row>
    <row r="14" spans="1:21" ht="16">
      <c r="A14" s="65" t="s">
        <v>89</v>
      </c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21">
      <c r="A15" s="31" t="s">
        <v>30</v>
      </c>
      <c r="B15" s="24" t="s">
        <v>135</v>
      </c>
      <c r="C15" s="24" t="s">
        <v>125</v>
      </c>
      <c r="D15" s="24" t="s">
        <v>126</v>
      </c>
      <c r="E15" s="25" t="s">
        <v>365</v>
      </c>
      <c r="F15" s="24" t="s">
        <v>44</v>
      </c>
      <c r="G15" s="30" t="s">
        <v>82</v>
      </c>
      <c r="H15" s="30" t="s">
        <v>54</v>
      </c>
      <c r="I15" s="30" t="s">
        <v>83</v>
      </c>
      <c r="J15" s="31"/>
      <c r="K15" s="30" t="s">
        <v>57</v>
      </c>
      <c r="L15" s="30" t="s">
        <v>127</v>
      </c>
      <c r="M15" s="30" t="s">
        <v>100</v>
      </c>
      <c r="N15" s="31"/>
      <c r="O15" s="30" t="s">
        <v>128</v>
      </c>
      <c r="P15" s="30" t="s">
        <v>129</v>
      </c>
      <c r="Q15" s="30" t="s">
        <v>64</v>
      </c>
      <c r="R15" s="31"/>
      <c r="S15" s="26" t="str">
        <f>"532,5"</f>
        <v>532,5</v>
      </c>
      <c r="T15" s="26" t="str">
        <f>"346,0718"</f>
        <v>346,0718</v>
      </c>
      <c r="U15" s="24" t="s">
        <v>329</v>
      </c>
    </row>
    <row r="16" spans="1:21">
      <c r="A16" s="33" t="s">
        <v>114</v>
      </c>
      <c r="B16" s="27" t="s">
        <v>136</v>
      </c>
      <c r="C16" s="27" t="s">
        <v>130</v>
      </c>
      <c r="D16" s="27" t="s">
        <v>131</v>
      </c>
      <c r="E16" s="28" t="s">
        <v>365</v>
      </c>
      <c r="F16" s="27" t="s">
        <v>44</v>
      </c>
      <c r="G16" s="34" t="s">
        <v>17</v>
      </c>
      <c r="H16" s="32" t="s">
        <v>17</v>
      </c>
      <c r="I16" s="34" t="s">
        <v>64</v>
      </c>
      <c r="J16" s="33"/>
      <c r="K16" s="32" t="s">
        <v>46</v>
      </c>
      <c r="L16" s="32" t="s">
        <v>50</v>
      </c>
      <c r="M16" s="32" t="s">
        <v>96</v>
      </c>
      <c r="N16" s="33"/>
      <c r="O16" s="32" t="s">
        <v>82</v>
      </c>
      <c r="P16" s="32" t="s">
        <v>83</v>
      </c>
      <c r="Q16" s="32" t="s">
        <v>55</v>
      </c>
      <c r="R16" s="33"/>
      <c r="S16" s="29" t="str">
        <f>"530,0"</f>
        <v>530,0</v>
      </c>
      <c r="T16" s="29" t="str">
        <f>"338,3520"</f>
        <v>338,3520</v>
      </c>
      <c r="U16" s="27" t="s">
        <v>333</v>
      </c>
    </row>
    <row r="18" spans="5:7">
      <c r="E18" s="5"/>
      <c r="F18" s="10"/>
      <c r="G18" s="5"/>
    </row>
  </sheetData>
  <mergeCells count="17">
    <mergeCell ref="A8:R8"/>
    <mergeCell ref="A11:R11"/>
    <mergeCell ref="A14:R14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6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29.6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52" t="s">
        <v>348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9</v>
      </c>
      <c r="H3" s="64"/>
      <c r="I3" s="64"/>
      <c r="J3" s="64"/>
      <c r="K3" s="46" t="s">
        <v>175</v>
      </c>
      <c r="L3" s="46" t="s">
        <v>3</v>
      </c>
      <c r="M3" s="48" t="s">
        <v>2</v>
      </c>
    </row>
    <row r="4" spans="1:13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69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3" t="s">
        <v>30</v>
      </c>
      <c r="B6" s="7" t="s">
        <v>108</v>
      </c>
      <c r="C6" s="7" t="s">
        <v>70</v>
      </c>
      <c r="D6" s="7" t="s">
        <v>71</v>
      </c>
      <c r="E6" s="8" t="s">
        <v>365</v>
      </c>
      <c r="F6" s="7" t="s">
        <v>44</v>
      </c>
      <c r="G6" s="21" t="s">
        <v>77</v>
      </c>
      <c r="H6" s="21" t="s">
        <v>78</v>
      </c>
      <c r="I6" s="21" t="s">
        <v>36</v>
      </c>
      <c r="J6" s="23"/>
      <c r="K6" s="9" t="str">
        <f>"100,0"</f>
        <v>100,0</v>
      </c>
      <c r="L6" s="9" t="str">
        <f>"129,8400"</f>
        <v>129,8400</v>
      </c>
      <c r="M6" s="7"/>
    </row>
    <row r="8" spans="1:13" ht="16">
      <c r="A8" s="65" t="s">
        <v>191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3" t="s">
        <v>30</v>
      </c>
      <c r="B9" s="7" t="s">
        <v>292</v>
      </c>
      <c r="C9" s="7" t="s">
        <v>282</v>
      </c>
      <c r="D9" s="7" t="s">
        <v>283</v>
      </c>
      <c r="E9" s="8" t="s">
        <v>365</v>
      </c>
      <c r="F9" s="7" t="s">
        <v>44</v>
      </c>
      <c r="G9" s="21" t="s">
        <v>72</v>
      </c>
      <c r="H9" s="21" t="s">
        <v>212</v>
      </c>
      <c r="I9" s="21" t="s">
        <v>35</v>
      </c>
      <c r="J9" s="23"/>
      <c r="K9" s="9" t="str">
        <f>"90,0"</f>
        <v>90,0</v>
      </c>
      <c r="L9" s="9" t="str">
        <f>"105,8940"</f>
        <v>105,8940</v>
      </c>
      <c r="M9" s="7" t="s">
        <v>330</v>
      </c>
    </row>
    <row r="11" spans="1:13" ht="16">
      <c r="A11" s="65" t="s">
        <v>32</v>
      </c>
      <c r="B11" s="65"/>
      <c r="C11" s="66"/>
      <c r="D11" s="66"/>
      <c r="E11" s="66"/>
      <c r="F11" s="66"/>
      <c r="G11" s="66"/>
      <c r="H11" s="66"/>
      <c r="I11" s="66"/>
      <c r="J11" s="66"/>
    </row>
    <row r="12" spans="1:13">
      <c r="A12" s="23" t="s">
        <v>30</v>
      </c>
      <c r="B12" s="7" t="s">
        <v>293</v>
      </c>
      <c r="C12" s="7" t="s">
        <v>284</v>
      </c>
      <c r="D12" s="7" t="s">
        <v>285</v>
      </c>
      <c r="E12" s="8" t="s">
        <v>369</v>
      </c>
      <c r="F12" s="7" t="s">
        <v>44</v>
      </c>
      <c r="G12" s="21" t="s">
        <v>36</v>
      </c>
      <c r="H12" s="21" t="s">
        <v>45</v>
      </c>
      <c r="I12" s="21" t="s">
        <v>46</v>
      </c>
      <c r="J12" s="23"/>
      <c r="K12" s="9" t="str">
        <f>"120,0"</f>
        <v>120,0</v>
      </c>
      <c r="L12" s="9" t="str">
        <f>"100,8240"</f>
        <v>100,8240</v>
      </c>
      <c r="M12" s="7"/>
    </row>
    <row r="14" spans="1:13" ht="16">
      <c r="A14" s="65" t="s">
        <v>10</v>
      </c>
      <c r="B14" s="65"/>
      <c r="C14" s="66"/>
      <c r="D14" s="66"/>
      <c r="E14" s="66"/>
      <c r="F14" s="66"/>
      <c r="G14" s="66"/>
      <c r="H14" s="66"/>
      <c r="I14" s="66"/>
      <c r="J14" s="66"/>
    </row>
    <row r="15" spans="1:13">
      <c r="A15" s="31" t="s">
        <v>30</v>
      </c>
      <c r="B15" s="24" t="s">
        <v>31</v>
      </c>
      <c r="C15" s="24" t="s">
        <v>11</v>
      </c>
      <c r="D15" s="24" t="s">
        <v>12</v>
      </c>
      <c r="E15" s="25" t="s">
        <v>365</v>
      </c>
      <c r="F15" s="24" t="s">
        <v>13</v>
      </c>
      <c r="G15" s="30" t="s">
        <v>20</v>
      </c>
      <c r="H15" s="30" t="s">
        <v>21</v>
      </c>
      <c r="I15" s="38" t="s">
        <v>22</v>
      </c>
      <c r="J15" s="31"/>
      <c r="K15" s="26" t="str">
        <f>"280,0"</f>
        <v>280,0</v>
      </c>
      <c r="L15" s="26" t="str">
        <f>"188,6920"</f>
        <v>188,6920</v>
      </c>
      <c r="M15" s="24"/>
    </row>
    <row r="16" spans="1:13">
      <c r="A16" s="33" t="s">
        <v>114</v>
      </c>
      <c r="B16" s="27" t="s">
        <v>294</v>
      </c>
      <c r="C16" s="27" t="s">
        <v>286</v>
      </c>
      <c r="D16" s="27" t="s">
        <v>287</v>
      </c>
      <c r="E16" s="28" t="s">
        <v>365</v>
      </c>
      <c r="F16" s="27" t="s">
        <v>44</v>
      </c>
      <c r="G16" s="32" t="s">
        <v>62</v>
      </c>
      <c r="H16" s="32" t="s">
        <v>17</v>
      </c>
      <c r="I16" s="33"/>
      <c r="J16" s="33"/>
      <c r="K16" s="29" t="str">
        <f>"170,0"</f>
        <v>170,0</v>
      </c>
      <c r="L16" s="29" t="str">
        <f>"120,2580"</f>
        <v>120,2580</v>
      </c>
      <c r="M16" s="27"/>
    </row>
    <row r="18" spans="1:13" ht="16">
      <c r="A18" s="65" t="s">
        <v>58</v>
      </c>
      <c r="B18" s="65"/>
      <c r="C18" s="66"/>
      <c r="D18" s="66"/>
      <c r="E18" s="66"/>
      <c r="F18" s="66"/>
      <c r="G18" s="66"/>
      <c r="H18" s="66"/>
      <c r="I18" s="66"/>
      <c r="J18" s="66"/>
    </row>
    <row r="19" spans="1:13">
      <c r="A19" s="23" t="s">
        <v>30</v>
      </c>
      <c r="B19" s="7" t="s">
        <v>112</v>
      </c>
      <c r="C19" s="7" t="s">
        <v>92</v>
      </c>
      <c r="D19" s="7" t="s">
        <v>93</v>
      </c>
      <c r="E19" s="8" t="s">
        <v>365</v>
      </c>
      <c r="F19" s="7" t="s">
        <v>94</v>
      </c>
      <c r="G19" s="21" t="s">
        <v>55</v>
      </c>
      <c r="H19" s="21" t="s">
        <v>14</v>
      </c>
      <c r="I19" s="21" t="s">
        <v>15</v>
      </c>
      <c r="J19" s="23"/>
      <c r="K19" s="9" t="str">
        <f>"240,0"</f>
        <v>240,0</v>
      </c>
      <c r="L19" s="9" t="str">
        <f>"148,6560"</f>
        <v>148,6560</v>
      </c>
      <c r="M19" s="7"/>
    </row>
    <row r="21" spans="1:13" ht="16">
      <c r="A21" s="65" t="s">
        <v>155</v>
      </c>
      <c r="B21" s="65"/>
      <c r="C21" s="66"/>
      <c r="D21" s="66"/>
      <c r="E21" s="66"/>
      <c r="F21" s="66"/>
      <c r="G21" s="66"/>
      <c r="H21" s="66"/>
      <c r="I21" s="66"/>
      <c r="J21" s="66"/>
    </row>
    <row r="22" spans="1:13">
      <c r="A22" s="31" t="s">
        <v>30</v>
      </c>
      <c r="B22" s="24" t="s">
        <v>295</v>
      </c>
      <c r="C22" s="24" t="s">
        <v>288</v>
      </c>
      <c r="D22" s="24" t="s">
        <v>165</v>
      </c>
      <c r="E22" s="25" t="s">
        <v>365</v>
      </c>
      <c r="F22" s="24" t="s">
        <v>44</v>
      </c>
      <c r="G22" s="30" t="s">
        <v>289</v>
      </c>
      <c r="H22" s="30" t="s">
        <v>290</v>
      </c>
      <c r="I22" s="31"/>
      <c r="J22" s="31"/>
      <c r="K22" s="26" t="str">
        <f>"325,0"</f>
        <v>325,0</v>
      </c>
      <c r="L22" s="26" t="str">
        <f>"192,3675"</f>
        <v>192,3675</v>
      </c>
      <c r="M22" s="24"/>
    </row>
    <row r="23" spans="1:13">
      <c r="A23" s="33" t="s">
        <v>114</v>
      </c>
      <c r="B23" s="27" t="s">
        <v>184</v>
      </c>
      <c r="C23" s="27" t="s">
        <v>156</v>
      </c>
      <c r="D23" s="27" t="s">
        <v>157</v>
      </c>
      <c r="E23" s="28" t="s">
        <v>365</v>
      </c>
      <c r="F23" s="27" t="s">
        <v>44</v>
      </c>
      <c r="G23" s="34" t="s">
        <v>21</v>
      </c>
      <c r="H23" s="32" t="s">
        <v>21</v>
      </c>
      <c r="I23" s="34" t="s">
        <v>291</v>
      </c>
      <c r="J23" s="33"/>
      <c r="K23" s="29" t="str">
        <f>"280,0"</f>
        <v>280,0</v>
      </c>
      <c r="L23" s="29" t="str">
        <f>"165,2560"</f>
        <v>165,2560</v>
      </c>
      <c r="M23" s="27"/>
    </row>
    <row r="25" spans="1:13" ht="16">
      <c r="A25" s="65" t="s">
        <v>97</v>
      </c>
      <c r="B25" s="65"/>
      <c r="C25" s="66"/>
      <c r="D25" s="66"/>
      <c r="E25" s="66"/>
      <c r="F25" s="66"/>
      <c r="G25" s="66"/>
      <c r="H25" s="66"/>
      <c r="I25" s="66"/>
      <c r="J25" s="66"/>
    </row>
    <row r="26" spans="1:13">
      <c r="A26" s="23" t="s">
        <v>30</v>
      </c>
      <c r="B26" s="7" t="s">
        <v>190</v>
      </c>
      <c r="C26" s="7" t="s">
        <v>171</v>
      </c>
      <c r="D26" s="7" t="s">
        <v>172</v>
      </c>
      <c r="E26" s="8" t="s">
        <v>365</v>
      </c>
      <c r="F26" s="7" t="s">
        <v>44</v>
      </c>
      <c r="G26" s="21" t="s">
        <v>96</v>
      </c>
      <c r="H26" s="21" t="s">
        <v>61</v>
      </c>
      <c r="I26" s="21" t="s">
        <v>62</v>
      </c>
      <c r="J26" s="23"/>
      <c r="K26" s="9" t="str">
        <f>"160,0"</f>
        <v>160,0</v>
      </c>
      <c r="L26" s="9" t="str">
        <f>"92,5600"</f>
        <v>92,5600</v>
      </c>
      <c r="M26" s="7"/>
    </row>
  </sheetData>
  <mergeCells count="18">
    <mergeCell ref="A25:J25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1:J2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0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52" t="s">
        <v>349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361</v>
      </c>
      <c r="H3" s="64"/>
      <c r="I3" s="64"/>
      <c r="J3" s="64"/>
      <c r="K3" s="46" t="s">
        <v>175</v>
      </c>
      <c r="L3" s="46" t="s">
        <v>3</v>
      </c>
      <c r="M3" s="48" t="s">
        <v>2</v>
      </c>
    </row>
    <row r="4" spans="1:13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32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3" t="s">
        <v>30</v>
      </c>
      <c r="B6" s="7" t="s">
        <v>259</v>
      </c>
      <c r="C6" s="7" t="s">
        <v>200</v>
      </c>
      <c r="D6" s="7" t="s">
        <v>323</v>
      </c>
      <c r="E6" s="8" t="s">
        <v>365</v>
      </c>
      <c r="F6" s="7" t="s">
        <v>202</v>
      </c>
      <c r="G6" s="21" t="s">
        <v>118</v>
      </c>
      <c r="H6" s="21" t="s">
        <v>39</v>
      </c>
      <c r="I6" s="21" t="s">
        <v>40</v>
      </c>
      <c r="J6" s="23"/>
      <c r="K6" s="9" t="str">
        <f>"52,5"</f>
        <v>52,5</v>
      </c>
      <c r="L6" s="9" t="str">
        <f>"39,9247"</f>
        <v>39,9247</v>
      </c>
      <c r="M6" s="7"/>
    </row>
    <row r="8" spans="1:13" ht="16">
      <c r="A8" s="65" t="s">
        <v>84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31" t="s">
        <v>30</v>
      </c>
      <c r="B9" s="24" t="s">
        <v>261</v>
      </c>
      <c r="C9" s="24" t="s">
        <v>205</v>
      </c>
      <c r="D9" s="24" t="s">
        <v>324</v>
      </c>
      <c r="E9" s="25" t="s">
        <v>365</v>
      </c>
      <c r="F9" s="24" t="s">
        <v>44</v>
      </c>
      <c r="G9" s="30" t="s">
        <v>47</v>
      </c>
      <c r="H9" s="30" t="s">
        <v>48</v>
      </c>
      <c r="I9" s="30" t="s">
        <v>49</v>
      </c>
      <c r="J9" s="31"/>
      <c r="K9" s="26" t="str">
        <f>"65,0"</f>
        <v>65,0</v>
      </c>
      <c r="L9" s="26" t="str">
        <f>"45,7450"</f>
        <v>45,7450</v>
      </c>
      <c r="M9" s="24"/>
    </row>
    <row r="10" spans="1:13">
      <c r="A10" s="39" t="s">
        <v>114</v>
      </c>
      <c r="B10" s="35" t="s">
        <v>262</v>
      </c>
      <c r="C10" s="35" t="s">
        <v>208</v>
      </c>
      <c r="D10" s="35" t="s">
        <v>325</v>
      </c>
      <c r="E10" s="36" t="s">
        <v>365</v>
      </c>
      <c r="F10" s="35" t="s">
        <v>44</v>
      </c>
      <c r="G10" s="40" t="s">
        <v>118</v>
      </c>
      <c r="H10" s="40" t="s">
        <v>39</v>
      </c>
      <c r="I10" s="40" t="s">
        <v>47</v>
      </c>
      <c r="J10" s="39"/>
      <c r="K10" s="37" t="str">
        <f>"55,0"</f>
        <v>55,0</v>
      </c>
      <c r="L10" s="37" t="str">
        <f>"38,1150"</f>
        <v>38,1150</v>
      </c>
      <c r="M10" s="35"/>
    </row>
    <row r="11" spans="1:13">
      <c r="A11" s="33" t="s">
        <v>182</v>
      </c>
      <c r="B11" s="27" t="s">
        <v>263</v>
      </c>
      <c r="C11" s="27" t="s">
        <v>210</v>
      </c>
      <c r="D11" s="27" t="s">
        <v>211</v>
      </c>
      <c r="E11" s="28" t="s">
        <v>365</v>
      </c>
      <c r="F11" s="27" t="s">
        <v>44</v>
      </c>
      <c r="G11" s="32" t="s">
        <v>38</v>
      </c>
      <c r="H11" s="32" t="s">
        <v>39</v>
      </c>
      <c r="I11" s="34" t="s">
        <v>48</v>
      </c>
      <c r="J11" s="33"/>
      <c r="K11" s="29" t="str">
        <f>"50,0"</f>
        <v>50,0</v>
      </c>
      <c r="L11" s="29" t="str">
        <f>"36,8725"</f>
        <v>36,8725</v>
      </c>
      <c r="M11" s="27"/>
    </row>
    <row r="13" spans="1:13" ht="16">
      <c r="A13" s="65" t="s">
        <v>10</v>
      </c>
      <c r="B13" s="65"/>
      <c r="C13" s="66"/>
      <c r="D13" s="66"/>
      <c r="E13" s="66"/>
      <c r="F13" s="66"/>
      <c r="G13" s="66"/>
      <c r="H13" s="66"/>
      <c r="I13" s="66"/>
      <c r="J13" s="66"/>
    </row>
    <row r="14" spans="1:13">
      <c r="A14" s="23" t="s">
        <v>30</v>
      </c>
      <c r="B14" s="7" t="s">
        <v>328</v>
      </c>
      <c r="C14" s="7" t="s">
        <v>326</v>
      </c>
      <c r="D14" s="7" t="s">
        <v>327</v>
      </c>
      <c r="E14" s="8" t="s">
        <v>365</v>
      </c>
      <c r="F14" s="7" t="s">
        <v>44</v>
      </c>
      <c r="G14" s="21" t="s">
        <v>47</v>
      </c>
      <c r="H14" s="22" t="s">
        <v>49</v>
      </c>
      <c r="I14" s="22" t="s">
        <v>49</v>
      </c>
      <c r="J14" s="23"/>
      <c r="K14" s="9" t="str">
        <f>"55,0"</f>
        <v>55,0</v>
      </c>
      <c r="L14" s="9" t="str">
        <f>"36,1790"</f>
        <v>36,1790</v>
      </c>
      <c r="M14" s="7"/>
    </row>
    <row r="16" spans="1:13" ht="16">
      <c r="A16" s="65" t="s">
        <v>89</v>
      </c>
      <c r="B16" s="65"/>
      <c r="C16" s="66"/>
      <c r="D16" s="66"/>
      <c r="E16" s="66"/>
      <c r="F16" s="66"/>
      <c r="G16" s="66"/>
      <c r="H16" s="66"/>
      <c r="I16" s="66"/>
      <c r="J16" s="66"/>
    </row>
    <row r="17" spans="1:13">
      <c r="A17" s="23" t="s">
        <v>30</v>
      </c>
      <c r="B17" s="7" t="s">
        <v>274</v>
      </c>
      <c r="C17" s="7" t="s">
        <v>234</v>
      </c>
      <c r="D17" s="7" t="s">
        <v>235</v>
      </c>
      <c r="E17" s="8" t="s">
        <v>365</v>
      </c>
      <c r="F17" s="7" t="s">
        <v>166</v>
      </c>
      <c r="G17" s="21" t="s">
        <v>38</v>
      </c>
      <c r="H17" s="21" t="s">
        <v>47</v>
      </c>
      <c r="I17" s="22" t="s">
        <v>48</v>
      </c>
      <c r="J17" s="23"/>
      <c r="K17" s="9" t="str">
        <f>"55,0"</f>
        <v>55,0</v>
      </c>
      <c r="L17" s="9" t="str">
        <f>"33,7562"</f>
        <v>33,7562</v>
      </c>
      <c r="M17" s="7"/>
    </row>
  </sheetData>
  <mergeCells count="15">
    <mergeCell ref="A8:J8"/>
    <mergeCell ref="A13:J13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6"/>
  <sheetViews>
    <sheetView tabSelected="1"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30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52" t="s">
        <v>350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361</v>
      </c>
      <c r="H3" s="64"/>
      <c r="I3" s="64"/>
      <c r="J3" s="64"/>
      <c r="K3" s="46" t="s">
        <v>175</v>
      </c>
      <c r="L3" s="46" t="s">
        <v>3</v>
      </c>
      <c r="M3" s="48" t="s">
        <v>2</v>
      </c>
    </row>
    <row r="4" spans="1:13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41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3" t="s">
        <v>30</v>
      </c>
      <c r="B6" s="7" t="s">
        <v>320</v>
      </c>
      <c r="C6" s="7" t="s">
        <v>355</v>
      </c>
      <c r="D6" s="7" t="s">
        <v>313</v>
      </c>
      <c r="E6" s="8" t="s">
        <v>371</v>
      </c>
      <c r="F6" s="7" t="s">
        <v>44</v>
      </c>
      <c r="G6" s="21" t="s">
        <v>76</v>
      </c>
      <c r="H6" s="21" t="s">
        <v>118</v>
      </c>
      <c r="I6" s="21" t="s">
        <v>38</v>
      </c>
      <c r="J6" s="23"/>
      <c r="K6" s="9" t="str">
        <f>"47,5"</f>
        <v>47,5</v>
      </c>
      <c r="L6" s="9" t="str">
        <f>"41,4105"</f>
        <v>41,4105</v>
      </c>
      <c r="M6" s="7"/>
    </row>
    <row r="8" spans="1:13" ht="16">
      <c r="A8" s="65" t="s">
        <v>32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3" t="s">
        <v>30</v>
      </c>
      <c r="B9" s="7" t="s">
        <v>293</v>
      </c>
      <c r="C9" s="7" t="s">
        <v>356</v>
      </c>
      <c r="D9" s="7" t="s">
        <v>285</v>
      </c>
      <c r="E9" s="8" t="s">
        <v>371</v>
      </c>
      <c r="F9" s="7" t="s">
        <v>44</v>
      </c>
      <c r="G9" s="21" t="s">
        <v>74</v>
      </c>
      <c r="H9" s="21" t="s">
        <v>75</v>
      </c>
      <c r="I9" s="21" t="s">
        <v>76</v>
      </c>
      <c r="J9" s="23"/>
      <c r="K9" s="9" t="str">
        <f>"40,0"</f>
        <v>40,0</v>
      </c>
      <c r="L9" s="9" t="str">
        <f>"32,7900"</f>
        <v>32,7900</v>
      </c>
      <c r="M9" s="7"/>
    </row>
    <row r="11" spans="1:13" ht="16">
      <c r="A11" s="65" t="s">
        <v>84</v>
      </c>
      <c r="B11" s="65"/>
      <c r="C11" s="66"/>
      <c r="D11" s="66"/>
      <c r="E11" s="66"/>
      <c r="F11" s="66"/>
      <c r="G11" s="66"/>
      <c r="H11" s="66"/>
      <c r="I11" s="66"/>
      <c r="J11" s="66"/>
    </row>
    <row r="12" spans="1:13">
      <c r="A12" s="31" t="s">
        <v>30</v>
      </c>
      <c r="B12" s="24" t="s">
        <v>321</v>
      </c>
      <c r="C12" s="24" t="s">
        <v>357</v>
      </c>
      <c r="D12" s="24" t="s">
        <v>314</v>
      </c>
      <c r="E12" s="25" t="s">
        <v>371</v>
      </c>
      <c r="F12" s="24" t="s">
        <v>359</v>
      </c>
      <c r="G12" s="30" t="s">
        <v>48</v>
      </c>
      <c r="H12" s="30" t="s">
        <v>49</v>
      </c>
      <c r="I12" s="38" t="s">
        <v>315</v>
      </c>
      <c r="J12" s="31"/>
      <c r="K12" s="26" t="str">
        <f>"65,0"</f>
        <v>65,0</v>
      </c>
      <c r="L12" s="26" t="str">
        <f>"47,7652"</f>
        <v>47,7652</v>
      </c>
      <c r="M12" s="24" t="s">
        <v>360</v>
      </c>
    </row>
    <row r="13" spans="1:13">
      <c r="A13" s="33" t="s">
        <v>30</v>
      </c>
      <c r="B13" s="27" t="s">
        <v>321</v>
      </c>
      <c r="C13" s="27" t="s">
        <v>316</v>
      </c>
      <c r="D13" s="27" t="s">
        <v>314</v>
      </c>
      <c r="E13" s="28" t="s">
        <v>365</v>
      </c>
      <c r="F13" s="27" t="s">
        <v>359</v>
      </c>
      <c r="G13" s="32" t="s">
        <v>48</v>
      </c>
      <c r="H13" s="32" t="s">
        <v>49</v>
      </c>
      <c r="I13" s="34" t="s">
        <v>315</v>
      </c>
      <c r="J13" s="33"/>
      <c r="K13" s="29" t="str">
        <f>"65,0"</f>
        <v>65,0</v>
      </c>
      <c r="L13" s="29" t="str">
        <f>"47,7652"</f>
        <v>47,7652</v>
      </c>
      <c r="M13" s="27" t="s">
        <v>360</v>
      </c>
    </row>
    <row r="15" spans="1:13" ht="16">
      <c r="A15" s="65" t="s">
        <v>10</v>
      </c>
      <c r="B15" s="65"/>
      <c r="C15" s="66"/>
      <c r="D15" s="66"/>
      <c r="E15" s="66"/>
      <c r="F15" s="66"/>
      <c r="G15" s="66"/>
      <c r="H15" s="66"/>
      <c r="I15" s="66"/>
      <c r="J15" s="66"/>
    </row>
    <row r="16" spans="1:13">
      <c r="A16" s="23" t="s">
        <v>30</v>
      </c>
      <c r="B16" s="7" t="s">
        <v>294</v>
      </c>
      <c r="C16" s="7" t="s">
        <v>286</v>
      </c>
      <c r="D16" s="7" t="s">
        <v>287</v>
      </c>
      <c r="E16" s="8" t="s">
        <v>365</v>
      </c>
      <c r="F16" s="7" t="s">
        <v>44</v>
      </c>
      <c r="G16" s="21" t="s">
        <v>118</v>
      </c>
      <c r="H16" s="21" t="s">
        <v>38</v>
      </c>
      <c r="I16" s="22" t="s">
        <v>39</v>
      </c>
      <c r="J16" s="23"/>
      <c r="K16" s="9" t="str">
        <f>"47,5"</f>
        <v>47,5</v>
      </c>
      <c r="L16" s="9" t="str">
        <f>"32,4520"</f>
        <v>32,4520</v>
      </c>
      <c r="M16" s="7"/>
    </row>
    <row r="18" spans="1:13" ht="16">
      <c r="A18" s="65" t="s">
        <v>58</v>
      </c>
      <c r="B18" s="65"/>
      <c r="C18" s="66"/>
      <c r="D18" s="66"/>
      <c r="E18" s="66"/>
      <c r="F18" s="66"/>
      <c r="G18" s="66"/>
      <c r="H18" s="66"/>
      <c r="I18" s="66"/>
      <c r="J18" s="66"/>
    </row>
    <row r="19" spans="1:13">
      <c r="A19" s="31" t="s">
        <v>30</v>
      </c>
      <c r="B19" s="24" t="s">
        <v>181</v>
      </c>
      <c r="C19" s="24" t="s">
        <v>151</v>
      </c>
      <c r="D19" s="24" t="s">
        <v>152</v>
      </c>
      <c r="E19" s="25" t="s">
        <v>365</v>
      </c>
      <c r="F19" s="24" t="s">
        <v>44</v>
      </c>
      <c r="G19" s="30" t="s">
        <v>48</v>
      </c>
      <c r="H19" s="30" t="s">
        <v>315</v>
      </c>
      <c r="I19" s="30" t="s">
        <v>317</v>
      </c>
      <c r="J19" s="31"/>
      <c r="K19" s="26" t="str">
        <f>"72,5"</f>
        <v>72,5</v>
      </c>
      <c r="L19" s="26" t="str">
        <f>"43,1303"</f>
        <v>43,1303</v>
      </c>
      <c r="M19" s="24"/>
    </row>
    <row r="20" spans="1:13">
      <c r="A20" s="33" t="s">
        <v>114</v>
      </c>
      <c r="B20" s="27" t="s">
        <v>112</v>
      </c>
      <c r="C20" s="27" t="s">
        <v>92</v>
      </c>
      <c r="D20" s="27" t="s">
        <v>93</v>
      </c>
      <c r="E20" s="28" t="s">
        <v>365</v>
      </c>
      <c r="F20" s="27" t="s">
        <v>94</v>
      </c>
      <c r="G20" s="32" t="s">
        <v>47</v>
      </c>
      <c r="H20" s="32" t="s">
        <v>48</v>
      </c>
      <c r="I20" s="32" t="s">
        <v>49</v>
      </c>
      <c r="J20" s="33"/>
      <c r="K20" s="29" t="str">
        <f>"65,0"</f>
        <v>65,0</v>
      </c>
      <c r="L20" s="29" t="str">
        <f>"38,4962"</f>
        <v>38,4962</v>
      </c>
      <c r="M20" s="27"/>
    </row>
    <row r="22" spans="1:13" ht="16">
      <c r="A22" s="65" t="s">
        <v>155</v>
      </c>
      <c r="B22" s="65"/>
      <c r="C22" s="66"/>
      <c r="D22" s="66"/>
      <c r="E22" s="66"/>
      <c r="F22" s="66"/>
      <c r="G22" s="66"/>
      <c r="H22" s="66"/>
      <c r="I22" s="66"/>
      <c r="J22" s="66"/>
    </row>
    <row r="23" spans="1:13">
      <c r="A23" s="31" t="s">
        <v>30</v>
      </c>
      <c r="B23" s="24" t="s">
        <v>188</v>
      </c>
      <c r="C23" s="24" t="s">
        <v>167</v>
      </c>
      <c r="D23" s="24" t="s">
        <v>168</v>
      </c>
      <c r="E23" s="25" t="s">
        <v>365</v>
      </c>
      <c r="F23" s="24" t="s">
        <v>44</v>
      </c>
      <c r="G23" s="30" t="s">
        <v>40</v>
      </c>
      <c r="H23" s="30" t="s">
        <v>47</v>
      </c>
      <c r="I23" s="38" t="s">
        <v>318</v>
      </c>
      <c r="J23" s="31"/>
      <c r="K23" s="26" t="str">
        <f>"55,0"</f>
        <v>55,0</v>
      </c>
      <c r="L23" s="26" t="str">
        <f>"31,2950"</f>
        <v>31,2950</v>
      </c>
      <c r="M23" s="24"/>
    </row>
    <row r="24" spans="1:13">
      <c r="A24" s="33" t="s">
        <v>30</v>
      </c>
      <c r="B24" s="27" t="s">
        <v>322</v>
      </c>
      <c r="C24" s="27" t="s">
        <v>358</v>
      </c>
      <c r="D24" s="27" t="s">
        <v>319</v>
      </c>
      <c r="E24" s="28" t="s">
        <v>368</v>
      </c>
      <c r="F24" s="27" t="s">
        <v>44</v>
      </c>
      <c r="G24" s="32" t="s">
        <v>47</v>
      </c>
      <c r="H24" s="32" t="s">
        <v>72</v>
      </c>
      <c r="I24" s="34" t="s">
        <v>88</v>
      </c>
      <c r="J24" s="33"/>
      <c r="K24" s="29" t="str">
        <f>"70,0"</f>
        <v>70,0</v>
      </c>
      <c r="L24" s="29" t="str">
        <f>"42,3964"</f>
        <v>42,3964</v>
      </c>
      <c r="M24" s="27"/>
    </row>
    <row r="26" spans="1:13">
      <c r="E26" s="5"/>
      <c r="F26" s="10"/>
      <c r="G26" s="5"/>
      <c r="K26" s="19"/>
      <c r="M26" s="6"/>
    </row>
  </sheetData>
  <mergeCells count="17">
    <mergeCell ref="A22:J22"/>
    <mergeCell ref="A5:J5"/>
    <mergeCell ref="A8:J8"/>
    <mergeCell ref="A11:J11"/>
    <mergeCell ref="A15:J15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25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7.5" style="5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22" style="5" customWidth="1"/>
    <col min="22" max="16384" width="9.1640625" style="3"/>
  </cols>
  <sheetData>
    <row r="1" spans="1:21" s="2" customFormat="1" ht="29" customHeight="1">
      <c r="A1" s="52" t="s">
        <v>340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7</v>
      </c>
      <c r="H3" s="64"/>
      <c r="I3" s="64"/>
      <c r="J3" s="64"/>
      <c r="K3" s="64" t="s">
        <v>8</v>
      </c>
      <c r="L3" s="64"/>
      <c r="M3" s="64"/>
      <c r="N3" s="64"/>
      <c r="O3" s="64" t="s">
        <v>9</v>
      </c>
      <c r="P3" s="64"/>
      <c r="Q3" s="64"/>
      <c r="R3" s="64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69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23" t="s">
        <v>30</v>
      </c>
      <c r="B6" s="7" t="s">
        <v>108</v>
      </c>
      <c r="C6" s="7" t="s">
        <v>70</v>
      </c>
      <c r="D6" s="7" t="s">
        <v>71</v>
      </c>
      <c r="E6" s="8" t="s">
        <v>365</v>
      </c>
      <c r="F6" s="7" t="s">
        <v>44</v>
      </c>
      <c r="G6" s="21" t="s">
        <v>49</v>
      </c>
      <c r="H6" s="21" t="s">
        <v>72</v>
      </c>
      <c r="I6" s="21" t="s">
        <v>73</v>
      </c>
      <c r="J6" s="23"/>
      <c r="K6" s="21" t="s">
        <v>74</v>
      </c>
      <c r="L6" s="21" t="s">
        <v>75</v>
      </c>
      <c r="M6" s="21" t="s">
        <v>76</v>
      </c>
      <c r="N6" s="23"/>
      <c r="O6" s="21" t="s">
        <v>77</v>
      </c>
      <c r="P6" s="21" t="s">
        <v>78</v>
      </c>
      <c r="Q6" s="21" t="s">
        <v>36</v>
      </c>
      <c r="R6" s="23"/>
      <c r="S6" s="9" t="str">
        <f>"215,0"</f>
        <v>215,0</v>
      </c>
      <c r="T6" s="9" t="str">
        <f>"279,1560"</f>
        <v>279,1560</v>
      </c>
      <c r="U6" s="7"/>
    </row>
    <row r="8" spans="1:21" ht="16">
      <c r="A8" s="65" t="s">
        <v>32</v>
      </c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23" t="s">
        <v>30</v>
      </c>
      <c r="B9" s="7" t="s">
        <v>109</v>
      </c>
      <c r="C9" s="7" t="s">
        <v>79</v>
      </c>
      <c r="D9" s="7" t="s">
        <v>80</v>
      </c>
      <c r="E9" s="8" t="s">
        <v>365</v>
      </c>
      <c r="F9" s="7" t="s">
        <v>44</v>
      </c>
      <c r="G9" s="22" t="s">
        <v>18</v>
      </c>
      <c r="H9" s="21" t="s">
        <v>18</v>
      </c>
      <c r="I9" s="21" t="s">
        <v>54</v>
      </c>
      <c r="J9" s="23"/>
      <c r="K9" s="21" t="s">
        <v>81</v>
      </c>
      <c r="L9" s="21" t="s">
        <v>57</v>
      </c>
      <c r="M9" s="22" t="s">
        <v>50</v>
      </c>
      <c r="N9" s="23"/>
      <c r="O9" s="21" t="s">
        <v>82</v>
      </c>
      <c r="P9" s="21" t="s">
        <v>54</v>
      </c>
      <c r="Q9" s="21" t="s">
        <v>83</v>
      </c>
      <c r="R9" s="23"/>
      <c r="S9" s="9" t="str">
        <f>"535,0"</f>
        <v>535,0</v>
      </c>
      <c r="T9" s="9" t="str">
        <f>"413,5015"</f>
        <v>413,5015</v>
      </c>
      <c r="U9" s="7"/>
    </row>
    <row r="11" spans="1:21" ht="16">
      <c r="A11" s="65" t="s">
        <v>84</v>
      </c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1">
      <c r="A12" s="23" t="s">
        <v>30</v>
      </c>
      <c r="B12" s="7" t="s">
        <v>110</v>
      </c>
      <c r="C12" s="7" t="s">
        <v>85</v>
      </c>
      <c r="D12" s="7" t="s">
        <v>86</v>
      </c>
      <c r="E12" s="8" t="s">
        <v>366</v>
      </c>
      <c r="F12" s="7" t="s">
        <v>44</v>
      </c>
      <c r="G12" s="21" t="s">
        <v>50</v>
      </c>
      <c r="H12" s="21" t="s">
        <v>87</v>
      </c>
      <c r="I12" s="22" t="s">
        <v>61</v>
      </c>
      <c r="J12" s="23"/>
      <c r="K12" s="21" t="s">
        <v>88</v>
      </c>
      <c r="L12" s="21" t="s">
        <v>77</v>
      </c>
      <c r="M12" s="21" t="s">
        <v>35</v>
      </c>
      <c r="N12" s="23"/>
      <c r="O12" s="21" t="s">
        <v>62</v>
      </c>
      <c r="P12" s="21" t="s">
        <v>17</v>
      </c>
      <c r="Q12" s="21" t="s">
        <v>18</v>
      </c>
      <c r="R12" s="23"/>
      <c r="S12" s="9" t="str">
        <f>"412,5"</f>
        <v>412,5</v>
      </c>
      <c r="T12" s="9" t="str">
        <f>"302,6512"</f>
        <v>302,6512</v>
      </c>
      <c r="U12" s="7"/>
    </row>
    <row r="14" spans="1:21" ht="16">
      <c r="A14" s="65" t="s">
        <v>89</v>
      </c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21">
      <c r="A15" s="23" t="s">
        <v>30</v>
      </c>
      <c r="B15" s="7" t="s">
        <v>111</v>
      </c>
      <c r="C15" s="7" t="s">
        <v>90</v>
      </c>
      <c r="D15" s="7" t="s">
        <v>91</v>
      </c>
      <c r="E15" s="8" t="s">
        <v>367</v>
      </c>
      <c r="F15" s="7" t="s">
        <v>44</v>
      </c>
      <c r="G15" s="21" t="s">
        <v>61</v>
      </c>
      <c r="H15" s="21" t="s">
        <v>62</v>
      </c>
      <c r="I15" s="21" t="s">
        <v>17</v>
      </c>
      <c r="J15" s="23"/>
      <c r="K15" s="21" t="s">
        <v>36</v>
      </c>
      <c r="L15" s="21" t="s">
        <v>45</v>
      </c>
      <c r="M15" s="22" t="s">
        <v>81</v>
      </c>
      <c r="N15" s="23"/>
      <c r="O15" s="21" t="s">
        <v>17</v>
      </c>
      <c r="P15" s="21" t="s">
        <v>18</v>
      </c>
      <c r="Q15" s="22" t="s">
        <v>82</v>
      </c>
      <c r="R15" s="23"/>
      <c r="S15" s="9" t="str">
        <f>"460,0"</f>
        <v>460,0</v>
      </c>
      <c r="T15" s="9" t="str">
        <f>"355,6739"</f>
        <v>355,6739</v>
      </c>
      <c r="U15" s="7"/>
    </row>
    <row r="17" spans="1:21" ht="16">
      <c r="A17" s="65" t="s">
        <v>58</v>
      </c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1">
      <c r="A18" s="23" t="s">
        <v>30</v>
      </c>
      <c r="B18" s="7" t="s">
        <v>112</v>
      </c>
      <c r="C18" s="7" t="s">
        <v>92</v>
      </c>
      <c r="D18" s="7" t="s">
        <v>93</v>
      </c>
      <c r="E18" s="8" t="s">
        <v>365</v>
      </c>
      <c r="F18" s="7" t="s">
        <v>94</v>
      </c>
      <c r="G18" s="21" t="s">
        <v>18</v>
      </c>
      <c r="H18" s="21" t="s">
        <v>82</v>
      </c>
      <c r="I18" s="21" t="s">
        <v>54</v>
      </c>
      <c r="J18" s="23"/>
      <c r="K18" s="21" t="s">
        <v>57</v>
      </c>
      <c r="L18" s="21" t="s">
        <v>95</v>
      </c>
      <c r="M18" s="21" t="s">
        <v>96</v>
      </c>
      <c r="N18" s="23"/>
      <c r="O18" s="21" t="s">
        <v>55</v>
      </c>
      <c r="P18" s="21" t="s">
        <v>14</v>
      </c>
      <c r="Q18" s="21" t="s">
        <v>15</v>
      </c>
      <c r="R18" s="23"/>
      <c r="S18" s="9" t="str">
        <f>"580,0"</f>
        <v>580,0</v>
      </c>
      <c r="T18" s="9" t="str">
        <f>"359,2520"</f>
        <v>359,2520</v>
      </c>
      <c r="U18" s="7"/>
    </row>
    <row r="20" spans="1:21" ht="16">
      <c r="A20" s="65" t="s">
        <v>97</v>
      </c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21">
      <c r="A21" s="31" t="s">
        <v>30</v>
      </c>
      <c r="B21" s="24" t="s">
        <v>113</v>
      </c>
      <c r="C21" s="24" t="s">
        <v>98</v>
      </c>
      <c r="D21" s="24" t="s">
        <v>99</v>
      </c>
      <c r="E21" s="25" t="s">
        <v>365</v>
      </c>
      <c r="F21" s="24" t="s">
        <v>44</v>
      </c>
      <c r="G21" s="30" t="s">
        <v>82</v>
      </c>
      <c r="H21" s="30" t="s">
        <v>54</v>
      </c>
      <c r="I21" s="30" t="s">
        <v>83</v>
      </c>
      <c r="J21" s="31"/>
      <c r="K21" s="30" t="s">
        <v>50</v>
      </c>
      <c r="L21" s="30" t="s">
        <v>95</v>
      </c>
      <c r="M21" s="30" t="s">
        <v>100</v>
      </c>
      <c r="N21" s="31"/>
      <c r="O21" s="30" t="s">
        <v>18</v>
      </c>
      <c r="P21" s="30" t="s">
        <v>101</v>
      </c>
      <c r="Q21" s="30" t="s">
        <v>102</v>
      </c>
      <c r="R21" s="31"/>
      <c r="S21" s="26" t="str">
        <f>"552,5"</f>
        <v>552,5</v>
      </c>
      <c r="T21" s="26" t="str">
        <f>"318,9030"</f>
        <v>318,9030</v>
      </c>
      <c r="U21" s="24" t="s">
        <v>351</v>
      </c>
    </row>
    <row r="22" spans="1:21">
      <c r="A22" s="33" t="s">
        <v>114</v>
      </c>
      <c r="B22" s="27" t="s">
        <v>115</v>
      </c>
      <c r="C22" s="27" t="s">
        <v>103</v>
      </c>
      <c r="D22" s="27" t="s">
        <v>104</v>
      </c>
      <c r="E22" s="28" t="s">
        <v>365</v>
      </c>
      <c r="F22" s="27" t="s">
        <v>44</v>
      </c>
      <c r="G22" s="32" t="s">
        <v>50</v>
      </c>
      <c r="H22" s="32" t="s">
        <v>105</v>
      </c>
      <c r="I22" s="32" t="s">
        <v>106</v>
      </c>
      <c r="J22" s="33"/>
      <c r="K22" s="32" t="s">
        <v>46</v>
      </c>
      <c r="L22" s="32" t="s">
        <v>50</v>
      </c>
      <c r="M22" s="34" t="s">
        <v>100</v>
      </c>
      <c r="N22" s="33"/>
      <c r="O22" s="32" t="s">
        <v>18</v>
      </c>
      <c r="P22" s="32" t="s">
        <v>82</v>
      </c>
      <c r="Q22" s="32" t="s">
        <v>107</v>
      </c>
      <c r="R22" s="33"/>
      <c r="S22" s="29" t="str">
        <f>"480,0"</f>
        <v>480,0</v>
      </c>
      <c r="T22" s="29" t="str">
        <f>"278,9280"</f>
        <v>278,9280</v>
      </c>
      <c r="U22" s="27"/>
    </row>
    <row r="24" spans="1:21">
      <c r="G24" s="5"/>
    </row>
    <row r="25" spans="1:21">
      <c r="E25" s="5"/>
      <c r="F25" s="10"/>
      <c r="G25" s="5"/>
    </row>
  </sheetData>
  <mergeCells count="19">
    <mergeCell ref="A20:R20"/>
    <mergeCell ref="A5:R5"/>
    <mergeCell ref="A8:R8"/>
    <mergeCell ref="A11:R11"/>
    <mergeCell ref="A14:R14"/>
    <mergeCell ref="A17:R17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1.16406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22" style="5" customWidth="1"/>
    <col min="22" max="16384" width="9.1640625" style="3"/>
  </cols>
  <sheetData>
    <row r="1" spans="1:21" s="2" customFormat="1" ht="29" customHeight="1">
      <c r="A1" s="52" t="s">
        <v>341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7</v>
      </c>
      <c r="H3" s="64"/>
      <c r="I3" s="64"/>
      <c r="J3" s="64"/>
      <c r="K3" s="64" t="s">
        <v>8</v>
      </c>
      <c r="L3" s="64"/>
      <c r="M3" s="64"/>
      <c r="N3" s="64"/>
      <c r="O3" s="64" t="s">
        <v>9</v>
      </c>
      <c r="P3" s="64"/>
      <c r="Q3" s="64"/>
      <c r="R3" s="64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32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23" t="s">
        <v>30</v>
      </c>
      <c r="B6" s="7" t="s">
        <v>65</v>
      </c>
      <c r="C6" s="7" t="s">
        <v>33</v>
      </c>
      <c r="D6" s="7" t="s">
        <v>34</v>
      </c>
      <c r="E6" s="8" t="s">
        <v>368</v>
      </c>
      <c r="F6" s="7" t="s">
        <v>13</v>
      </c>
      <c r="G6" s="21" t="s">
        <v>35</v>
      </c>
      <c r="H6" s="21" t="s">
        <v>36</v>
      </c>
      <c r="I6" s="22" t="s">
        <v>37</v>
      </c>
      <c r="J6" s="23"/>
      <c r="K6" s="21" t="s">
        <v>38</v>
      </c>
      <c r="L6" s="21" t="s">
        <v>39</v>
      </c>
      <c r="M6" s="21" t="s">
        <v>40</v>
      </c>
      <c r="N6" s="23"/>
      <c r="O6" s="21" t="s">
        <v>35</v>
      </c>
      <c r="P6" s="21" t="s">
        <v>36</v>
      </c>
      <c r="Q6" s="21" t="s">
        <v>37</v>
      </c>
      <c r="R6" s="23"/>
      <c r="S6" s="9" t="str">
        <f>"257,5"</f>
        <v>257,5</v>
      </c>
      <c r="T6" s="9" t="str">
        <f>"274,6102"</f>
        <v>274,6102</v>
      </c>
      <c r="U6" s="7" t="s">
        <v>332</v>
      </c>
    </row>
    <row r="8" spans="1:21" ht="16">
      <c r="A8" s="65" t="s">
        <v>41</v>
      </c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23" t="s">
        <v>30</v>
      </c>
      <c r="B9" s="7" t="s">
        <v>66</v>
      </c>
      <c r="C9" s="7" t="s">
        <v>42</v>
      </c>
      <c r="D9" s="7" t="s">
        <v>43</v>
      </c>
      <c r="E9" s="8" t="s">
        <v>365</v>
      </c>
      <c r="F9" s="7" t="s">
        <v>44</v>
      </c>
      <c r="G9" s="21" t="s">
        <v>36</v>
      </c>
      <c r="H9" s="21" t="s">
        <v>45</v>
      </c>
      <c r="I9" s="22" t="s">
        <v>46</v>
      </c>
      <c r="J9" s="23"/>
      <c r="K9" s="21" t="s">
        <v>47</v>
      </c>
      <c r="L9" s="21" t="s">
        <v>48</v>
      </c>
      <c r="M9" s="22" t="s">
        <v>49</v>
      </c>
      <c r="N9" s="23"/>
      <c r="O9" s="21" t="s">
        <v>45</v>
      </c>
      <c r="P9" s="21" t="s">
        <v>46</v>
      </c>
      <c r="Q9" s="21" t="s">
        <v>50</v>
      </c>
      <c r="R9" s="23"/>
      <c r="S9" s="9" t="str">
        <f>"300,0"</f>
        <v>300,0</v>
      </c>
      <c r="T9" s="9" t="str">
        <f>"255,8700"</f>
        <v>255,8700</v>
      </c>
      <c r="U9" s="7"/>
    </row>
    <row r="11" spans="1:21" ht="16">
      <c r="A11" s="65" t="s">
        <v>10</v>
      </c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1">
      <c r="A12" s="23" t="s">
        <v>30</v>
      </c>
      <c r="B12" s="7" t="s">
        <v>67</v>
      </c>
      <c r="C12" s="7" t="s">
        <v>51</v>
      </c>
      <c r="D12" s="7" t="s">
        <v>52</v>
      </c>
      <c r="E12" s="8" t="s">
        <v>365</v>
      </c>
      <c r="F12" s="7" t="s">
        <v>53</v>
      </c>
      <c r="G12" s="21" t="s">
        <v>54</v>
      </c>
      <c r="H12" s="21" t="s">
        <v>55</v>
      </c>
      <c r="I12" s="22" t="s">
        <v>15</v>
      </c>
      <c r="J12" s="23"/>
      <c r="K12" s="21" t="s">
        <v>56</v>
      </c>
      <c r="L12" s="21" t="s">
        <v>46</v>
      </c>
      <c r="M12" s="21" t="s">
        <v>57</v>
      </c>
      <c r="N12" s="23"/>
      <c r="O12" s="21" t="s">
        <v>55</v>
      </c>
      <c r="P12" s="21" t="s">
        <v>14</v>
      </c>
      <c r="Q12" s="21" t="s">
        <v>15</v>
      </c>
      <c r="R12" s="23"/>
      <c r="S12" s="9" t="str">
        <f>"585,0"</f>
        <v>585,0</v>
      </c>
      <c r="T12" s="9" t="str">
        <f>"393,9390"</f>
        <v>393,9390</v>
      </c>
      <c r="U12" s="7" t="s">
        <v>331</v>
      </c>
    </row>
    <row r="14" spans="1:21" ht="16">
      <c r="A14" s="65" t="s">
        <v>58</v>
      </c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21">
      <c r="A15" s="23" t="s">
        <v>30</v>
      </c>
      <c r="B15" s="7" t="s">
        <v>68</v>
      </c>
      <c r="C15" s="7" t="s">
        <v>59</v>
      </c>
      <c r="D15" s="7" t="s">
        <v>60</v>
      </c>
      <c r="E15" s="8" t="s">
        <v>365</v>
      </c>
      <c r="F15" s="7" t="s">
        <v>44</v>
      </c>
      <c r="G15" s="22" t="s">
        <v>61</v>
      </c>
      <c r="H15" s="21" t="s">
        <v>62</v>
      </c>
      <c r="I15" s="21" t="s">
        <v>18</v>
      </c>
      <c r="J15" s="23"/>
      <c r="K15" s="21" t="s">
        <v>35</v>
      </c>
      <c r="L15" s="21" t="s">
        <v>36</v>
      </c>
      <c r="M15" s="21" t="s">
        <v>63</v>
      </c>
      <c r="N15" s="23"/>
      <c r="O15" s="21" t="s">
        <v>17</v>
      </c>
      <c r="P15" s="21" t="s">
        <v>64</v>
      </c>
      <c r="Q15" s="21" t="s">
        <v>54</v>
      </c>
      <c r="R15" s="23"/>
      <c r="S15" s="9" t="str">
        <f>"487,5"</f>
        <v>487,5</v>
      </c>
      <c r="T15" s="9" t="str">
        <f>"306,7350"</f>
        <v>306,7350</v>
      </c>
      <c r="U15" s="7" t="s">
        <v>330</v>
      </c>
    </row>
  </sheetData>
  <mergeCells count="17">
    <mergeCell ref="A8:R8"/>
    <mergeCell ref="A11:R11"/>
    <mergeCell ref="A14:R14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5">
    <pageSetUpPr fitToPage="1"/>
  </sheetPr>
  <dimension ref="A1:U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66406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52" t="s">
        <v>342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7</v>
      </c>
      <c r="H3" s="64"/>
      <c r="I3" s="64"/>
      <c r="J3" s="64"/>
      <c r="K3" s="64" t="s">
        <v>8</v>
      </c>
      <c r="L3" s="64"/>
      <c r="M3" s="64"/>
      <c r="N3" s="64"/>
      <c r="O3" s="64" t="s">
        <v>9</v>
      </c>
      <c r="P3" s="64"/>
      <c r="Q3" s="64"/>
      <c r="R3" s="64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23" t="s">
        <v>30</v>
      </c>
      <c r="B6" s="7" t="s">
        <v>31</v>
      </c>
      <c r="C6" s="7" t="s">
        <v>11</v>
      </c>
      <c r="D6" s="7" t="s">
        <v>12</v>
      </c>
      <c r="E6" s="8" t="s">
        <v>365</v>
      </c>
      <c r="F6" s="7" t="s">
        <v>13</v>
      </c>
      <c r="G6" s="21" t="s">
        <v>14</v>
      </c>
      <c r="H6" s="21" t="s">
        <v>15</v>
      </c>
      <c r="I6" s="22" t="s">
        <v>16</v>
      </c>
      <c r="J6" s="23"/>
      <c r="K6" s="21" t="s">
        <v>17</v>
      </c>
      <c r="L6" s="21" t="s">
        <v>18</v>
      </c>
      <c r="M6" s="21" t="s">
        <v>19</v>
      </c>
      <c r="N6" s="23"/>
      <c r="O6" s="21" t="s">
        <v>20</v>
      </c>
      <c r="P6" s="21" t="s">
        <v>21</v>
      </c>
      <c r="Q6" s="22" t="s">
        <v>22</v>
      </c>
      <c r="R6" s="23"/>
      <c r="S6" s="9" t="str">
        <f>"702,5"</f>
        <v>702,5</v>
      </c>
      <c r="T6" s="9" t="str">
        <f>"473,4148"</f>
        <v>473,4148</v>
      </c>
      <c r="U6" s="7"/>
    </row>
    <row r="8" spans="1:21">
      <c r="E8" s="5"/>
      <c r="F8" s="10"/>
      <c r="G8" s="5"/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3.8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19" style="5" bestFit="1" customWidth="1"/>
    <col min="18" max="16384" width="9.1640625" style="3"/>
  </cols>
  <sheetData>
    <row r="1" spans="1:17" s="2" customFormat="1" ht="29" customHeight="1">
      <c r="A1" s="52" t="s">
        <v>343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8</v>
      </c>
      <c r="H3" s="64"/>
      <c r="I3" s="64"/>
      <c r="J3" s="64"/>
      <c r="K3" s="64" t="s">
        <v>9</v>
      </c>
      <c r="L3" s="64"/>
      <c r="M3" s="64"/>
      <c r="N3" s="64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89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23" t="s">
        <v>30</v>
      </c>
      <c r="B6" s="7" t="s">
        <v>311</v>
      </c>
      <c r="C6" s="7" t="s">
        <v>302</v>
      </c>
      <c r="D6" s="7" t="s">
        <v>131</v>
      </c>
      <c r="E6" s="8" t="s">
        <v>365</v>
      </c>
      <c r="F6" s="7" t="s">
        <v>44</v>
      </c>
      <c r="G6" s="21" t="s">
        <v>36</v>
      </c>
      <c r="H6" s="21" t="s">
        <v>45</v>
      </c>
      <c r="I6" s="21" t="s">
        <v>56</v>
      </c>
      <c r="J6" s="23"/>
      <c r="K6" s="21" t="s">
        <v>102</v>
      </c>
      <c r="L6" s="21" t="s">
        <v>303</v>
      </c>
      <c r="M6" s="21" t="s">
        <v>159</v>
      </c>
      <c r="N6" s="23"/>
      <c r="O6" s="9" t="str">
        <f>"340,0"</f>
        <v>340,0</v>
      </c>
      <c r="P6" s="9" t="str">
        <f>"217,0560"</f>
        <v>217,0560</v>
      </c>
      <c r="Q6" s="7" t="s">
        <v>336</v>
      </c>
    </row>
    <row r="8" spans="1:17">
      <c r="E8" s="5"/>
      <c r="F8" s="10"/>
      <c r="G8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60"/>
  <sheetViews>
    <sheetView topLeftCell="A19" workbookViewId="0">
      <selection activeCell="E49" sqref="E49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1.33203125" style="5" bestFit="1" customWidth="1"/>
    <col min="7" max="9" width="5.5" style="19" customWidth="1"/>
    <col min="10" max="10" width="4.83203125" style="19" customWidth="1"/>
    <col min="11" max="11" width="10.5" style="20" bestFit="1" customWidth="1"/>
    <col min="12" max="12" width="9.83203125" style="6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52" t="s">
        <v>344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8</v>
      </c>
      <c r="H3" s="64"/>
      <c r="I3" s="64"/>
      <c r="J3" s="64"/>
      <c r="K3" s="69" t="s">
        <v>175</v>
      </c>
      <c r="L3" s="46" t="s">
        <v>3</v>
      </c>
      <c r="M3" s="48" t="s">
        <v>2</v>
      </c>
    </row>
    <row r="4" spans="1:13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70"/>
      <c r="L4" s="47"/>
      <c r="M4" s="49"/>
    </row>
    <row r="5" spans="1:13" ht="16">
      <c r="A5" s="50" t="s">
        <v>191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3" t="s">
        <v>30</v>
      </c>
      <c r="B6" s="7" t="s">
        <v>255</v>
      </c>
      <c r="C6" s="7" t="s">
        <v>192</v>
      </c>
      <c r="D6" s="7" t="s">
        <v>193</v>
      </c>
      <c r="E6" s="8" t="s">
        <v>365</v>
      </c>
      <c r="F6" s="7" t="s">
        <v>44</v>
      </c>
      <c r="G6" s="21" t="s">
        <v>118</v>
      </c>
      <c r="H6" s="22" t="s">
        <v>40</v>
      </c>
      <c r="I6" s="22" t="s">
        <v>47</v>
      </c>
      <c r="J6" s="23"/>
      <c r="K6" s="42" t="str">
        <f>"45,0"</f>
        <v>45,0</v>
      </c>
      <c r="L6" s="9" t="str">
        <f>"53,1720"</f>
        <v>53,1720</v>
      </c>
      <c r="M6" s="7"/>
    </row>
    <row r="8" spans="1:13" ht="16">
      <c r="A8" s="65" t="s">
        <v>41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3" t="s">
        <v>30</v>
      </c>
      <c r="B9" s="7" t="s">
        <v>66</v>
      </c>
      <c r="C9" s="7" t="s">
        <v>42</v>
      </c>
      <c r="D9" s="7" t="s">
        <v>43</v>
      </c>
      <c r="E9" s="8" t="s">
        <v>365</v>
      </c>
      <c r="F9" s="7" t="s">
        <v>44</v>
      </c>
      <c r="G9" s="21" t="s">
        <v>47</v>
      </c>
      <c r="H9" s="21" t="s">
        <v>48</v>
      </c>
      <c r="I9" s="22" t="s">
        <v>49</v>
      </c>
      <c r="J9" s="23"/>
      <c r="K9" s="42" t="str">
        <f>"60,0"</f>
        <v>60,0</v>
      </c>
      <c r="L9" s="9" t="str">
        <f>"51,1740"</f>
        <v>51,1740</v>
      </c>
      <c r="M9" s="7"/>
    </row>
    <row r="11" spans="1:13" ht="16">
      <c r="A11" s="65" t="s">
        <v>32</v>
      </c>
      <c r="B11" s="65"/>
      <c r="C11" s="66"/>
      <c r="D11" s="66"/>
      <c r="E11" s="66"/>
      <c r="F11" s="66"/>
      <c r="G11" s="66"/>
      <c r="H11" s="66"/>
      <c r="I11" s="66"/>
      <c r="J11" s="66"/>
    </row>
    <row r="12" spans="1:13">
      <c r="A12" s="31" t="s">
        <v>30</v>
      </c>
      <c r="B12" s="24" t="s">
        <v>256</v>
      </c>
      <c r="C12" s="24" t="s">
        <v>194</v>
      </c>
      <c r="D12" s="24" t="s">
        <v>195</v>
      </c>
      <c r="E12" s="25" t="s">
        <v>369</v>
      </c>
      <c r="F12" s="24" t="s">
        <v>53</v>
      </c>
      <c r="G12" s="30" t="s">
        <v>35</v>
      </c>
      <c r="H12" s="38" t="s">
        <v>78</v>
      </c>
      <c r="I12" s="38"/>
      <c r="J12" s="31"/>
      <c r="K12" s="43" t="str">
        <f>"90,0"</f>
        <v>90,0</v>
      </c>
      <c r="L12" s="26" t="str">
        <f>"70,4880"</f>
        <v>70,4880</v>
      </c>
      <c r="M12" s="24" t="s">
        <v>331</v>
      </c>
    </row>
    <row r="13" spans="1:13">
      <c r="A13" s="39" t="s">
        <v>30</v>
      </c>
      <c r="B13" s="35" t="s">
        <v>257</v>
      </c>
      <c r="C13" s="35" t="s">
        <v>196</v>
      </c>
      <c r="D13" s="35" t="s">
        <v>197</v>
      </c>
      <c r="E13" s="36" t="s">
        <v>369</v>
      </c>
      <c r="F13" s="35" t="s">
        <v>44</v>
      </c>
      <c r="G13" s="40" t="s">
        <v>88</v>
      </c>
      <c r="H13" s="41" t="s">
        <v>142</v>
      </c>
      <c r="I13" s="41"/>
      <c r="J13" s="39"/>
      <c r="K13" s="44" t="str">
        <f>"77,5"</f>
        <v>77,5</v>
      </c>
      <c r="L13" s="37" t="str">
        <f>"62,9455"</f>
        <v>62,9455</v>
      </c>
      <c r="M13" s="35"/>
    </row>
    <row r="14" spans="1:13">
      <c r="A14" s="39" t="s">
        <v>187</v>
      </c>
      <c r="B14" s="35" t="s">
        <v>258</v>
      </c>
      <c r="C14" s="35" t="s">
        <v>198</v>
      </c>
      <c r="D14" s="35" t="s">
        <v>199</v>
      </c>
      <c r="E14" s="36" t="s">
        <v>366</v>
      </c>
      <c r="F14" s="35" t="s">
        <v>44</v>
      </c>
      <c r="G14" s="41" t="s">
        <v>36</v>
      </c>
      <c r="H14" s="41" t="s">
        <v>36</v>
      </c>
      <c r="I14" s="41" t="s">
        <v>36</v>
      </c>
      <c r="J14" s="39"/>
      <c r="K14" s="44">
        <v>0</v>
      </c>
      <c r="L14" s="37" t="str">
        <f>"0,0000"</f>
        <v>0,0000</v>
      </c>
      <c r="M14" s="35"/>
    </row>
    <row r="15" spans="1:13">
      <c r="A15" s="33" t="s">
        <v>30</v>
      </c>
      <c r="B15" s="27" t="s">
        <v>259</v>
      </c>
      <c r="C15" s="27" t="s">
        <v>200</v>
      </c>
      <c r="D15" s="27" t="s">
        <v>201</v>
      </c>
      <c r="E15" s="28" t="s">
        <v>365</v>
      </c>
      <c r="F15" s="27" t="s">
        <v>202</v>
      </c>
      <c r="G15" s="32" t="s">
        <v>35</v>
      </c>
      <c r="H15" s="34" t="s">
        <v>63</v>
      </c>
      <c r="I15" s="34" t="s">
        <v>63</v>
      </c>
      <c r="J15" s="33"/>
      <c r="K15" s="45" t="str">
        <f>"90,0"</f>
        <v>90,0</v>
      </c>
      <c r="L15" s="29" t="str">
        <f>"70,4070"</f>
        <v>70,4070</v>
      </c>
      <c r="M15" s="27"/>
    </row>
    <row r="17" spans="1:13" ht="16">
      <c r="A17" s="65" t="s">
        <v>84</v>
      </c>
      <c r="B17" s="65"/>
      <c r="C17" s="66"/>
      <c r="D17" s="66"/>
      <c r="E17" s="66"/>
      <c r="F17" s="66"/>
      <c r="G17" s="66"/>
      <c r="H17" s="66"/>
      <c r="I17" s="66"/>
      <c r="J17" s="66"/>
    </row>
    <row r="18" spans="1:13">
      <c r="A18" s="31" t="s">
        <v>30</v>
      </c>
      <c r="B18" s="24" t="s">
        <v>260</v>
      </c>
      <c r="C18" s="24" t="s">
        <v>203</v>
      </c>
      <c r="D18" s="24" t="s">
        <v>204</v>
      </c>
      <c r="E18" s="25" t="s">
        <v>366</v>
      </c>
      <c r="F18" s="24" t="s">
        <v>44</v>
      </c>
      <c r="G18" s="30" t="s">
        <v>81</v>
      </c>
      <c r="H18" s="30" t="s">
        <v>46</v>
      </c>
      <c r="I18" s="31"/>
      <c r="J18" s="31"/>
      <c r="K18" s="43" t="str">
        <f>"120,0"</f>
        <v>120,0</v>
      </c>
      <c r="L18" s="26" t="str">
        <f>"87,4200"</f>
        <v>87,4200</v>
      </c>
      <c r="M18" s="24" t="s">
        <v>338</v>
      </c>
    </row>
    <row r="19" spans="1:13">
      <c r="A19" s="39" t="s">
        <v>30</v>
      </c>
      <c r="B19" s="35" t="s">
        <v>261</v>
      </c>
      <c r="C19" s="35" t="s">
        <v>205</v>
      </c>
      <c r="D19" s="35" t="s">
        <v>206</v>
      </c>
      <c r="E19" s="36" t="s">
        <v>365</v>
      </c>
      <c r="F19" s="35" t="s">
        <v>44</v>
      </c>
      <c r="G19" s="40" t="s">
        <v>45</v>
      </c>
      <c r="H19" s="40" t="s">
        <v>56</v>
      </c>
      <c r="I19" s="41" t="s">
        <v>207</v>
      </c>
      <c r="J19" s="39"/>
      <c r="K19" s="44" t="str">
        <f>"115,0"</f>
        <v>115,0</v>
      </c>
      <c r="L19" s="37" t="str">
        <f>"83,6165"</f>
        <v>83,6165</v>
      </c>
      <c r="M19" s="35"/>
    </row>
    <row r="20" spans="1:13">
      <c r="A20" s="39" t="s">
        <v>114</v>
      </c>
      <c r="B20" s="35" t="s">
        <v>262</v>
      </c>
      <c r="C20" s="35" t="s">
        <v>208</v>
      </c>
      <c r="D20" s="35" t="s">
        <v>209</v>
      </c>
      <c r="E20" s="36" t="s">
        <v>365</v>
      </c>
      <c r="F20" s="35" t="s">
        <v>44</v>
      </c>
      <c r="G20" s="40" t="s">
        <v>45</v>
      </c>
      <c r="H20" s="41" t="s">
        <v>81</v>
      </c>
      <c r="I20" s="41" t="s">
        <v>81</v>
      </c>
      <c r="J20" s="39"/>
      <c r="K20" s="44" t="str">
        <f>"110,0"</f>
        <v>110,0</v>
      </c>
      <c r="L20" s="37" t="str">
        <f>"78,8260"</f>
        <v>78,8260</v>
      </c>
      <c r="M20" s="35"/>
    </row>
    <row r="21" spans="1:13">
      <c r="A21" s="39" t="s">
        <v>182</v>
      </c>
      <c r="B21" s="35" t="s">
        <v>263</v>
      </c>
      <c r="C21" s="35" t="s">
        <v>210</v>
      </c>
      <c r="D21" s="35" t="s">
        <v>211</v>
      </c>
      <c r="E21" s="36" t="s">
        <v>365</v>
      </c>
      <c r="F21" s="35" t="s">
        <v>44</v>
      </c>
      <c r="G21" s="41" t="s">
        <v>212</v>
      </c>
      <c r="H21" s="40" t="s">
        <v>212</v>
      </c>
      <c r="I21" s="40" t="s">
        <v>35</v>
      </c>
      <c r="J21" s="39"/>
      <c r="K21" s="44" t="str">
        <f>"90,0"</f>
        <v>90,0</v>
      </c>
      <c r="L21" s="37" t="str">
        <f>"68,4270"</f>
        <v>68,4270</v>
      </c>
      <c r="M21" s="35"/>
    </row>
    <row r="22" spans="1:13">
      <c r="A22" s="39" t="s">
        <v>264</v>
      </c>
      <c r="B22" s="35" t="s">
        <v>265</v>
      </c>
      <c r="C22" s="35" t="s">
        <v>213</v>
      </c>
      <c r="D22" s="35" t="s">
        <v>214</v>
      </c>
      <c r="E22" s="36" t="s">
        <v>365</v>
      </c>
      <c r="F22" s="35" t="s">
        <v>353</v>
      </c>
      <c r="G22" s="40" t="s">
        <v>72</v>
      </c>
      <c r="H22" s="41" t="s">
        <v>73</v>
      </c>
      <c r="I22" s="40" t="s">
        <v>73</v>
      </c>
      <c r="J22" s="39"/>
      <c r="K22" s="44" t="str">
        <f>"75,0"</f>
        <v>75,0</v>
      </c>
      <c r="L22" s="37" t="str">
        <f>"55,7250"</f>
        <v>55,7250</v>
      </c>
      <c r="M22" s="35"/>
    </row>
    <row r="23" spans="1:13">
      <c r="A23" s="39" t="s">
        <v>187</v>
      </c>
      <c r="B23" s="35" t="s">
        <v>266</v>
      </c>
      <c r="C23" s="35" t="s">
        <v>215</v>
      </c>
      <c r="D23" s="35" t="s">
        <v>216</v>
      </c>
      <c r="E23" s="36" t="s">
        <v>365</v>
      </c>
      <c r="F23" s="35" t="s">
        <v>44</v>
      </c>
      <c r="G23" s="41" t="s">
        <v>50</v>
      </c>
      <c r="H23" s="41" t="s">
        <v>50</v>
      </c>
      <c r="I23" s="41" t="s">
        <v>127</v>
      </c>
      <c r="J23" s="39"/>
      <c r="K23" s="44">
        <v>0</v>
      </c>
      <c r="L23" s="37" t="str">
        <f>"0,0000"</f>
        <v>0,0000</v>
      </c>
      <c r="M23" s="35"/>
    </row>
    <row r="24" spans="1:13">
      <c r="A24" s="39" t="s">
        <v>30</v>
      </c>
      <c r="B24" s="35" t="s">
        <v>267</v>
      </c>
      <c r="C24" s="35" t="s">
        <v>217</v>
      </c>
      <c r="D24" s="35" t="s">
        <v>218</v>
      </c>
      <c r="E24" s="36" t="s">
        <v>368</v>
      </c>
      <c r="F24" s="35" t="s">
        <v>44</v>
      </c>
      <c r="G24" s="40" t="s">
        <v>35</v>
      </c>
      <c r="H24" s="40" t="s">
        <v>36</v>
      </c>
      <c r="I24" s="39"/>
      <c r="J24" s="39"/>
      <c r="K24" s="44" t="str">
        <f>"100,0"</f>
        <v>100,0</v>
      </c>
      <c r="L24" s="37" t="str">
        <f>"78,4626"</f>
        <v>78,4626</v>
      </c>
      <c r="M24" s="35"/>
    </row>
    <row r="25" spans="1:13">
      <c r="A25" s="33" t="s">
        <v>30</v>
      </c>
      <c r="B25" s="27" t="s">
        <v>268</v>
      </c>
      <c r="C25" s="27" t="s">
        <v>219</v>
      </c>
      <c r="D25" s="27" t="s">
        <v>220</v>
      </c>
      <c r="E25" s="28" t="s">
        <v>367</v>
      </c>
      <c r="F25" s="27" t="s">
        <v>44</v>
      </c>
      <c r="G25" s="34" t="s">
        <v>221</v>
      </c>
      <c r="H25" s="32" t="s">
        <v>221</v>
      </c>
      <c r="I25" s="33"/>
      <c r="J25" s="33"/>
      <c r="K25" s="45" t="str">
        <f>"92,5"</f>
        <v>92,5</v>
      </c>
      <c r="L25" s="29" t="str">
        <f>"87,2137"</f>
        <v>87,2137</v>
      </c>
      <c r="M25" s="27"/>
    </row>
    <row r="27" spans="1:13" ht="16">
      <c r="A27" s="65" t="s">
        <v>10</v>
      </c>
      <c r="B27" s="65"/>
      <c r="C27" s="66"/>
      <c r="D27" s="66"/>
      <c r="E27" s="66"/>
      <c r="F27" s="66"/>
      <c r="G27" s="66"/>
      <c r="H27" s="66"/>
      <c r="I27" s="66"/>
      <c r="J27" s="66"/>
    </row>
    <row r="28" spans="1:13">
      <c r="A28" s="31" t="s">
        <v>30</v>
      </c>
      <c r="B28" s="24" t="s">
        <v>269</v>
      </c>
      <c r="C28" s="24" t="s">
        <v>222</v>
      </c>
      <c r="D28" s="24" t="s">
        <v>223</v>
      </c>
      <c r="E28" s="25" t="s">
        <v>369</v>
      </c>
      <c r="F28" s="24" t="s">
        <v>44</v>
      </c>
      <c r="G28" s="30" t="s">
        <v>221</v>
      </c>
      <c r="H28" s="30" t="s">
        <v>36</v>
      </c>
      <c r="I28" s="31"/>
      <c r="J28" s="31"/>
      <c r="K28" s="43" t="str">
        <f>"100,0"</f>
        <v>100,0</v>
      </c>
      <c r="L28" s="26" t="str">
        <f>"68,6500"</f>
        <v>68,6500</v>
      </c>
      <c r="M28" s="24" t="s">
        <v>337</v>
      </c>
    </row>
    <row r="29" spans="1:13">
      <c r="A29" s="39" t="s">
        <v>30</v>
      </c>
      <c r="B29" s="35" t="s">
        <v>270</v>
      </c>
      <c r="C29" s="35" t="s">
        <v>224</v>
      </c>
      <c r="D29" s="35" t="s">
        <v>225</v>
      </c>
      <c r="E29" s="36" t="s">
        <v>366</v>
      </c>
      <c r="F29" s="35" t="s">
        <v>44</v>
      </c>
      <c r="G29" s="40" t="s">
        <v>46</v>
      </c>
      <c r="H29" s="40" t="s">
        <v>226</v>
      </c>
      <c r="I29" s="39"/>
      <c r="J29" s="39"/>
      <c r="K29" s="44" t="str">
        <f>"127,5"</f>
        <v>127,5</v>
      </c>
      <c r="L29" s="37" t="str">
        <f>"86,7765"</f>
        <v>86,7765</v>
      </c>
      <c r="M29" s="35"/>
    </row>
    <row r="30" spans="1:13">
      <c r="A30" s="39" t="s">
        <v>30</v>
      </c>
      <c r="B30" s="35" t="s">
        <v>271</v>
      </c>
      <c r="C30" s="35" t="s">
        <v>228</v>
      </c>
      <c r="D30" s="35" t="s">
        <v>229</v>
      </c>
      <c r="E30" s="36" t="s">
        <v>365</v>
      </c>
      <c r="F30" s="35" t="s">
        <v>44</v>
      </c>
      <c r="G30" s="40" t="s">
        <v>226</v>
      </c>
      <c r="H30" s="40" t="s">
        <v>127</v>
      </c>
      <c r="I30" s="40" t="s">
        <v>100</v>
      </c>
      <c r="J30" s="39"/>
      <c r="K30" s="44" t="str">
        <f>"137,5"</f>
        <v>137,5</v>
      </c>
      <c r="L30" s="37" t="str">
        <f>"92,7300"</f>
        <v>92,7300</v>
      </c>
      <c r="M30" s="35"/>
    </row>
    <row r="31" spans="1:13">
      <c r="A31" s="39" t="s">
        <v>114</v>
      </c>
      <c r="B31" s="35" t="s">
        <v>272</v>
      </c>
      <c r="C31" s="35" t="s">
        <v>230</v>
      </c>
      <c r="D31" s="35" t="s">
        <v>225</v>
      </c>
      <c r="E31" s="36" t="s">
        <v>365</v>
      </c>
      <c r="F31" s="35" t="s">
        <v>353</v>
      </c>
      <c r="G31" s="40" t="s">
        <v>95</v>
      </c>
      <c r="H31" s="41" t="s">
        <v>105</v>
      </c>
      <c r="I31" s="41" t="s">
        <v>105</v>
      </c>
      <c r="J31" s="39"/>
      <c r="K31" s="44" t="str">
        <f>"135,0"</f>
        <v>135,0</v>
      </c>
      <c r="L31" s="37" t="str">
        <f>"91,8810"</f>
        <v>91,8810</v>
      </c>
      <c r="M31" s="35"/>
    </row>
    <row r="32" spans="1:13">
      <c r="A32" s="33" t="s">
        <v>182</v>
      </c>
      <c r="B32" s="27" t="s">
        <v>134</v>
      </c>
      <c r="C32" s="27" t="s">
        <v>123</v>
      </c>
      <c r="D32" s="27" t="s">
        <v>52</v>
      </c>
      <c r="E32" s="28" t="s">
        <v>365</v>
      </c>
      <c r="F32" s="27" t="s">
        <v>44</v>
      </c>
      <c r="G32" s="32" t="s">
        <v>57</v>
      </c>
      <c r="H32" s="32" t="s">
        <v>50</v>
      </c>
      <c r="I32" s="34" t="s">
        <v>95</v>
      </c>
      <c r="J32" s="33"/>
      <c r="K32" s="45" t="str">
        <f>"130,0"</f>
        <v>130,0</v>
      </c>
      <c r="L32" s="29" t="str">
        <f>"87,5420"</f>
        <v>87,5420</v>
      </c>
      <c r="M32" s="27"/>
    </row>
    <row r="34" spans="1:13" ht="16">
      <c r="A34" s="65" t="s">
        <v>89</v>
      </c>
      <c r="B34" s="65"/>
      <c r="C34" s="66"/>
      <c r="D34" s="66"/>
      <c r="E34" s="66"/>
      <c r="F34" s="66"/>
      <c r="G34" s="66"/>
      <c r="H34" s="66"/>
      <c r="I34" s="66"/>
      <c r="J34" s="66"/>
    </row>
    <row r="35" spans="1:13">
      <c r="A35" s="31" t="s">
        <v>30</v>
      </c>
      <c r="B35" s="24" t="s">
        <v>273</v>
      </c>
      <c r="C35" s="24" t="s">
        <v>231</v>
      </c>
      <c r="D35" s="24" t="s">
        <v>232</v>
      </c>
      <c r="E35" s="25" t="s">
        <v>365</v>
      </c>
      <c r="F35" s="24" t="s">
        <v>233</v>
      </c>
      <c r="G35" s="30" t="s">
        <v>57</v>
      </c>
      <c r="H35" s="30" t="s">
        <v>127</v>
      </c>
      <c r="I35" s="38" t="s">
        <v>100</v>
      </c>
      <c r="J35" s="31"/>
      <c r="K35" s="43" t="str">
        <f>"132,5"</f>
        <v>132,5</v>
      </c>
      <c r="L35" s="26" t="str">
        <f>"84,9723"</f>
        <v>84,9723</v>
      </c>
      <c r="M35" s="24"/>
    </row>
    <row r="36" spans="1:13">
      <c r="A36" s="33" t="s">
        <v>114</v>
      </c>
      <c r="B36" s="27" t="s">
        <v>274</v>
      </c>
      <c r="C36" s="27" t="s">
        <v>234</v>
      </c>
      <c r="D36" s="27" t="s">
        <v>235</v>
      </c>
      <c r="E36" s="28" t="s">
        <v>365</v>
      </c>
      <c r="F36" s="27" t="s">
        <v>166</v>
      </c>
      <c r="G36" s="32" t="s">
        <v>57</v>
      </c>
      <c r="H36" s="32" t="s">
        <v>127</v>
      </c>
      <c r="I36" s="34" t="s">
        <v>100</v>
      </c>
      <c r="J36" s="33"/>
      <c r="K36" s="45" t="str">
        <f>"132,5"</f>
        <v>132,5</v>
      </c>
      <c r="L36" s="29" t="str">
        <f>"84,8265"</f>
        <v>84,8265</v>
      </c>
      <c r="M36" s="27"/>
    </row>
    <row r="38" spans="1:13" ht="16">
      <c r="A38" s="65" t="s">
        <v>58</v>
      </c>
      <c r="B38" s="65"/>
      <c r="C38" s="66"/>
      <c r="D38" s="66"/>
      <c r="E38" s="66"/>
      <c r="F38" s="66"/>
      <c r="G38" s="66"/>
      <c r="H38" s="66"/>
      <c r="I38" s="66"/>
      <c r="J38" s="66"/>
    </row>
    <row r="39" spans="1:13">
      <c r="A39" s="31" t="s">
        <v>30</v>
      </c>
      <c r="B39" s="24" t="s">
        <v>275</v>
      </c>
      <c r="C39" s="24" t="s">
        <v>236</v>
      </c>
      <c r="D39" s="24" t="s">
        <v>237</v>
      </c>
      <c r="E39" s="25" t="s">
        <v>368</v>
      </c>
      <c r="F39" s="24" t="s">
        <v>44</v>
      </c>
      <c r="G39" s="30" t="s">
        <v>50</v>
      </c>
      <c r="H39" s="38" t="s">
        <v>96</v>
      </c>
      <c r="I39" s="38"/>
      <c r="J39" s="31"/>
      <c r="K39" s="43" t="str">
        <f>"130,0"</f>
        <v>130,0</v>
      </c>
      <c r="L39" s="26" t="str">
        <f>"81,3333"</f>
        <v>81,3333</v>
      </c>
      <c r="M39" s="24"/>
    </row>
    <row r="40" spans="1:13">
      <c r="A40" s="39" t="s">
        <v>30</v>
      </c>
      <c r="B40" s="35" t="s">
        <v>183</v>
      </c>
      <c r="C40" s="35" t="s">
        <v>238</v>
      </c>
      <c r="D40" s="35" t="s">
        <v>154</v>
      </c>
      <c r="E40" s="36" t="s">
        <v>367</v>
      </c>
      <c r="F40" s="35" t="s">
        <v>44</v>
      </c>
      <c r="G40" s="40" t="s">
        <v>45</v>
      </c>
      <c r="H40" s="40" t="s">
        <v>81</v>
      </c>
      <c r="I40" s="39"/>
      <c r="J40" s="39"/>
      <c r="K40" s="44" t="str">
        <f>"117,5"</f>
        <v>117,5</v>
      </c>
      <c r="L40" s="37" t="str">
        <f>"92,0319"</f>
        <v>92,0319</v>
      </c>
      <c r="M40" s="35"/>
    </row>
    <row r="41" spans="1:13">
      <c r="A41" s="33" t="s">
        <v>30</v>
      </c>
      <c r="B41" s="27" t="s">
        <v>276</v>
      </c>
      <c r="C41" s="27" t="s">
        <v>239</v>
      </c>
      <c r="D41" s="27" t="s">
        <v>240</v>
      </c>
      <c r="E41" s="28" t="s">
        <v>370</v>
      </c>
      <c r="F41" s="27" t="s">
        <v>44</v>
      </c>
      <c r="G41" s="32" t="s">
        <v>87</v>
      </c>
      <c r="H41" s="32" t="s">
        <v>61</v>
      </c>
      <c r="I41" s="33"/>
      <c r="J41" s="33"/>
      <c r="K41" s="45" t="str">
        <f>"150,0"</f>
        <v>150,0</v>
      </c>
      <c r="L41" s="29" t="str">
        <f>"147,4699"</f>
        <v>147,4699</v>
      </c>
      <c r="M41" s="27"/>
    </row>
    <row r="43" spans="1:13" ht="16">
      <c r="A43" s="65" t="s">
        <v>155</v>
      </c>
      <c r="B43" s="65"/>
      <c r="C43" s="66"/>
      <c r="D43" s="66"/>
      <c r="E43" s="66"/>
      <c r="F43" s="66"/>
      <c r="G43" s="66"/>
      <c r="H43" s="66"/>
      <c r="I43" s="66"/>
      <c r="J43" s="66"/>
    </row>
    <row r="44" spans="1:13">
      <c r="A44" s="31" t="s">
        <v>30</v>
      </c>
      <c r="B44" s="24" t="s">
        <v>277</v>
      </c>
      <c r="C44" s="24" t="s">
        <v>242</v>
      </c>
      <c r="D44" s="24" t="s">
        <v>243</v>
      </c>
      <c r="E44" s="25" t="s">
        <v>365</v>
      </c>
      <c r="F44" s="24" t="s">
        <v>44</v>
      </c>
      <c r="G44" s="30" t="s">
        <v>62</v>
      </c>
      <c r="H44" s="30" t="s">
        <v>244</v>
      </c>
      <c r="I44" s="31"/>
      <c r="J44" s="31"/>
      <c r="K44" s="43" t="str">
        <f>"167,5"</f>
        <v>167,5</v>
      </c>
      <c r="L44" s="26" t="str">
        <f>"98,5738"</f>
        <v>98,5738</v>
      </c>
      <c r="M44" s="24"/>
    </row>
    <row r="45" spans="1:13">
      <c r="A45" s="39" t="s">
        <v>114</v>
      </c>
      <c r="B45" s="35" t="s">
        <v>278</v>
      </c>
      <c r="C45" s="35" t="s">
        <v>246</v>
      </c>
      <c r="D45" s="35" t="s">
        <v>247</v>
      </c>
      <c r="E45" s="36" t="s">
        <v>365</v>
      </c>
      <c r="F45" s="35" t="s">
        <v>353</v>
      </c>
      <c r="G45" s="40" t="s">
        <v>95</v>
      </c>
      <c r="H45" s="40" t="s">
        <v>96</v>
      </c>
      <c r="I45" s="40" t="s">
        <v>248</v>
      </c>
      <c r="J45" s="39"/>
      <c r="K45" s="44" t="str">
        <f>"147,5"</f>
        <v>147,5</v>
      </c>
      <c r="L45" s="37" t="str">
        <f>"87,0987"</f>
        <v>87,0987</v>
      </c>
      <c r="M45" s="35"/>
    </row>
    <row r="46" spans="1:13">
      <c r="A46" s="39" t="s">
        <v>30</v>
      </c>
      <c r="B46" s="35" t="s">
        <v>279</v>
      </c>
      <c r="C46" s="35" t="s">
        <v>249</v>
      </c>
      <c r="D46" s="35" t="s">
        <v>250</v>
      </c>
      <c r="E46" s="36" t="s">
        <v>368</v>
      </c>
      <c r="F46" s="35" t="s">
        <v>44</v>
      </c>
      <c r="G46" s="40" t="s">
        <v>96</v>
      </c>
      <c r="H46" s="41" t="s">
        <v>248</v>
      </c>
      <c r="I46" s="41"/>
      <c r="J46" s="39"/>
      <c r="K46" s="44" t="str">
        <f>"140,0"</f>
        <v>140,0</v>
      </c>
      <c r="L46" s="37" t="str">
        <f>"82,8940"</f>
        <v>82,8940</v>
      </c>
      <c r="M46" s="35"/>
    </row>
    <row r="47" spans="1:13">
      <c r="A47" s="39" t="s">
        <v>30</v>
      </c>
      <c r="B47" s="35" t="s">
        <v>280</v>
      </c>
      <c r="C47" s="35" t="s">
        <v>251</v>
      </c>
      <c r="D47" s="35" t="s">
        <v>252</v>
      </c>
      <c r="E47" s="36" t="s">
        <v>367</v>
      </c>
      <c r="F47" s="35" t="s">
        <v>44</v>
      </c>
      <c r="G47" s="40" t="s">
        <v>105</v>
      </c>
      <c r="H47" s="40" t="s">
        <v>61</v>
      </c>
      <c r="I47" s="40" t="s">
        <v>144</v>
      </c>
      <c r="J47" s="39"/>
      <c r="K47" s="44" t="str">
        <f>"155,0"</f>
        <v>155,0</v>
      </c>
      <c r="L47" s="37" t="str">
        <f>"106,6869"</f>
        <v>106,6869</v>
      </c>
      <c r="M47" s="35"/>
    </row>
    <row r="48" spans="1:13">
      <c r="A48" s="33" t="s">
        <v>114</v>
      </c>
      <c r="B48" s="27" t="s">
        <v>281</v>
      </c>
      <c r="C48" s="27" t="s">
        <v>253</v>
      </c>
      <c r="D48" s="27" t="s">
        <v>254</v>
      </c>
      <c r="E48" s="28" t="s">
        <v>367</v>
      </c>
      <c r="F48" s="27" t="s">
        <v>44</v>
      </c>
      <c r="G48" s="32" t="s">
        <v>95</v>
      </c>
      <c r="H48" s="34" t="s">
        <v>87</v>
      </c>
      <c r="I48" s="34" t="s">
        <v>87</v>
      </c>
      <c r="J48" s="33"/>
      <c r="K48" s="45" t="str">
        <f>"135,0"</f>
        <v>135,0</v>
      </c>
      <c r="L48" s="29" t="str">
        <f>"91,7838"</f>
        <v>91,7838</v>
      </c>
      <c r="M48" s="27" t="s">
        <v>330</v>
      </c>
    </row>
    <row r="50" spans="2:13" ht="16">
      <c r="F50" s="11"/>
      <c r="G50" s="5"/>
      <c r="M50" s="6"/>
    </row>
    <row r="51" spans="2:13">
      <c r="G51" s="5"/>
      <c r="M51" s="6"/>
    </row>
    <row r="52" spans="2:13" ht="18">
      <c r="B52" s="12" t="s">
        <v>23</v>
      </c>
      <c r="C52" s="12"/>
      <c r="G52" s="3"/>
      <c r="M52" s="6"/>
    </row>
    <row r="53" spans="2:13" ht="16">
      <c r="B53" s="13" t="s">
        <v>24</v>
      </c>
      <c r="C53" s="13"/>
      <c r="G53" s="3"/>
      <c r="M53" s="6"/>
    </row>
    <row r="54" spans="2:13" ht="14">
      <c r="B54" s="14"/>
      <c r="C54" s="15" t="s">
        <v>25</v>
      </c>
      <c r="G54" s="3"/>
      <c r="M54" s="6"/>
    </row>
    <row r="55" spans="2:13" ht="14">
      <c r="B55" s="16" t="s">
        <v>26</v>
      </c>
      <c r="C55" s="16" t="s">
        <v>27</v>
      </c>
      <c r="D55" s="16" t="s">
        <v>352</v>
      </c>
      <c r="E55" s="17" t="s">
        <v>173</v>
      </c>
      <c r="F55" s="16" t="s">
        <v>28</v>
      </c>
      <c r="G55" s="3"/>
      <c r="M55" s="6"/>
    </row>
    <row r="56" spans="2:13">
      <c r="B56" s="5" t="s">
        <v>241</v>
      </c>
      <c r="C56" s="5" t="s">
        <v>25</v>
      </c>
      <c r="D56" s="19" t="s">
        <v>174</v>
      </c>
      <c r="E56" s="20">
        <v>167.5</v>
      </c>
      <c r="F56" s="18">
        <v>98.573753833770795</v>
      </c>
      <c r="G56" s="3"/>
      <c r="M56" s="6"/>
    </row>
    <row r="57" spans="2:13">
      <c r="B57" s="5" t="s">
        <v>245</v>
      </c>
      <c r="C57" s="5" t="s">
        <v>25</v>
      </c>
      <c r="D57" s="19" t="s">
        <v>174</v>
      </c>
      <c r="E57" s="20">
        <v>147.5</v>
      </c>
      <c r="F57" s="18">
        <v>87.098749577999101</v>
      </c>
      <c r="G57" s="3"/>
      <c r="M57" s="6"/>
    </row>
    <row r="58" spans="2:13">
      <c r="B58" s="5" t="s">
        <v>227</v>
      </c>
      <c r="C58" s="5" t="s">
        <v>25</v>
      </c>
      <c r="D58" s="19" t="s">
        <v>29</v>
      </c>
      <c r="E58" s="20">
        <v>137.5</v>
      </c>
      <c r="F58" s="18">
        <v>92.729996144771604</v>
      </c>
      <c r="G58" s="3"/>
      <c r="M58" s="6"/>
    </row>
    <row r="59" spans="2:13">
      <c r="E59" s="5"/>
      <c r="F59" s="10"/>
      <c r="G59" s="5"/>
      <c r="M59" s="6"/>
    </row>
    <row r="60" spans="2:13">
      <c r="E60" s="5"/>
      <c r="F60" s="10"/>
      <c r="G60" s="5"/>
      <c r="M60" s="6"/>
    </row>
  </sheetData>
  <mergeCells count="19">
    <mergeCell ref="A43:J43"/>
    <mergeCell ref="B3:B4"/>
    <mergeCell ref="A8:J8"/>
    <mergeCell ref="A11:J11"/>
    <mergeCell ref="A17:J17"/>
    <mergeCell ref="A27:J27"/>
    <mergeCell ref="A34:J34"/>
    <mergeCell ref="A38:J3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2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" style="5" bestFit="1" customWidth="1"/>
    <col min="7" max="9" width="5.5" style="19" customWidth="1"/>
    <col min="10" max="10" width="4.83203125" style="19" customWidth="1"/>
    <col min="11" max="11" width="10.5" style="20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52" t="s">
        <v>345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8</v>
      </c>
      <c r="H3" s="64"/>
      <c r="I3" s="64"/>
      <c r="J3" s="64"/>
      <c r="K3" s="69" t="s">
        <v>175</v>
      </c>
      <c r="L3" s="46" t="s">
        <v>3</v>
      </c>
      <c r="M3" s="48" t="s">
        <v>2</v>
      </c>
    </row>
    <row r="4" spans="1:13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70"/>
      <c r="L4" s="47"/>
      <c r="M4" s="49"/>
    </row>
    <row r="5" spans="1:13" ht="16">
      <c r="A5" s="50" t="s">
        <v>84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31" t="s">
        <v>30</v>
      </c>
      <c r="B6" s="24" t="s">
        <v>176</v>
      </c>
      <c r="C6" s="24" t="s">
        <v>137</v>
      </c>
      <c r="D6" s="24" t="s">
        <v>138</v>
      </c>
      <c r="E6" s="25" t="s">
        <v>365</v>
      </c>
      <c r="F6" s="24" t="s">
        <v>44</v>
      </c>
      <c r="G6" s="30" t="s">
        <v>49</v>
      </c>
      <c r="H6" s="30" t="s">
        <v>72</v>
      </c>
      <c r="I6" s="30" t="s">
        <v>73</v>
      </c>
      <c r="J6" s="31"/>
      <c r="K6" s="43" t="str">
        <f>"75,0"</f>
        <v>75,0</v>
      </c>
      <c r="L6" s="26" t="str">
        <f>"71,9025"</f>
        <v>71,9025</v>
      </c>
      <c r="M6" s="24" t="s">
        <v>354</v>
      </c>
    </row>
    <row r="7" spans="1:13">
      <c r="A7" s="33" t="s">
        <v>30</v>
      </c>
      <c r="B7" s="27" t="s">
        <v>176</v>
      </c>
      <c r="C7" s="27" t="s">
        <v>139</v>
      </c>
      <c r="D7" s="27" t="s">
        <v>138</v>
      </c>
      <c r="E7" s="28" t="s">
        <v>367</v>
      </c>
      <c r="F7" s="27" t="s">
        <v>44</v>
      </c>
      <c r="G7" s="32" t="s">
        <v>49</v>
      </c>
      <c r="H7" s="32" t="s">
        <v>72</v>
      </c>
      <c r="I7" s="32" t="s">
        <v>73</v>
      </c>
      <c r="J7" s="33"/>
      <c r="K7" s="45" t="str">
        <f>"75,0"</f>
        <v>75,0</v>
      </c>
      <c r="L7" s="29" t="str">
        <f>"85,3483"</f>
        <v>85,3483</v>
      </c>
      <c r="M7" s="27" t="s">
        <v>354</v>
      </c>
    </row>
    <row r="9" spans="1:13" ht="16">
      <c r="A9" s="65" t="s">
        <v>84</v>
      </c>
      <c r="B9" s="65"/>
      <c r="C9" s="66"/>
      <c r="D9" s="66"/>
      <c r="E9" s="66"/>
      <c r="F9" s="66"/>
      <c r="G9" s="66"/>
      <c r="H9" s="66"/>
      <c r="I9" s="66"/>
      <c r="J9" s="66"/>
    </row>
    <row r="10" spans="1:13">
      <c r="A10" s="23" t="s">
        <v>30</v>
      </c>
      <c r="B10" s="7" t="s">
        <v>177</v>
      </c>
      <c r="C10" s="7" t="s">
        <v>140</v>
      </c>
      <c r="D10" s="7" t="s">
        <v>141</v>
      </c>
      <c r="E10" s="8" t="s">
        <v>366</v>
      </c>
      <c r="F10" s="7" t="s">
        <v>44</v>
      </c>
      <c r="G10" s="21" t="s">
        <v>73</v>
      </c>
      <c r="H10" s="21" t="s">
        <v>142</v>
      </c>
      <c r="I10" s="23"/>
      <c r="J10" s="23"/>
      <c r="K10" s="42" t="str">
        <f>"82,5"</f>
        <v>82,5</v>
      </c>
      <c r="L10" s="9" t="str">
        <f>"61,1655"</f>
        <v>61,1655</v>
      </c>
      <c r="M10" s="7"/>
    </row>
    <row r="12" spans="1:13" ht="16">
      <c r="A12" s="65" t="s">
        <v>89</v>
      </c>
      <c r="B12" s="65"/>
      <c r="C12" s="66"/>
      <c r="D12" s="66"/>
      <c r="E12" s="66"/>
      <c r="F12" s="66"/>
      <c r="G12" s="66"/>
      <c r="H12" s="66"/>
      <c r="I12" s="66"/>
      <c r="J12" s="66"/>
    </row>
    <row r="13" spans="1:13">
      <c r="A13" s="31" t="s">
        <v>30</v>
      </c>
      <c r="B13" s="24" t="s">
        <v>178</v>
      </c>
      <c r="C13" s="24" t="s">
        <v>143</v>
      </c>
      <c r="D13" s="24" t="s">
        <v>131</v>
      </c>
      <c r="E13" s="25" t="s">
        <v>365</v>
      </c>
      <c r="F13" s="24" t="s">
        <v>44</v>
      </c>
      <c r="G13" s="30" t="s">
        <v>61</v>
      </c>
      <c r="H13" s="30" t="s">
        <v>144</v>
      </c>
      <c r="I13" s="30" t="s">
        <v>62</v>
      </c>
      <c r="J13" s="31"/>
      <c r="K13" s="43" t="str">
        <f>"160,0"</f>
        <v>160,0</v>
      </c>
      <c r="L13" s="26" t="str">
        <f>"102,1440"</f>
        <v>102,1440</v>
      </c>
      <c r="M13" s="24"/>
    </row>
    <row r="14" spans="1:13">
      <c r="A14" s="33" t="s">
        <v>30</v>
      </c>
      <c r="B14" s="27" t="s">
        <v>178</v>
      </c>
      <c r="C14" s="27" t="s">
        <v>145</v>
      </c>
      <c r="D14" s="27" t="s">
        <v>131</v>
      </c>
      <c r="E14" s="28" t="s">
        <v>370</v>
      </c>
      <c r="F14" s="27" t="s">
        <v>44</v>
      </c>
      <c r="G14" s="32" t="s">
        <v>61</v>
      </c>
      <c r="H14" s="32" t="s">
        <v>144</v>
      </c>
      <c r="I14" s="32" t="s">
        <v>62</v>
      </c>
      <c r="J14" s="33"/>
      <c r="K14" s="45" t="str">
        <f>"160,0"</f>
        <v>160,0</v>
      </c>
      <c r="L14" s="29" t="str">
        <f>"140,9587"</f>
        <v>140,9587</v>
      </c>
      <c r="M14" s="27"/>
    </row>
    <row r="16" spans="1:13" ht="16">
      <c r="A16" s="65" t="s">
        <v>58</v>
      </c>
      <c r="B16" s="65"/>
      <c r="C16" s="66"/>
      <c r="D16" s="66"/>
      <c r="E16" s="66"/>
      <c r="F16" s="66"/>
      <c r="G16" s="66"/>
      <c r="H16" s="66"/>
      <c r="I16" s="66"/>
      <c r="J16" s="66"/>
    </row>
    <row r="17" spans="1:13">
      <c r="A17" s="31" t="s">
        <v>30</v>
      </c>
      <c r="B17" s="24" t="s">
        <v>179</v>
      </c>
      <c r="C17" s="24" t="s">
        <v>146</v>
      </c>
      <c r="D17" s="24" t="s">
        <v>147</v>
      </c>
      <c r="E17" s="25" t="s">
        <v>366</v>
      </c>
      <c r="F17" s="24" t="s">
        <v>44</v>
      </c>
      <c r="G17" s="30" t="s">
        <v>127</v>
      </c>
      <c r="H17" s="38" t="s">
        <v>96</v>
      </c>
      <c r="I17" s="38"/>
      <c r="J17" s="31"/>
      <c r="K17" s="43" t="str">
        <f>"132,5"</f>
        <v>132,5</v>
      </c>
      <c r="L17" s="26" t="str">
        <f>"82,2295"</f>
        <v>82,2295</v>
      </c>
      <c r="M17" s="24" t="s">
        <v>329</v>
      </c>
    </row>
    <row r="18" spans="1:13">
      <c r="A18" s="39" t="s">
        <v>30</v>
      </c>
      <c r="B18" s="35" t="s">
        <v>180</v>
      </c>
      <c r="C18" s="35" t="s">
        <v>148</v>
      </c>
      <c r="D18" s="35" t="s">
        <v>149</v>
      </c>
      <c r="E18" s="36" t="s">
        <v>365</v>
      </c>
      <c r="F18" s="35" t="s">
        <v>44</v>
      </c>
      <c r="G18" s="40" t="s">
        <v>105</v>
      </c>
      <c r="H18" s="40" t="s">
        <v>144</v>
      </c>
      <c r="I18" s="40" t="s">
        <v>62</v>
      </c>
      <c r="J18" s="39"/>
      <c r="K18" s="44" t="str">
        <f>"160,0"</f>
        <v>160,0</v>
      </c>
      <c r="L18" s="37" t="str">
        <f>"100,6080"</f>
        <v>100,6080</v>
      </c>
      <c r="M18" s="35" t="s">
        <v>335</v>
      </c>
    </row>
    <row r="19" spans="1:13">
      <c r="A19" s="39" t="s">
        <v>114</v>
      </c>
      <c r="B19" s="35" t="s">
        <v>181</v>
      </c>
      <c r="C19" s="35" t="s">
        <v>151</v>
      </c>
      <c r="D19" s="35" t="s">
        <v>152</v>
      </c>
      <c r="E19" s="36" t="s">
        <v>365</v>
      </c>
      <c r="F19" s="35" t="s">
        <v>44</v>
      </c>
      <c r="G19" s="40" t="s">
        <v>57</v>
      </c>
      <c r="H19" s="40" t="s">
        <v>127</v>
      </c>
      <c r="I19" s="40" t="s">
        <v>96</v>
      </c>
      <c r="J19" s="39"/>
      <c r="K19" s="44" t="str">
        <f>"140,0"</f>
        <v>140,0</v>
      </c>
      <c r="L19" s="37" t="str">
        <f>"87,0800"</f>
        <v>87,0800</v>
      </c>
      <c r="M19" s="35"/>
    </row>
    <row r="20" spans="1:13">
      <c r="A20" s="33" t="s">
        <v>182</v>
      </c>
      <c r="B20" s="27" t="s">
        <v>183</v>
      </c>
      <c r="C20" s="27" t="s">
        <v>153</v>
      </c>
      <c r="D20" s="27" t="s">
        <v>154</v>
      </c>
      <c r="E20" s="28" t="s">
        <v>365</v>
      </c>
      <c r="F20" s="27" t="s">
        <v>44</v>
      </c>
      <c r="G20" s="32" t="s">
        <v>45</v>
      </c>
      <c r="H20" s="32" t="s">
        <v>81</v>
      </c>
      <c r="I20" s="33"/>
      <c r="J20" s="33"/>
      <c r="K20" s="45" t="str">
        <f>"117,5"</f>
        <v>117,5</v>
      </c>
      <c r="L20" s="29" t="str">
        <f>"73,6255"</f>
        <v>73,6255</v>
      </c>
      <c r="M20" s="27"/>
    </row>
    <row r="22" spans="1:13" ht="16">
      <c r="A22" s="65" t="s">
        <v>155</v>
      </c>
      <c r="B22" s="65"/>
      <c r="C22" s="66"/>
      <c r="D22" s="66"/>
      <c r="E22" s="66"/>
      <c r="F22" s="66"/>
      <c r="G22" s="66"/>
      <c r="H22" s="66"/>
      <c r="I22" s="66"/>
      <c r="J22" s="66"/>
    </row>
    <row r="23" spans="1:13">
      <c r="A23" s="31" t="s">
        <v>30</v>
      </c>
      <c r="B23" s="24" t="s">
        <v>184</v>
      </c>
      <c r="C23" s="24" t="s">
        <v>156</v>
      </c>
      <c r="D23" s="24" t="s">
        <v>157</v>
      </c>
      <c r="E23" s="25" t="s">
        <v>365</v>
      </c>
      <c r="F23" s="24" t="s">
        <v>44</v>
      </c>
      <c r="G23" s="30" t="s">
        <v>83</v>
      </c>
      <c r="H23" s="30" t="s">
        <v>158</v>
      </c>
      <c r="I23" s="38" t="s">
        <v>159</v>
      </c>
      <c r="J23" s="31"/>
      <c r="K23" s="43" t="str">
        <f>"217,5"</f>
        <v>217,5</v>
      </c>
      <c r="L23" s="26" t="str">
        <f>"128,3685"</f>
        <v>128,3685</v>
      </c>
      <c r="M23" s="24"/>
    </row>
    <row r="24" spans="1:13">
      <c r="A24" s="39" t="s">
        <v>114</v>
      </c>
      <c r="B24" s="35" t="s">
        <v>185</v>
      </c>
      <c r="C24" s="35" t="s">
        <v>161</v>
      </c>
      <c r="D24" s="35" t="s">
        <v>157</v>
      </c>
      <c r="E24" s="36" t="s">
        <v>365</v>
      </c>
      <c r="F24" s="35" t="s">
        <v>44</v>
      </c>
      <c r="G24" s="40" t="s">
        <v>82</v>
      </c>
      <c r="H24" s="40" t="s">
        <v>54</v>
      </c>
      <c r="I24" s="40" t="s">
        <v>162</v>
      </c>
      <c r="J24" s="39"/>
      <c r="K24" s="44" t="str">
        <f>"207,5"</f>
        <v>207,5</v>
      </c>
      <c r="L24" s="37" t="str">
        <f>"122,4665"</f>
        <v>122,4665</v>
      </c>
      <c r="M24" s="35"/>
    </row>
    <row r="25" spans="1:13">
      <c r="A25" s="39" t="s">
        <v>182</v>
      </c>
      <c r="B25" s="35" t="s">
        <v>186</v>
      </c>
      <c r="C25" s="35" t="s">
        <v>164</v>
      </c>
      <c r="D25" s="35" t="s">
        <v>165</v>
      </c>
      <c r="E25" s="36" t="s">
        <v>365</v>
      </c>
      <c r="F25" s="35" t="s">
        <v>166</v>
      </c>
      <c r="G25" s="40" t="s">
        <v>18</v>
      </c>
      <c r="H25" s="41" t="s">
        <v>101</v>
      </c>
      <c r="I25" s="41" t="s">
        <v>101</v>
      </c>
      <c r="J25" s="39"/>
      <c r="K25" s="44" t="str">
        <f>"180,0"</f>
        <v>180,0</v>
      </c>
      <c r="L25" s="37" t="str">
        <f>"106,5420"</f>
        <v>106,5420</v>
      </c>
      <c r="M25" s="35"/>
    </row>
    <row r="26" spans="1:13">
      <c r="A26" s="39" t="s">
        <v>187</v>
      </c>
      <c r="B26" s="35" t="s">
        <v>188</v>
      </c>
      <c r="C26" s="35" t="s">
        <v>167</v>
      </c>
      <c r="D26" s="35" t="s">
        <v>168</v>
      </c>
      <c r="E26" s="36" t="s">
        <v>365</v>
      </c>
      <c r="F26" s="35" t="s">
        <v>44</v>
      </c>
      <c r="G26" s="41" t="s">
        <v>56</v>
      </c>
      <c r="H26" s="41" t="s">
        <v>46</v>
      </c>
      <c r="I26" s="41" t="s">
        <v>46</v>
      </c>
      <c r="J26" s="39"/>
      <c r="K26" s="44">
        <v>0</v>
      </c>
      <c r="L26" s="37" t="str">
        <f>"0,0000"</f>
        <v>0,0000</v>
      </c>
      <c r="M26" s="35"/>
    </row>
    <row r="27" spans="1:13">
      <c r="A27" s="33" t="s">
        <v>30</v>
      </c>
      <c r="B27" s="27" t="s">
        <v>189</v>
      </c>
      <c r="C27" s="27" t="s">
        <v>169</v>
      </c>
      <c r="D27" s="27" t="s">
        <v>170</v>
      </c>
      <c r="E27" s="28" t="s">
        <v>367</v>
      </c>
      <c r="F27" s="27" t="s">
        <v>44</v>
      </c>
      <c r="G27" s="32" t="s">
        <v>57</v>
      </c>
      <c r="H27" s="32" t="s">
        <v>127</v>
      </c>
      <c r="I27" s="32" t="s">
        <v>95</v>
      </c>
      <c r="J27" s="33"/>
      <c r="K27" s="45" t="str">
        <f>"135,0"</f>
        <v>135,0</v>
      </c>
      <c r="L27" s="29" t="str">
        <f>"104,2866"</f>
        <v>104,2866</v>
      </c>
      <c r="M27" s="27" t="s">
        <v>329</v>
      </c>
    </row>
    <row r="29" spans="1:13" ht="16">
      <c r="A29" s="65" t="s">
        <v>97</v>
      </c>
      <c r="B29" s="65"/>
      <c r="C29" s="66"/>
      <c r="D29" s="66"/>
      <c r="E29" s="66"/>
      <c r="F29" s="66"/>
      <c r="G29" s="66"/>
      <c r="H29" s="66"/>
      <c r="I29" s="66"/>
      <c r="J29" s="66"/>
    </row>
    <row r="30" spans="1:13">
      <c r="A30" s="23" t="s">
        <v>30</v>
      </c>
      <c r="B30" s="7" t="s">
        <v>190</v>
      </c>
      <c r="C30" s="7" t="s">
        <v>171</v>
      </c>
      <c r="D30" s="7" t="s">
        <v>172</v>
      </c>
      <c r="E30" s="8" t="s">
        <v>366</v>
      </c>
      <c r="F30" s="7" t="s">
        <v>44</v>
      </c>
      <c r="G30" s="21" t="s">
        <v>50</v>
      </c>
      <c r="H30" s="22" t="s">
        <v>95</v>
      </c>
      <c r="I30" s="22"/>
      <c r="J30" s="23"/>
      <c r="K30" s="42" t="str">
        <f>"130,0"</f>
        <v>130,0</v>
      </c>
      <c r="L30" s="9" t="str">
        <f>"75,2050"</f>
        <v>75,2050</v>
      </c>
      <c r="M30" s="7"/>
    </row>
    <row r="32" spans="1:13" ht="16">
      <c r="F32" s="11"/>
      <c r="G32" s="5"/>
      <c r="M32" s="6"/>
    </row>
    <row r="33" spans="2:13">
      <c r="G33" s="5"/>
      <c r="M33" s="6"/>
    </row>
    <row r="34" spans="2:13" ht="18">
      <c r="B34" s="12" t="s">
        <v>23</v>
      </c>
      <c r="C34" s="12"/>
      <c r="G34" s="3"/>
      <c r="M34" s="6"/>
    </row>
    <row r="35" spans="2:13" ht="16">
      <c r="B35" s="13" t="s">
        <v>24</v>
      </c>
      <c r="C35" s="13"/>
      <c r="G35" s="3"/>
      <c r="M35" s="6"/>
    </row>
    <row r="36" spans="2:13" ht="14">
      <c r="B36" s="14"/>
      <c r="C36" s="15" t="s">
        <v>25</v>
      </c>
      <c r="G36" s="3"/>
      <c r="M36" s="6"/>
    </row>
    <row r="37" spans="2:13" ht="14">
      <c r="B37" s="16" t="s">
        <v>26</v>
      </c>
      <c r="C37" s="16" t="s">
        <v>27</v>
      </c>
      <c r="D37" s="16" t="s">
        <v>352</v>
      </c>
      <c r="E37" s="17" t="s">
        <v>173</v>
      </c>
      <c r="F37" s="16" t="s">
        <v>28</v>
      </c>
      <c r="G37" s="3"/>
      <c r="M37" s="6"/>
    </row>
    <row r="38" spans="2:13">
      <c r="B38" s="5" t="s">
        <v>150</v>
      </c>
      <c r="C38" s="5" t="s">
        <v>25</v>
      </c>
      <c r="D38" s="19" t="s">
        <v>174</v>
      </c>
      <c r="E38" s="20">
        <v>217.5</v>
      </c>
      <c r="F38" s="18">
        <v>128.368501514196</v>
      </c>
      <c r="G38" s="3"/>
      <c r="M38" s="6"/>
    </row>
    <row r="39" spans="2:13">
      <c r="B39" s="5" t="s">
        <v>160</v>
      </c>
      <c r="C39" s="5" t="s">
        <v>25</v>
      </c>
      <c r="D39" s="19" t="s">
        <v>174</v>
      </c>
      <c r="E39" s="20">
        <v>207.5</v>
      </c>
      <c r="F39" s="18">
        <v>122.466501444578</v>
      </c>
      <c r="G39" s="3"/>
      <c r="M39" s="6"/>
    </row>
    <row r="40" spans="2:13">
      <c r="B40" s="5" t="s">
        <v>163</v>
      </c>
      <c r="C40" s="5" t="s">
        <v>25</v>
      </c>
      <c r="D40" s="19" t="s">
        <v>174</v>
      </c>
      <c r="E40" s="20">
        <v>180</v>
      </c>
      <c r="F40" s="18">
        <v>106.541998386383</v>
      </c>
      <c r="G40" s="3"/>
      <c r="M40" s="6"/>
    </row>
    <row r="41" spans="2:13">
      <c r="E41" s="5"/>
      <c r="F41" s="10"/>
      <c r="G41" s="5"/>
      <c r="M41" s="6"/>
    </row>
    <row r="42" spans="2:13">
      <c r="E42" s="5"/>
      <c r="F42" s="10"/>
      <c r="G42" s="5"/>
      <c r="M42" s="6"/>
    </row>
  </sheetData>
  <mergeCells count="17">
    <mergeCell ref="A29:J29"/>
    <mergeCell ref="A5:J5"/>
    <mergeCell ref="A9:J9"/>
    <mergeCell ref="A12:J12"/>
    <mergeCell ref="A16:J16"/>
    <mergeCell ref="A22:J22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1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52" t="s">
        <v>346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71" t="s">
        <v>364</v>
      </c>
      <c r="F3" s="67" t="s">
        <v>5</v>
      </c>
      <c r="G3" s="64" t="s">
        <v>8</v>
      </c>
      <c r="H3" s="64"/>
      <c r="I3" s="64"/>
      <c r="J3" s="64"/>
      <c r="K3" s="46" t="s">
        <v>175</v>
      </c>
      <c r="L3" s="46" t="s">
        <v>3</v>
      </c>
      <c r="M3" s="48" t="s">
        <v>2</v>
      </c>
    </row>
    <row r="4" spans="1:13" s="1" customFormat="1" ht="21" customHeight="1" thickBot="1">
      <c r="A4" s="61"/>
      <c r="B4" s="68"/>
      <c r="C4" s="63"/>
      <c r="D4" s="63"/>
      <c r="E4" s="72"/>
      <c r="F4" s="73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84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3" t="s">
        <v>30</v>
      </c>
      <c r="B6" s="7" t="s">
        <v>265</v>
      </c>
      <c r="C6" s="7" t="s">
        <v>213</v>
      </c>
      <c r="D6" s="7" t="s">
        <v>214</v>
      </c>
      <c r="E6" s="8" t="s">
        <v>365</v>
      </c>
      <c r="F6" s="7" t="s">
        <v>353</v>
      </c>
      <c r="G6" s="21" t="s">
        <v>49</v>
      </c>
      <c r="H6" s="21" t="s">
        <v>73</v>
      </c>
      <c r="I6" s="22" t="s">
        <v>212</v>
      </c>
      <c r="J6" s="23"/>
      <c r="K6" s="9" t="str">
        <f>"75,0"</f>
        <v>75,0</v>
      </c>
      <c r="L6" s="9" t="str">
        <f>"55,7250"</f>
        <v>55,7250</v>
      </c>
      <c r="M6" s="7"/>
    </row>
    <row r="8" spans="1:13" ht="16">
      <c r="A8" s="65" t="s">
        <v>10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3" t="s">
        <v>30</v>
      </c>
      <c r="B9" s="7" t="s">
        <v>272</v>
      </c>
      <c r="C9" s="7" t="s">
        <v>230</v>
      </c>
      <c r="D9" s="7" t="s">
        <v>225</v>
      </c>
      <c r="E9" s="8" t="s">
        <v>365</v>
      </c>
      <c r="F9" s="7" t="s">
        <v>353</v>
      </c>
      <c r="G9" s="21" t="s">
        <v>56</v>
      </c>
      <c r="H9" s="21" t="s">
        <v>50</v>
      </c>
      <c r="I9" s="21" t="s">
        <v>127</v>
      </c>
      <c r="J9" s="23"/>
      <c r="K9" s="9" t="str">
        <f>"132,5"</f>
        <v>132,5</v>
      </c>
      <c r="L9" s="9" t="str">
        <f>"90,1795"</f>
        <v>90,1795</v>
      </c>
      <c r="M9" s="7"/>
    </row>
    <row r="11" spans="1:13" ht="16">
      <c r="A11" s="65" t="s">
        <v>155</v>
      </c>
      <c r="B11" s="65"/>
      <c r="C11" s="66"/>
      <c r="D11" s="66"/>
      <c r="E11" s="66"/>
      <c r="F11" s="66"/>
      <c r="G11" s="66"/>
      <c r="H11" s="66"/>
      <c r="I11" s="66"/>
      <c r="J11" s="66"/>
    </row>
    <row r="12" spans="1:13">
      <c r="A12" s="23" t="s">
        <v>30</v>
      </c>
      <c r="B12" s="7" t="s">
        <v>278</v>
      </c>
      <c r="C12" s="7" t="s">
        <v>246</v>
      </c>
      <c r="D12" s="7" t="s">
        <v>247</v>
      </c>
      <c r="E12" s="8" t="s">
        <v>365</v>
      </c>
      <c r="F12" s="7" t="s">
        <v>353</v>
      </c>
      <c r="G12" s="21" t="s">
        <v>95</v>
      </c>
      <c r="H12" s="21" t="s">
        <v>96</v>
      </c>
      <c r="I12" s="21" t="s">
        <v>105</v>
      </c>
      <c r="J12" s="23"/>
      <c r="K12" s="9" t="str">
        <f>"145,0"</f>
        <v>145,0</v>
      </c>
      <c r="L12" s="9" t="str">
        <f>"85,6225"</f>
        <v>85,6225</v>
      </c>
      <c r="M12" s="7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7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3.8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3.33203125" style="5" customWidth="1"/>
    <col min="14" max="16384" width="9.1640625" style="3"/>
  </cols>
  <sheetData>
    <row r="1" spans="1:13" s="2" customFormat="1" ht="29" customHeight="1">
      <c r="A1" s="52" t="s">
        <v>347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362</v>
      </c>
      <c r="B3" s="67" t="s">
        <v>0</v>
      </c>
      <c r="C3" s="62" t="s">
        <v>363</v>
      </c>
      <c r="D3" s="62" t="s">
        <v>6</v>
      </c>
      <c r="E3" s="46" t="s">
        <v>364</v>
      </c>
      <c r="F3" s="64" t="s">
        <v>5</v>
      </c>
      <c r="G3" s="64" t="s">
        <v>9</v>
      </c>
      <c r="H3" s="64"/>
      <c r="I3" s="64"/>
      <c r="J3" s="64"/>
      <c r="K3" s="46" t="s">
        <v>175</v>
      </c>
      <c r="L3" s="46" t="s">
        <v>3</v>
      </c>
      <c r="M3" s="48" t="s">
        <v>2</v>
      </c>
    </row>
    <row r="4" spans="1:13" s="1" customFormat="1" ht="21" customHeight="1" thickBot="1">
      <c r="A4" s="61"/>
      <c r="B4" s="68"/>
      <c r="C4" s="63"/>
      <c r="D4" s="63"/>
      <c r="E4" s="47"/>
      <c r="F4" s="63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41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3" t="s">
        <v>30</v>
      </c>
      <c r="B6" s="7" t="s">
        <v>308</v>
      </c>
      <c r="C6" s="7" t="s">
        <v>296</v>
      </c>
      <c r="D6" s="7" t="s">
        <v>297</v>
      </c>
      <c r="E6" s="8" t="s">
        <v>365</v>
      </c>
      <c r="F6" s="7" t="s">
        <v>44</v>
      </c>
      <c r="G6" s="21" t="s">
        <v>46</v>
      </c>
      <c r="H6" s="21" t="s">
        <v>127</v>
      </c>
      <c r="I6" s="21" t="s">
        <v>95</v>
      </c>
      <c r="J6" s="23"/>
      <c r="K6" s="9" t="str">
        <f>"135,0"</f>
        <v>135,0</v>
      </c>
      <c r="L6" s="9" t="str">
        <f>"151,8885"</f>
        <v>151,8885</v>
      </c>
      <c r="M6" s="7"/>
    </row>
    <row r="8" spans="1:13" ht="16">
      <c r="A8" s="65" t="s">
        <v>41</v>
      </c>
      <c r="B8" s="65"/>
      <c r="C8" s="66"/>
      <c r="D8" s="66"/>
      <c r="E8" s="66"/>
      <c r="F8" s="66"/>
      <c r="G8" s="66"/>
      <c r="H8" s="66"/>
      <c r="I8" s="66"/>
      <c r="J8" s="66"/>
    </row>
    <row r="9" spans="1:13">
      <c r="A9" s="23" t="s">
        <v>30</v>
      </c>
      <c r="B9" s="7" t="s">
        <v>66</v>
      </c>
      <c r="C9" s="7" t="s">
        <v>42</v>
      </c>
      <c r="D9" s="7" t="s">
        <v>43</v>
      </c>
      <c r="E9" s="8" t="s">
        <v>365</v>
      </c>
      <c r="F9" s="7" t="s">
        <v>44</v>
      </c>
      <c r="G9" s="21" t="s">
        <v>45</v>
      </c>
      <c r="H9" s="21" t="s">
        <v>46</v>
      </c>
      <c r="I9" s="21" t="s">
        <v>50</v>
      </c>
      <c r="J9" s="23"/>
      <c r="K9" s="9" t="str">
        <f>"130,0"</f>
        <v>130,0</v>
      </c>
      <c r="L9" s="9" t="str">
        <f>"110,8770"</f>
        <v>110,8770</v>
      </c>
      <c r="M9" s="7"/>
    </row>
    <row r="11" spans="1:13" ht="16">
      <c r="A11" s="65" t="s">
        <v>32</v>
      </c>
      <c r="B11" s="65"/>
      <c r="C11" s="66"/>
      <c r="D11" s="66"/>
      <c r="E11" s="66"/>
      <c r="F11" s="66"/>
      <c r="G11" s="66"/>
      <c r="H11" s="66"/>
      <c r="I11" s="66"/>
      <c r="J11" s="66"/>
    </row>
    <row r="12" spans="1:13">
      <c r="A12" s="23" t="s">
        <v>30</v>
      </c>
      <c r="B12" s="7" t="s">
        <v>309</v>
      </c>
      <c r="C12" s="7" t="s">
        <v>298</v>
      </c>
      <c r="D12" s="7" t="s">
        <v>299</v>
      </c>
      <c r="E12" s="8" t="s">
        <v>367</v>
      </c>
      <c r="F12" s="7" t="s">
        <v>44</v>
      </c>
      <c r="G12" s="21" t="s">
        <v>37</v>
      </c>
      <c r="H12" s="21" t="s">
        <v>56</v>
      </c>
      <c r="I12" s="21" t="s">
        <v>207</v>
      </c>
      <c r="J12" s="23"/>
      <c r="K12" s="9" t="str">
        <f>"122,5"</f>
        <v>122,5</v>
      </c>
      <c r="L12" s="9" t="str">
        <f>"119,4715"</f>
        <v>119,4715</v>
      </c>
      <c r="M12" s="7"/>
    </row>
    <row r="14" spans="1:13" ht="16">
      <c r="A14" s="65" t="s">
        <v>10</v>
      </c>
      <c r="B14" s="65"/>
      <c r="C14" s="66"/>
      <c r="D14" s="66"/>
      <c r="E14" s="66"/>
      <c r="F14" s="66"/>
      <c r="G14" s="66"/>
      <c r="H14" s="66"/>
      <c r="I14" s="66"/>
      <c r="J14" s="66"/>
    </row>
    <row r="15" spans="1:13">
      <c r="A15" s="31" t="s">
        <v>30</v>
      </c>
      <c r="B15" s="24" t="s">
        <v>269</v>
      </c>
      <c r="C15" s="24" t="s">
        <v>222</v>
      </c>
      <c r="D15" s="24" t="s">
        <v>223</v>
      </c>
      <c r="E15" s="25" t="s">
        <v>369</v>
      </c>
      <c r="F15" s="24" t="s">
        <v>44</v>
      </c>
      <c r="G15" s="38" t="s">
        <v>96</v>
      </c>
      <c r="H15" s="30" t="s">
        <v>105</v>
      </c>
      <c r="I15" s="30" t="s">
        <v>144</v>
      </c>
      <c r="J15" s="31"/>
      <c r="K15" s="26" t="str">
        <f>"155,0"</f>
        <v>155,0</v>
      </c>
      <c r="L15" s="26" t="str">
        <f>"106,4075"</f>
        <v>106,4075</v>
      </c>
      <c r="M15" s="24" t="s">
        <v>337</v>
      </c>
    </row>
    <row r="16" spans="1:13">
      <c r="A16" s="33" t="s">
        <v>30</v>
      </c>
      <c r="B16" s="27" t="s">
        <v>310</v>
      </c>
      <c r="C16" s="27" t="s">
        <v>300</v>
      </c>
      <c r="D16" s="27" t="s">
        <v>301</v>
      </c>
      <c r="E16" s="28" t="s">
        <v>365</v>
      </c>
      <c r="F16" s="27" t="s">
        <v>44</v>
      </c>
      <c r="G16" s="32" t="s">
        <v>244</v>
      </c>
      <c r="H16" s="32" t="s">
        <v>129</v>
      </c>
      <c r="I16" s="34" t="s">
        <v>19</v>
      </c>
      <c r="J16" s="33"/>
      <c r="K16" s="29" t="str">
        <f>"175,0"</f>
        <v>175,0</v>
      </c>
      <c r="L16" s="29" t="str">
        <f>"120,6275"</f>
        <v>120,6275</v>
      </c>
      <c r="M16" s="27"/>
    </row>
    <row r="18" spans="1:13" ht="16">
      <c r="A18" s="65" t="s">
        <v>89</v>
      </c>
      <c r="B18" s="65"/>
      <c r="C18" s="66"/>
      <c r="D18" s="66"/>
      <c r="E18" s="66"/>
      <c r="F18" s="66"/>
      <c r="G18" s="66"/>
      <c r="H18" s="66"/>
      <c r="I18" s="66"/>
      <c r="J18" s="66"/>
    </row>
    <row r="19" spans="1:13">
      <c r="A19" s="23" t="s">
        <v>30</v>
      </c>
      <c r="B19" s="7" t="s">
        <v>311</v>
      </c>
      <c r="C19" s="7" t="s">
        <v>302</v>
      </c>
      <c r="D19" s="7" t="s">
        <v>131</v>
      </c>
      <c r="E19" s="8" t="s">
        <v>365</v>
      </c>
      <c r="F19" s="7" t="s">
        <v>44</v>
      </c>
      <c r="G19" s="21" t="s">
        <v>102</v>
      </c>
      <c r="H19" s="21" t="s">
        <v>303</v>
      </c>
      <c r="I19" s="21" t="s">
        <v>159</v>
      </c>
      <c r="J19" s="23"/>
      <c r="K19" s="9" t="str">
        <f>"225,0"</f>
        <v>225,0</v>
      </c>
      <c r="L19" s="9" t="str">
        <f>"143,6400"</f>
        <v>143,6400</v>
      </c>
      <c r="M19" s="7" t="s">
        <v>336</v>
      </c>
    </row>
    <row r="21" spans="1:13" ht="16">
      <c r="A21" s="65" t="s">
        <v>155</v>
      </c>
      <c r="B21" s="65"/>
      <c r="C21" s="66"/>
      <c r="D21" s="66"/>
      <c r="E21" s="66"/>
      <c r="F21" s="66"/>
      <c r="G21" s="66"/>
      <c r="H21" s="66"/>
      <c r="I21" s="66"/>
      <c r="J21" s="66"/>
    </row>
    <row r="22" spans="1:13">
      <c r="A22" s="31" t="s">
        <v>30</v>
      </c>
      <c r="B22" s="24" t="s">
        <v>279</v>
      </c>
      <c r="C22" s="24" t="s">
        <v>249</v>
      </c>
      <c r="D22" s="24" t="s">
        <v>250</v>
      </c>
      <c r="E22" s="25" t="s">
        <v>368</v>
      </c>
      <c r="F22" s="24" t="s">
        <v>44</v>
      </c>
      <c r="G22" s="30" t="s">
        <v>82</v>
      </c>
      <c r="H22" s="30" t="s">
        <v>54</v>
      </c>
      <c r="I22" s="38" t="s">
        <v>303</v>
      </c>
      <c r="J22" s="31"/>
      <c r="K22" s="26" t="str">
        <f>"200,0"</f>
        <v>200,0</v>
      </c>
      <c r="L22" s="26" t="str">
        <f>"118,4200"</f>
        <v>118,4200</v>
      </c>
      <c r="M22" s="24"/>
    </row>
    <row r="23" spans="1:13">
      <c r="A23" s="39" t="s">
        <v>30</v>
      </c>
      <c r="B23" s="35" t="s">
        <v>280</v>
      </c>
      <c r="C23" s="35" t="s">
        <v>251</v>
      </c>
      <c r="D23" s="35" t="s">
        <v>252</v>
      </c>
      <c r="E23" s="36" t="s">
        <v>367</v>
      </c>
      <c r="F23" s="35" t="s">
        <v>44</v>
      </c>
      <c r="G23" s="40" t="s">
        <v>18</v>
      </c>
      <c r="H23" s="40" t="s">
        <v>82</v>
      </c>
      <c r="I23" s="40" t="s">
        <v>54</v>
      </c>
      <c r="J23" s="39"/>
      <c r="K23" s="37" t="str">
        <f>"200,0"</f>
        <v>200,0</v>
      </c>
      <c r="L23" s="37" t="str">
        <f>"137,6605"</f>
        <v>137,6605</v>
      </c>
      <c r="M23" s="35"/>
    </row>
    <row r="24" spans="1:13">
      <c r="A24" s="33" t="s">
        <v>114</v>
      </c>
      <c r="B24" s="27" t="s">
        <v>281</v>
      </c>
      <c r="C24" s="27" t="s">
        <v>253</v>
      </c>
      <c r="D24" s="27" t="s">
        <v>254</v>
      </c>
      <c r="E24" s="28" t="s">
        <v>367</v>
      </c>
      <c r="F24" s="27" t="s">
        <v>44</v>
      </c>
      <c r="G24" s="32" t="s">
        <v>96</v>
      </c>
      <c r="H24" s="32" t="s">
        <v>144</v>
      </c>
      <c r="I24" s="32" t="s">
        <v>17</v>
      </c>
      <c r="J24" s="33"/>
      <c r="K24" s="29" t="str">
        <f>"170,0"</f>
        <v>170,0</v>
      </c>
      <c r="L24" s="29" t="str">
        <f>"115,5796"</f>
        <v>115,5796</v>
      </c>
      <c r="M24" s="27" t="s">
        <v>330</v>
      </c>
    </row>
    <row r="26" spans="1:13" ht="16">
      <c r="A26" s="65" t="s">
        <v>304</v>
      </c>
      <c r="B26" s="65"/>
      <c r="C26" s="66"/>
      <c r="D26" s="66"/>
      <c r="E26" s="66"/>
      <c r="F26" s="66"/>
      <c r="G26" s="66"/>
      <c r="H26" s="66"/>
      <c r="I26" s="66"/>
      <c r="J26" s="66"/>
    </row>
    <row r="27" spans="1:13">
      <c r="A27" s="23" t="s">
        <v>30</v>
      </c>
      <c r="B27" s="7" t="s">
        <v>312</v>
      </c>
      <c r="C27" s="7" t="s">
        <v>305</v>
      </c>
      <c r="D27" s="7" t="s">
        <v>306</v>
      </c>
      <c r="E27" s="8" t="s">
        <v>365</v>
      </c>
      <c r="F27" s="7" t="s">
        <v>44</v>
      </c>
      <c r="G27" s="21" t="s">
        <v>64</v>
      </c>
      <c r="H27" s="21" t="s">
        <v>124</v>
      </c>
      <c r="I27" s="21" t="s">
        <v>307</v>
      </c>
      <c r="J27" s="23"/>
      <c r="K27" s="9" t="str">
        <f>"202,5"</f>
        <v>202,5</v>
      </c>
      <c r="L27" s="9" t="str">
        <f>"113,1570"</f>
        <v>113,1570</v>
      </c>
      <c r="M27" s="7"/>
    </row>
  </sheetData>
  <mergeCells count="18">
    <mergeCell ref="A26:J26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1:J2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WRPF Военный жим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2023-05-02T12:19:59Z</dcterms:modified>
</cp:coreProperties>
</file>