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Май/"/>
    </mc:Choice>
  </mc:AlternateContent>
  <xr:revisionPtr revIDLastSave="0" documentId="13_ncr:1_{EBA34EBB-9956-6942-8AD7-701F3CA0D7EF}" xr6:coauthVersionLast="45" xr6:coauthVersionMax="45" xr10:uidLastSave="{00000000-0000-0000-0000-000000000000}"/>
  <bookViews>
    <workbookView xWindow="100" yWindow="460" windowWidth="28700" windowHeight="15600" xr2:uid="{00000000-000D-0000-FFFF-FFFF00000000}"/>
  </bookViews>
  <sheets>
    <sheet name="WRPF ПЛ без экипировки ДК" sheetId="10" r:id="rId1"/>
    <sheet name="WRPF ПЛ без экипировки" sheetId="9" r:id="rId2"/>
    <sheet name="WRPF Двоеборье без экип ДК" sheetId="28" r:id="rId3"/>
    <sheet name="WRPF Двоеборье без экип" sheetId="27" r:id="rId4"/>
    <sheet name="WRPF Жим лежа без экип ДК" sheetId="15" r:id="rId5"/>
    <sheet name="WRPF Жим лежа без экип" sheetId="14" r:id="rId6"/>
    <sheet name="WRPF Тяга без экипировки ДК" sheetId="24" r:id="rId7"/>
    <sheet name="WRPF Тяга без экипировки" sheetId="23" r:id="rId8"/>
    <sheet name="WRPF Подъем на бицепс ДК" sheetId="6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63" l="1"/>
  <c r="K10" i="63"/>
  <c r="L9" i="63"/>
  <c r="K9" i="63"/>
  <c r="L6" i="63"/>
  <c r="K6" i="63"/>
  <c r="P15" i="28"/>
  <c r="O15" i="28"/>
  <c r="P12" i="28"/>
  <c r="O12" i="28"/>
  <c r="P9" i="28"/>
  <c r="O9" i="28"/>
  <c r="P6" i="28"/>
  <c r="O6" i="28"/>
  <c r="P10" i="27"/>
  <c r="O10" i="27"/>
  <c r="P9" i="27"/>
  <c r="O9" i="27"/>
  <c r="P6" i="27"/>
  <c r="O6" i="27"/>
  <c r="L17" i="24"/>
  <c r="K17" i="24"/>
  <c r="L16" i="24"/>
  <c r="K16" i="24"/>
  <c r="L15" i="24"/>
  <c r="K15" i="24"/>
  <c r="L12" i="24"/>
  <c r="K12" i="24"/>
  <c r="L9" i="24"/>
  <c r="K9" i="24"/>
  <c r="L6" i="24"/>
  <c r="K6" i="24"/>
  <c r="K14" i="23"/>
  <c r="L13" i="23"/>
  <c r="K13" i="23"/>
  <c r="L12" i="23"/>
  <c r="K12" i="23"/>
  <c r="L9" i="23"/>
  <c r="K9" i="23"/>
  <c r="L6" i="23"/>
  <c r="K6" i="23"/>
  <c r="L39" i="15"/>
  <c r="K39" i="15"/>
  <c r="L36" i="15"/>
  <c r="K36" i="15"/>
  <c r="L33" i="15"/>
  <c r="K33" i="15"/>
  <c r="L32" i="15"/>
  <c r="K32" i="15"/>
  <c r="L29" i="15"/>
  <c r="K29" i="15"/>
  <c r="L28" i="15"/>
  <c r="K28" i="15"/>
  <c r="L25" i="15"/>
  <c r="K25" i="15"/>
  <c r="L22" i="15"/>
  <c r="L21" i="15"/>
  <c r="K21" i="15"/>
  <c r="L20" i="15"/>
  <c r="K20" i="15"/>
  <c r="L17" i="15"/>
  <c r="K17" i="15"/>
  <c r="L16" i="15"/>
  <c r="K16" i="15"/>
  <c r="L13" i="15"/>
  <c r="K13" i="15"/>
  <c r="L12" i="15"/>
  <c r="K12" i="15"/>
  <c r="L9" i="15"/>
  <c r="K9" i="15"/>
  <c r="L6" i="15"/>
  <c r="K6" i="15"/>
  <c r="L22" i="14"/>
  <c r="K22" i="14"/>
  <c r="L21" i="14"/>
  <c r="K21" i="14"/>
  <c r="K20" i="14"/>
  <c r="L19" i="14"/>
  <c r="K19" i="14"/>
  <c r="L18" i="14"/>
  <c r="K18" i="14"/>
  <c r="L15" i="14"/>
  <c r="K15" i="14"/>
  <c r="L14" i="14"/>
  <c r="K14" i="14"/>
  <c r="L13" i="14"/>
  <c r="K13" i="14"/>
  <c r="L10" i="14"/>
  <c r="K10" i="14"/>
  <c r="L7" i="14"/>
  <c r="K7" i="14"/>
  <c r="L6" i="14"/>
  <c r="K6" i="14"/>
  <c r="T15" i="10"/>
  <c r="S15" i="10"/>
  <c r="T12" i="10"/>
  <c r="S12" i="10"/>
  <c r="T9" i="10"/>
  <c r="S9" i="10"/>
  <c r="T6" i="10"/>
  <c r="S6" i="10"/>
  <c r="T6" i="9"/>
  <c r="S6" i="9"/>
</calcChain>
</file>

<file path=xl/sharedStrings.xml><?xml version="1.0" encoding="utf-8"?>
<sst xmlns="http://schemas.openxmlformats.org/spreadsheetml/2006/main" count="691" uniqueCount="267">
  <si>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</si>
  <si>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</si>
  <si>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</si>
  <si>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</si>
  <si>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</si>
  <si>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</si>
  <si>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</si>
  <si>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</si>
  <si>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</si>
  <si>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</si>
  <si>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</si>
  <si>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Открытая (29.05.1998)/24</t>
  </si>
  <si>
    <t>95,80</t>
  </si>
  <si>
    <t xml:space="preserve">Пенза/Пензенская область </t>
  </si>
  <si>
    <t>200,0</t>
  </si>
  <si>
    <t>210,0</t>
  </si>
  <si>
    <t>160,0</t>
  </si>
  <si>
    <t>170,0</t>
  </si>
  <si>
    <t>280,0</t>
  </si>
  <si>
    <t>300,0</t>
  </si>
  <si>
    <t>312,5</t>
  </si>
  <si>
    <t>1</t>
  </si>
  <si>
    <t>Прозоров Егор</t>
  </si>
  <si>
    <t>ВЕСОВАЯ КАТЕГОРИЯ   52</t>
  </si>
  <si>
    <t>Открытая (01.06.1985)/37</t>
  </si>
  <si>
    <t>49,30</t>
  </si>
  <si>
    <t xml:space="preserve">Саратов/Саратовская область </t>
  </si>
  <si>
    <t>75,0</t>
  </si>
  <si>
    <t>80,0</t>
  </si>
  <si>
    <t>87,5</t>
  </si>
  <si>
    <t>45,0</t>
  </si>
  <si>
    <t>50,0</t>
  </si>
  <si>
    <t>52,5</t>
  </si>
  <si>
    <t>100,0</t>
  </si>
  <si>
    <t>105,0</t>
  </si>
  <si>
    <t>ВЕСОВАЯ КАТЕГОРИЯ   56</t>
  </si>
  <si>
    <t>Открытая (30.07.1990)/32</t>
  </si>
  <si>
    <t>55,80</t>
  </si>
  <si>
    <t>85,0</t>
  </si>
  <si>
    <t>42,5</t>
  </si>
  <si>
    <t>47,5</t>
  </si>
  <si>
    <t>107,5</t>
  </si>
  <si>
    <t>115,0</t>
  </si>
  <si>
    <t>ВЕСОВАЯ КАТЕГОРИЯ   67.5</t>
  </si>
  <si>
    <t>Открытая (11.05.1995)/27</t>
  </si>
  <si>
    <t>60,50</t>
  </si>
  <si>
    <t>97,5</t>
  </si>
  <si>
    <t>112,5</t>
  </si>
  <si>
    <t>57,5</t>
  </si>
  <si>
    <t>62,5</t>
  </si>
  <si>
    <t>65,0</t>
  </si>
  <si>
    <t>127,5</t>
  </si>
  <si>
    <t>ВЕСОВАЯ КАТЕГОРИЯ   90</t>
  </si>
  <si>
    <t>Юниоры (30.07.1999)/23</t>
  </si>
  <si>
    <t>88,50</t>
  </si>
  <si>
    <t>217,5</t>
  </si>
  <si>
    <t>237,5</t>
  </si>
  <si>
    <t>135,0</t>
  </si>
  <si>
    <t>140,0</t>
  </si>
  <si>
    <t>145,0</t>
  </si>
  <si>
    <t>230,0</t>
  </si>
  <si>
    <t>252,5</t>
  </si>
  <si>
    <t>260,0</t>
  </si>
  <si>
    <t>Аполинарьева Ольга</t>
  </si>
  <si>
    <t>Аглоткова Мария</t>
  </si>
  <si>
    <t>Зорина Ирина</t>
  </si>
  <si>
    <t>Трунин Илья</t>
  </si>
  <si>
    <t>Результат</t>
  </si>
  <si>
    <t>Юноши 14-16 (11.03.2010)/13</t>
  </si>
  <si>
    <t>48,85</t>
  </si>
  <si>
    <t>30,0</t>
  </si>
  <si>
    <t>32,5</t>
  </si>
  <si>
    <t>35,0</t>
  </si>
  <si>
    <t>Юноши 14-16 (27.04.2009)/14</t>
  </si>
  <si>
    <t>34,90</t>
  </si>
  <si>
    <t>20,0</t>
  </si>
  <si>
    <t>22,5</t>
  </si>
  <si>
    <t>25,0</t>
  </si>
  <si>
    <t>Юноши 14-16 (22.07.2010)/12</t>
  </si>
  <si>
    <t>55,60</t>
  </si>
  <si>
    <t>ВЕСОВАЯ КАТЕГОРИЯ   82.5</t>
  </si>
  <si>
    <t>Юноши 14-16 (16.04.2007)/16</t>
  </si>
  <si>
    <t>75,40</t>
  </si>
  <si>
    <t>90,0</t>
  </si>
  <si>
    <t>95,0</t>
  </si>
  <si>
    <t>Открытая (31.05.1995)/27</t>
  </si>
  <si>
    <t>82,40</t>
  </si>
  <si>
    <t>175,0</t>
  </si>
  <si>
    <t>180,0</t>
  </si>
  <si>
    <t>Открытая (03.06.1989)/33</t>
  </si>
  <si>
    <t>75,70</t>
  </si>
  <si>
    <t>150,0</t>
  </si>
  <si>
    <t>152,5</t>
  </si>
  <si>
    <t>155,0</t>
  </si>
  <si>
    <t>Юниоры (22.08.2000)/22</t>
  </si>
  <si>
    <t>98,00</t>
  </si>
  <si>
    <t>185,0</t>
  </si>
  <si>
    <t>190,0</t>
  </si>
  <si>
    <t>Открытая (28.03.1985)/38</t>
  </si>
  <si>
    <t>97,00</t>
  </si>
  <si>
    <t>195,0</t>
  </si>
  <si>
    <t>Открытая (22.04.1988)/35</t>
  </si>
  <si>
    <t>95,10</t>
  </si>
  <si>
    <t>225,0</t>
  </si>
  <si>
    <t>235,0</t>
  </si>
  <si>
    <t>240,0</t>
  </si>
  <si>
    <t>Открытая (28.06.1994)/28</t>
  </si>
  <si>
    <t>94,30</t>
  </si>
  <si>
    <t>245,0</t>
  </si>
  <si>
    <t>Мастера 40-49 (12.06.1975)/47</t>
  </si>
  <si>
    <t>99,50</t>
  </si>
  <si>
    <t>165,0</t>
  </si>
  <si>
    <t>Степанов Павел</t>
  </si>
  <si>
    <t>2</t>
  </si>
  <si>
    <t>Цыбизов Никита</t>
  </si>
  <si>
    <t>Шурманов Егор</t>
  </si>
  <si>
    <t>Поляков Михаил</t>
  </si>
  <si>
    <t>Климухин Александр</t>
  </si>
  <si>
    <t>Соловьев Михаил</t>
  </si>
  <si>
    <t>Симдянов Алексей</t>
  </si>
  <si>
    <t>Самсонов Андрей</t>
  </si>
  <si>
    <t>Карпухин Сергей</t>
  </si>
  <si>
    <t>3</t>
  </si>
  <si>
    <t>Зебрин Дмитрий</t>
  </si>
  <si>
    <t>Антипов Николай</t>
  </si>
  <si>
    <t>Открытая (25.02.1987)/36</t>
  </si>
  <si>
    <t>51,10</t>
  </si>
  <si>
    <t>55,0</t>
  </si>
  <si>
    <t>Открытая (30.07.1996)/26</t>
  </si>
  <si>
    <t>61,80</t>
  </si>
  <si>
    <t>67,5</t>
  </si>
  <si>
    <t>Юноши 14-16 (27.11.2011)/11</t>
  </si>
  <si>
    <t>33,10</t>
  </si>
  <si>
    <t xml:space="preserve">Ульяновск/Ульяновская область </t>
  </si>
  <si>
    <t>37,5</t>
  </si>
  <si>
    <t>40,0</t>
  </si>
  <si>
    <t>Юноши 14-16 (25.09.2011)/11</t>
  </si>
  <si>
    <t>43,70</t>
  </si>
  <si>
    <t>Юноши 14-16 (12.10.2006)/16</t>
  </si>
  <si>
    <t>63,70</t>
  </si>
  <si>
    <t>110,0</t>
  </si>
  <si>
    <t>Юноши 14-16 (28.05.2009)/13</t>
  </si>
  <si>
    <t>65,00</t>
  </si>
  <si>
    <t>ВЕСОВАЯ КАТЕГОРИЯ   75</t>
  </si>
  <si>
    <t>Юноши 14-16 (06.06.2006)/16</t>
  </si>
  <si>
    <t>74,10</t>
  </si>
  <si>
    <t>120,0</t>
  </si>
  <si>
    <t>130,0</t>
  </si>
  <si>
    <t>Открытая (26.12.1991)/31</t>
  </si>
  <si>
    <t>74,50</t>
  </si>
  <si>
    <t>Открытая (28.08.1994)/28</t>
  </si>
  <si>
    <t>73,50</t>
  </si>
  <si>
    <t>Юноши 14-16 (16.06.2011)/11</t>
  </si>
  <si>
    <t>82,00</t>
  </si>
  <si>
    <t>60,0</t>
  </si>
  <si>
    <t>Юноши 17-19 (24.07.2005)/17</t>
  </si>
  <si>
    <t>89,40</t>
  </si>
  <si>
    <t>Открытая (24.06.1994)/28</t>
  </si>
  <si>
    <t>85,10</t>
  </si>
  <si>
    <t>162,5</t>
  </si>
  <si>
    <t>Открытая (27.03.1999)/24</t>
  </si>
  <si>
    <t>99,30</t>
  </si>
  <si>
    <t>Мастера 40-49 (10.12.1978)/44</t>
  </si>
  <si>
    <t>93,20</t>
  </si>
  <si>
    <t>ВЕСОВАЯ КАТЕГОРИЯ   110</t>
  </si>
  <si>
    <t>Открытая (26.04.1999)/24</t>
  </si>
  <si>
    <t>107,30</t>
  </si>
  <si>
    <t>ВЕСОВАЯ КАТЕГОРИЯ   125</t>
  </si>
  <si>
    <t>Открытая (23.04.1993)/30</t>
  </si>
  <si>
    <t>120,20</t>
  </si>
  <si>
    <t>Кулыгина Людмила</t>
  </si>
  <si>
    <t>Ламина Виктория</t>
  </si>
  <si>
    <t>Чемаров Иван</t>
  </si>
  <si>
    <t>Чобонян Эдвин</t>
  </si>
  <si>
    <t>Бобков Константин</t>
  </si>
  <si>
    <t>Чобанян Эрик</t>
  </si>
  <si>
    <t>Бочкарев Дмитрий</t>
  </si>
  <si>
    <t>Безбородов Александр</t>
  </si>
  <si>
    <t>-</t>
  </si>
  <si>
    <t>Гришин Вадим</t>
  </si>
  <si>
    <t>Довженко Павел</t>
  </si>
  <si>
    <t>Волков Тимофей</t>
  </si>
  <si>
    <t>Соломка Алексей</t>
  </si>
  <si>
    <t>Диденко Игорь</t>
  </si>
  <si>
    <t>Лазарев Андрей</t>
  </si>
  <si>
    <t>Белоусов Александр</t>
  </si>
  <si>
    <t>Клят Виталий</t>
  </si>
  <si>
    <t>Юноши 14-16 (29.04.2008)/15</t>
  </si>
  <si>
    <t>62,60</t>
  </si>
  <si>
    <t>Юноши 14-16 (07.05.2008)/15</t>
  </si>
  <si>
    <t>Ижболдин Михаил</t>
  </si>
  <si>
    <t>Тремасов Вадим</t>
  </si>
  <si>
    <t>Юниоры (12.12.1999)/23</t>
  </si>
  <si>
    <t>73,90</t>
  </si>
  <si>
    <t>207,5</t>
  </si>
  <si>
    <t>215,0</t>
  </si>
  <si>
    <t>Открытая (06.05.1997)/26</t>
  </si>
  <si>
    <t>99,00</t>
  </si>
  <si>
    <t xml:space="preserve">Тамбов/Тамбовская область </t>
  </si>
  <si>
    <t>Юниоры (24.06.1999)/23</t>
  </si>
  <si>
    <t>109,70</t>
  </si>
  <si>
    <t>265,0</t>
  </si>
  <si>
    <t>282,5</t>
  </si>
  <si>
    <t>290,0</t>
  </si>
  <si>
    <t>295,0</t>
  </si>
  <si>
    <t>Юниоры (13.08.2002)/20</t>
  </si>
  <si>
    <t>250,0</t>
  </si>
  <si>
    <t>270,0</t>
  </si>
  <si>
    <t>285,0</t>
  </si>
  <si>
    <t>Юниоры (25.03.2003)/20</t>
  </si>
  <si>
    <t>109,00</t>
  </si>
  <si>
    <t>247,5</t>
  </si>
  <si>
    <t>257,5</t>
  </si>
  <si>
    <t>Песков Иван</t>
  </si>
  <si>
    <t>Грубинка Владимир</t>
  </si>
  <si>
    <t>Калинин Евгений</t>
  </si>
  <si>
    <t>Артеменко Кирилл</t>
  </si>
  <si>
    <t>Зоткин Денис</t>
  </si>
  <si>
    <t>Юноши 14-16 (15.06.2006)/16</t>
  </si>
  <si>
    <t>72,70</t>
  </si>
  <si>
    <t>70,0</t>
  </si>
  <si>
    <t>72,5</t>
  </si>
  <si>
    <t>117,5</t>
  </si>
  <si>
    <t>Журавлев Никита</t>
  </si>
  <si>
    <t>Открытая (14.09.1992)/30</t>
  </si>
  <si>
    <t>66,00</t>
  </si>
  <si>
    <t>Юноши 14-16 (06.08.2006)/16</t>
  </si>
  <si>
    <t>80,90</t>
  </si>
  <si>
    <t>Открытая (04.04.1987)/36</t>
  </si>
  <si>
    <t>98,90</t>
  </si>
  <si>
    <t>172,5</t>
  </si>
  <si>
    <t>177,5</t>
  </si>
  <si>
    <t>277,5</t>
  </si>
  <si>
    <t>292,5</t>
  </si>
  <si>
    <t>Муромский Алексей</t>
  </si>
  <si>
    <t>Фролов Максим</t>
  </si>
  <si>
    <t>Ермолаев Александр</t>
  </si>
  <si>
    <t>ВЕСОВАЯ КАТЕГОРИЯ   60</t>
  </si>
  <si>
    <t>69,85</t>
  </si>
  <si>
    <t>Варламов Максим</t>
  </si>
  <si>
    <t>57,50</t>
  </si>
  <si>
    <t>73,80</t>
  </si>
  <si>
    <t>Мельников Кирилл</t>
  </si>
  <si>
    <t>94,90</t>
  </si>
  <si>
    <t>Юноши 13-19 (22.12.2006)/16</t>
  </si>
  <si>
    <t>Юноши 13-19 (22.08.2008)/14</t>
  </si>
  <si>
    <t>Всероссийский мастерский турнир «Сурская Крепость IV»
WRPF Пауэрлифтинг без экипировки ДК
Пенза/Пензенская область, 07 мая 2023 года</t>
  </si>
  <si>
    <t>Всероссийский мастерский турнир «Сурская Крепость IV»
WRPF Пауэрлифтинг без экипировки
Пенза/Пензенская область, 07 мая 2023 года</t>
  </si>
  <si>
    <t>Всероссийский мастерский турнир «Сурская Крепость IV»
WRPF Силовое двоеборье без экипировки ДК
Пенза/Пензенская область, 07 мая 2023 года</t>
  </si>
  <si>
    <t>Всероссийский мастерский турнир «Сурская Крепость IV»
WRPF Силовое двоеборье без экипировки
Пенза/Пензенская область, 07 мая 2023 года</t>
  </si>
  <si>
    <t>Всероссийский мастерский турнир «Сурская Крепость IV»
WRPF Жим лежа без экипировки ДК
Пенза/Пензенская область, 07 мая 2023 года</t>
  </si>
  <si>
    <t>Всероссийский мастерский турнир «Сурская Крепость IV»
WRPF Жим лежа без экипировки
Пенза/Пензенская область, 07 мая 2023 года</t>
  </si>
  <si>
    <t>Всероссийский мастерский турнир «Сурская Крепость IV»
WRPF Становая тяга без экипировки ДК
Пенза/Пензенская область, 07 мая 2023 года</t>
  </si>
  <si>
    <t>Всероссийский мастерский турнир «Сурская Крепость IV»
WRPF Становая тяга без экипировки
Пенза/Пензенская область, 07 мая 2023 года</t>
  </si>
  <si>
    <t>Всероссийский мастерский турнир «Сурская Крепость IV»
WRPF Строгий подъем штанги на бицепс ДК
Пенза/Пензенская область, 07 мая 2023 года</t>
  </si>
  <si>
    <t>Самостоятельно</t>
  </si>
  <si>
    <t>Агапов Сергей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</si>
  <si>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</si>
  <si>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</si>
  <si>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</si>
  <si>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</si>
  <si>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</si>
  <si>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</si>
  <si>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T1</t>
  </si>
  <si>
    <t>J</t>
  </si>
  <si>
    <t>M1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</si>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</sst>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#,##0.000\ &quot;₽&quot;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6" fontId="1" fillId="0" borderId="15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166" fontId="1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U15"/>
  <sheetViews>
    <sheetView tabSelected="1"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7.8320312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53" t="s">
        <v>246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23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15" t="s">
        <v>21</v>
      </c>
      <c r="B6" s="9" t="s">
        <v>63</v>
      </c>
      <c r="C6" s="9" t="s">
        <v>24</v>
      </c>
      <c r="D6" s="9" t="s">
        <v>25</v>
      </c>
      <c r="E6" s="10" t="s">
        <v>261</v>
      </c>
      <c r="F6" s="9" t="s">
        <v>26</v>
      </c>
      <c r="G6" s="14" t="s">
        <v>27</v>
      </c>
      <c r="H6" s="14" t="s">
        <v>28</v>
      </c>
      <c r="I6" s="14" t="s">
        <v>29</v>
      </c>
      <c r="J6" s="15"/>
      <c r="K6" s="14" t="s">
        <v>30</v>
      </c>
      <c r="L6" s="14" t="s">
        <v>31</v>
      </c>
      <c r="M6" s="16" t="s">
        <v>32</v>
      </c>
      <c r="N6" s="15"/>
      <c r="O6" s="14" t="s">
        <v>33</v>
      </c>
      <c r="P6" s="16" t="s">
        <v>34</v>
      </c>
      <c r="Q6" s="15"/>
      <c r="R6" s="15"/>
      <c r="S6" s="11" t="str">
        <f>"237,5"</f>
        <v>237,5</v>
      </c>
      <c r="T6" s="11" t="str">
        <f>"308,3700"</f>
        <v>308,3700</v>
      </c>
      <c r="U6" s="9" t="s">
        <v>255</v>
      </c>
    </row>
    <row r="8" spans="1:21" ht="16">
      <c r="A8" s="66" t="s">
        <v>35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1">
      <c r="A9" s="15" t="s">
        <v>21</v>
      </c>
      <c r="B9" s="9" t="s">
        <v>64</v>
      </c>
      <c r="C9" s="9" t="s">
        <v>36</v>
      </c>
      <c r="D9" s="9" t="s">
        <v>37</v>
      </c>
      <c r="E9" s="10" t="s">
        <v>261</v>
      </c>
      <c r="F9" s="9" t="s">
        <v>26</v>
      </c>
      <c r="G9" s="14" t="s">
        <v>27</v>
      </c>
      <c r="H9" s="14" t="s">
        <v>28</v>
      </c>
      <c r="I9" s="16" t="s">
        <v>38</v>
      </c>
      <c r="J9" s="15"/>
      <c r="K9" s="14" t="s">
        <v>39</v>
      </c>
      <c r="L9" s="14" t="s">
        <v>40</v>
      </c>
      <c r="M9" s="16" t="s">
        <v>31</v>
      </c>
      <c r="N9" s="15"/>
      <c r="O9" s="14" t="s">
        <v>33</v>
      </c>
      <c r="P9" s="14" t="s">
        <v>41</v>
      </c>
      <c r="Q9" s="14" t="s">
        <v>42</v>
      </c>
      <c r="R9" s="15"/>
      <c r="S9" s="11" t="str">
        <f>"242,5"</f>
        <v>242,5</v>
      </c>
      <c r="T9" s="11" t="str">
        <f>"286,1258"</f>
        <v>286,1258</v>
      </c>
      <c r="U9" s="9"/>
    </row>
    <row r="11" spans="1:21" ht="16">
      <c r="A11" s="66" t="s">
        <v>43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21">
      <c r="A12" s="15" t="s">
        <v>21</v>
      </c>
      <c r="B12" s="9" t="s">
        <v>65</v>
      </c>
      <c r="C12" s="9" t="s">
        <v>44</v>
      </c>
      <c r="D12" s="9" t="s">
        <v>45</v>
      </c>
      <c r="E12" s="10" t="s">
        <v>261</v>
      </c>
      <c r="F12" s="9" t="s">
        <v>26</v>
      </c>
      <c r="G12" s="14" t="s">
        <v>46</v>
      </c>
      <c r="H12" s="14" t="s">
        <v>34</v>
      </c>
      <c r="I12" s="14" t="s">
        <v>47</v>
      </c>
      <c r="J12" s="15"/>
      <c r="K12" s="14" t="s">
        <v>48</v>
      </c>
      <c r="L12" s="14" t="s">
        <v>49</v>
      </c>
      <c r="M12" s="16" t="s">
        <v>50</v>
      </c>
      <c r="N12" s="15"/>
      <c r="O12" s="14" t="s">
        <v>34</v>
      </c>
      <c r="P12" s="14" t="s">
        <v>42</v>
      </c>
      <c r="Q12" s="14" t="s">
        <v>51</v>
      </c>
      <c r="R12" s="15"/>
      <c r="S12" s="11" t="str">
        <f>"302,5"</f>
        <v>302,5</v>
      </c>
      <c r="T12" s="11" t="str">
        <f>"335,1095"</f>
        <v>335,1095</v>
      </c>
      <c r="U12" s="9"/>
    </row>
    <row r="14" spans="1:21" ht="16">
      <c r="A14" s="66" t="s">
        <v>52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1">
      <c r="A15" s="15" t="s">
        <v>21</v>
      </c>
      <c r="B15" s="9" t="s">
        <v>66</v>
      </c>
      <c r="C15" s="9" t="s">
        <v>53</v>
      </c>
      <c r="D15" s="9" t="s">
        <v>54</v>
      </c>
      <c r="E15" s="10" t="s">
        <v>264</v>
      </c>
      <c r="F15" s="9" t="s">
        <v>13</v>
      </c>
      <c r="G15" s="14" t="s">
        <v>14</v>
      </c>
      <c r="H15" s="14" t="s">
        <v>55</v>
      </c>
      <c r="I15" s="16" t="s">
        <v>56</v>
      </c>
      <c r="J15" s="15"/>
      <c r="K15" s="14" t="s">
        <v>57</v>
      </c>
      <c r="L15" s="14" t="s">
        <v>58</v>
      </c>
      <c r="M15" s="14" t="s">
        <v>59</v>
      </c>
      <c r="N15" s="15"/>
      <c r="O15" s="14" t="s">
        <v>60</v>
      </c>
      <c r="P15" s="14" t="s">
        <v>61</v>
      </c>
      <c r="Q15" s="16" t="s">
        <v>62</v>
      </c>
      <c r="R15" s="15"/>
      <c r="S15" s="11" t="str">
        <f>"615,0"</f>
        <v>615,0</v>
      </c>
      <c r="T15" s="11" t="str">
        <f>"396,0600"</f>
        <v>396,0600</v>
      </c>
      <c r="U15" s="9"/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20.6640625" style="5" customWidth="1"/>
    <col min="22" max="16384" width="9.1640625" style="3"/>
  </cols>
  <sheetData>
    <row r="1" spans="1:21" s="2" customFormat="1" ht="29" customHeight="1">
      <c r="A1" s="53" t="s">
        <v>247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15" t="s">
        <v>21</v>
      </c>
      <c r="B6" s="9" t="s">
        <v>22</v>
      </c>
      <c r="C6" s="9" t="s">
        <v>11</v>
      </c>
      <c r="D6" s="9" t="s">
        <v>12</v>
      </c>
      <c r="E6" s="10" t="s">
        <v>261</v>
      </c>
      <c r="F6" s="9" t="s">
        <v>13</v>
      </c>
      <c r="G6" s="14" t="s">
        <v>14</v>
      </c>
      <c r="H6" s="14" t="s">
        <v>15</v>
      </c>
      <c r="I6" s="15"/>
      <c r="J6" s="15"/>
      <c r="K6" s="14" t="s">
        <v>16</v>
      </c>
      <c r="L6" s="14" t="s">
        <v>17</v>
      </c>
      <c r="M6" s="15"/>
      <c r="N6" s="15"/>
      <c r="O6" s="14" t="s">
        <v>18</v>
      </c>
      <c r="P6" s="14" t="s">
        <v>19</v>
      </c>
      <c r="Q6" s="16" t="s">
        <v>20</v>
      </c>
      <c r="R6" s="15"/>
      <c r="S6" s="11" t="str">
        <f>"680,0"</f>
        <v>680,0</v>
      </c>
      <c r="T6" s="11" t="str">
        <f>"421,3960"</f>
        <v>421,3960</v>
      </c>
      <c r="U6" s="9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5" style="5" bestFit="1" customWidth="1"/>
    <col min="7" max="9" width="5.5" style="8" customWidth="1"/>
    <col min="10" max="10" width="4.83203125" style="8" customWidth="1"/>
    <col min="11" max="14" width="5.5" style="8" customWidth="1"/>
    <col min="15" max="15" width="7.83203125" style="7" bestFit="1" customWidth="1"/>
    <col min="16" max="16" width="8.5" style="7" bestFit="1" customWidth="1"/>
    <col min="17" max="17" width="20.5" style="5" customWidth="1"/>
    <col min="18" max="16384" width="9.1640625" style="3"/>
  </cols>
  <sheetData>
    <row r="1" spans="1:17" s="2" customFormat="1" ht="29" customHeight="1">
      <c r="A1" s="53" t="s">
        <v>248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0"/>
    </row>
    <row r="5" spans="1:17" ht="16">
      <c r="A5" s="51" t="s">
        <v>43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15" t="s">
        <v>21</v>
      </c>
      <c r="B6" s="9" t="s">
        <v>234</v>
      </c>
      <c r="C6" s="9" t="s">
        <v>224</v>
      </c>
      <c r="D6" s="9" t="s">
        <v>225</v>
      </c>
      <c r="E6" s="10" t="s">
        <v>261</v>
      </c>
      <c r="F6" s="9" t="s">
        <v>13</v>
      </c>
      <c r="G6" s="14" t="s">
        <v>130</v>
      </c>
      <c r="H6" s="16" t="s">
        <v>220</v>
      </c>
      <c r="I6" s="14" t="s">
        <v>220</v>
      </c>
      <c r="J6" s="15"/>
      <c r="K6" s="14" t="s">
        <v>146</v>
      </c>
      <c r="L6" s="14" t="s">
        <v>147</v>
      </c>
      <c r="M6" s="14" t="s">
        <v>58</v>
      </c>
      <c r="N6" s="15"/>
      <c r="O6" s="11" t="str">
        <f>"210,0"</f>
        <v>210,0</v>
      </c>
      <c r="P6" s="11" t="str">
        <f>"164,8920"</f>
        <v>164,8920</v>
      </c>
      <c r="Q6" s="9"/>
    </row>
    <row r="8" spans="1:17" ht="16">
      <c r="A8" s="66" t="s">
        <v>80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15" t="s">
        <v>21</v>
      </c>
      <c r="B9" s="9" t="s">
        <v>235</v>
      </c>
      <c r="C9" s="9" t="s">
        <v>226</v>
      </c>
      <c r="D9" s="9" t="s">
        <v>227</v>
      </c>
      <c r="E9" s="10" t="s">
        <v>263</v>
      </c>
      <c r="F9" s="9" t="s">
        <v>13</v>
      </c>
      <c r="G9" s="14" t="s">
        <v>33</v>
      </c>
      <c r="H9" s="14" t="s">
        <v>47</v>
      </c>
      <c r="I9" s="14" t="s">
        <v>146</v>
      </c>
      <c r="J9" s="15"/>
      <c r="K9" s="16" t="s">
        <v>87</v>
      </c>
      <c r="L9" s="14" t="s">
        <v>96</v>
      </c>
      <c r="M9" s="16" t="s">
        <v>100</v>
      </c>
      <c r="N9" s="15"/>
      <c r="O9" s="11" t="str">
        <f>"305,0"</f>
        <v>305,0</v>
      </c>
      <c r="P9" s="11" t="str">
        <f>"206,7595"</f>
        <v>206,7595</v>
      </c>
      <c r="Q9" s="9"/>
    </row>
    <row r="11" spans="1:17" ht="16">
      <c r="A11" s="66" t="s">
        <v>52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7">
      <c r="A12" s="15" t="s">
        <v>21</v>
      </c>
      <c r="B12" s="9" t="s">
        <v>66</v>
      </c>
      <c r="C12" s="9" t="s">
        <v>53</v>
      </c>
      <c r="D12" s="9" t="s">
        <v>54</v>
      </c>
      <c r="E12" s="10" t="s">
        <v>264</v>
      </c>
      <c r="F12" s="9" t="s">
        <v>13</v>
      </c>
      <c r="G12" s="14" t="s">
        <v>57</v>
      </c>
      <c r="H12" s="14" t="s">
        <v>58</v>
      </c>
      <c r="I12" s="14" t="s">
        <v>59</v>
      </c>
      <c r="J12" s="15"/>
      <c r="K12" s="14" t="s">
        <v>60</v>
      </c>
      <c r="L12" s="14" t="s">
        <v>61</v>
      </c>
      <c r="M12" s="16" t="s">
        <v>62</v>
      </c>
      <c r="N12" s="15"/>
      <c r="O12" s="11" t="str">
        <f>"397,5"</f>
        <v>397,5</v>
      </c>
      <c r="P12" s="11" t="str">
        <f>"255,9900"</f>
        <v>255,9900</v>
      </c>
      <c r="Q12" s="9"/>
    </row>
    <row r="14" spans="1:17" ht="16">
      <c r="A14" s="66" t="s">
        <v>10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7">
      <c r="A15" s="15" t="s">
        <v>21</v>
      </c>
      <c r="B15" s="9" t="s">
        <v>236</v>
      </c>
      <c r="C15" s="9" t="s">
        <v>228</v>
      </c>
      <c r="D15" s="9" t="s">
        <v>229</v>
      </c>
      <c r="E15" s="10" t="s">
        <v>261</v>
      </c>
      <c r="F15" s="9" t="s">
        <v>13</v>
      </c>
      <c r="G15" s="14" t="s">
        <v>230</v>
      </c>
      <c r="H15" s="14" t="s">
        <v>231</v>
      </c>
      <c r="I15" s="14" t="s">
        <v>88</v>
      </c>
      <c r="J15" s="15"/>
      <c r="K15" s="14" t="s">
        <v>232</v>
      </c>
      <c r="L15" s="14" t="s">
        <v>208</v>
      </c>
      <c r="M15" s="14" t="s">
        <v>233</v>
      </c>
      <c r="N15" s="14" t="s">
        <v>204</v>
      </c>
      <c r="O15" s="11" t="str">
        <f>"472,5"</f>
        <v>472,5</v>
      </c>
      <c r="P15" s="11" t="str">
        <f>"288,8392"</f>
        <v>288,8392</v>
      </c>
      <c r="Q15" s="9" t="s">
        <v>255</v>
      </c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5" style="5" bestFit="1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20.5" style="5" customWidth="1"/>
    <col min="18" max="16384" width="9.1640625" style="3"/>
  </cols>
  <sheetData>
    <row r="1" spans="1:17" s="2" customFormat="1" ht="29" customHeight="1">
      <c r="A1" s="53" t="s">
        <v>249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0"/>
    </row>
    <row r="5" spans="1:17" ht="16">
      <c r="A5" s="51" t="s">
        <v>143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15" t="s">
        <v>21</v>
      </c>
      <c r="B6" s="9" t="s">
        <v>223</v>
      </c>
      <c r="C6" s="9" t="s">
        <v>218</v>
      </c>
      <c r="D6" s="9" t="s">
        <v>219</v>
      </c>
      <c r="E6" s="10" t="s">
        <v>263</v>
      </c>
      <c r="F6" s="9" t="s">
        <v>13</v>
      </c>
      <c r="G6" s="16" t="s">
        <v>220</v>
      </c>
      <c r="H6" s="14" t="s">
        <v>221</v>
      </c>
      <c r="I6" s="14" t="s">
        <v>27</v>
      </c>
      <c r="J6" s="15"/>
      <c r="K6" s="14" t="s">
        <v>34</v>
      </c>
      <c r="L6" s="14" t="s">
        <v>47</v>
      </c>
      <c r="M6" s="14" t="s">
        <v>222</v>
      </c>
      <c r="N6" s="15"/>
      <c r="O6" s="11" t="str">
        <f>"192,5"</f>
        <v>192,5</v>
      </c>
      <c r="P6" s="11" t="str">
        <f>"140,2363"</f>
        <v>140,2363</v>
      </c>
      <c r="Q6" s="9"/>
    </row>
    <row r="8" spans="1:17" ht="16">
      <c r="A8" s="66" t="s">
        <v>10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26" t="s">
        <v>21</v>
      </c>
      <c r="B9" s="17" t="s">
        <v>123</v>
      </c>
      <c r="C9" s="17" t="s">
        <v>106</v>
      </c>
      <c r="D9" s="17" t="s">
        <v>107</v>
      </c>
      <c r="E9" s="18" t="s">
        <v>261</v>
      </c>
      <c r="F9" s="17" t="s">
        <v>13</v>
      </c>
      <c r="G9" s="27" t="s">
        <v>59</v>
      </c>
      <c r="H9" s="27" t="s">
        <v>91</v>
      </c>
      <c r="I9" s="27" t="s">
        <v>93</v>
      </c>
      <c r="J9" s="26"/>
      <c r="K9" s="27" t="s">
        <v>60</v>
      </c>
      <c r="L9" s="27" t="s">
        <v>105</v>
      </c>
      <c r="M9" s="27" t="s">
        <v>108</v>
      </c>
      <c r="N9" s="26"/>
      <c r="O9" s="19" t="str">
        <f>"400,0"</f>
        <v>400,0</v>
      </c>
      <c r="P9" s="19" t="str">
        <f>"249,6400"</f>
        <v>249,6400</v>
      </c>
      <c r="Q9" s="17"/>
    </row>
    <row r="10" spans="1:17">
      <c r="A10" s="29" t="s">
        <v>113</v>
      </c>
      <c r="B10" s="20" t="s">
        <v>121</v>
      </c>
      <c r="C10" s="20" t="s">
        <v>101</v>
      </c>
      <c r="D10" s="20" t="s">
        <v>102</v>
      </c>
      <c r="E10" s="21" t="s">
        <v>261</v>
      </c>
      <c r="F10" s="20" t="s">
        <v>13</v>
      </c>
      <c r="G10" s="30" t="s">
        <v>91</v>
      </c>
      <c r="H10" s="30" t="s">
        <v>93</v>
      </c>
      <c r="I10" s="30" t="s">
        <v>16</v>
      </c>
      <c r="J10" s="29"/>
      <c r="K10" s="30" t="s">
        <v>103</v>
      </c>
      <c r="L10" s="30" t="s">
        <v>104</v>
      </c>
      <c r="M10" s="34" t="s">
        <v>105</v>
      </c>
      <c r="N10" s="29"/>
      <c r="O10" s="22" t="str">
        <f>"395,0"</f>
        <v>395,0</v>
      </c>
      <c r="P10" s="22" t="str">
        <f>"245,5715"</f>
        <v>245,5715</v>
      </c>
      <c r="Q10" s="20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39"/>
  <sheetViews>
    <sheetView topLeftCell="A3" workbookViewId="0">
      <selection activeCell="E40" sqref="E40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0.1640625" style="5" bestFit="1" customWidth="1"/>
    <col min="7" max="9" width="5.5" style="8" customWidth="1"/>
    <col min="10" max="10" width="4.83203125" style="8" customWidth="1"/>
    <col min="11" max="11" width="10.5" style="13" bestFit="1" customWidth="1"/>
    <col min="12" max="12" width="8.5" style="7" bestFit="1" customWidth="1"/>
    <col min="13" max="13" width="21" style="5" customWidth="1"/>
    <col min="14" max="16384" width="9.1640625" style="3"/>
  </cols>
  <sheetData>
    <row r="1" spans="1:13" s="2" customFormat="1" ht="29" customHeight="1">
      <c r="A1" s="53" t="s">
        <v>250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8</v>
      </c>
      <c r="H3" s="65"/>
      <c r="I3" s="65"/>
      <c r="J3" s="65"/>
      <c r="K3" s="70" t="s">
        <v>67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71"/>
      <c r="L4" s="48"/>
      <c r="M4" s="50"/>
    </row>
    <row r="5" spans="1:13" ht="16">
      <c r="A5" s="51" t="s">
        <v>23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15" t="s">
        <v>21</v>
      </c>
      <c r="B6" s="9" t="s">
        <v>170</v>
      </c>
      <c r="C6" s="9" t="s">
        <v>125</v>
      </c>
      <c r="D6" s="9" t="s">
        <v>126</v>
      </c>
      <c r="E6" s="10" t="s">
        <v>261</v>
      </c>
      <c r="F6" s="9" t="s">
        <v>13</v>
      </c>
      <c r="G6" s="14" t="s">
        <v>32</v>
      </c>
      <c r="H6" s="14" t="s">
        <v>127</v>
      </c>
      <c r="I6" s="16" t="s">
        <v>48</v>
      </c>
      <c r="J6" s="15"/>
      <c r="K6" s="36" t="str">
        <f>"55,0"</f>
        <v>55,0</v>
      </c>
      <c r="L6" s="11" t="str">
        <f>"69,4925"</f>
        <v>69,4925</v>
      </c>
      <c r="M6" s="9" t="s">
        <v>255</v>
      </c>
    </row>
    <row r="8" spans="1:13" ht="16">
      <c r="A8" s="66" t="s">
        <v>43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15" t="s">
        <v>21</v>
      </c>
      <c r="B9" s="9" t="s">
        <v>171</v>
      </c>
      <c r="C9" s="9" t="s">
        <v>128</v>
      </c>
      <c r="D9" s="9" t="s">
        <v>129</v>
      </c>
      <c r="E9" s="10" t="s">
        <v>261</v>
      </c>
      <c r="F9" s="9" t="s">
        <v>13</v>
      </c>
      <c r="G9" s="14" t="s">
        <v>49</v>
      </c>
      <c r="H9" s="14" t="s">
        <v>50</v>
      </c>
      <c r="I9" s="14" t="s">
        <v>130</v>
      </c>
      <c r="J9" s="15"/>
      <c r="K9" s="36" t="str">
        <f>"67,5"</f>
        <v>67,5</v>
      </c>
      <c r="L9" s="11" t="str">
        <f>"73,5615"</f>
        <v>73,5615</v>
      </c>
      <c r="M9" s="9"/>
    </row>
    <row r="11" spans="1:13" ht="16">
      <c r="A11" s="66" t="s">
        <v>23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6" t="s">
        <v>21</v>
      </c>
      <c r="B12" s="17" t="s">
        <v>172</v>
      </c>
      <c r="C12" s="17" t="s">
        <v>131</v>
      </c>
      <c r="D12" s="17" t="s">
        <v>132</v>
      </c>
      <c r="E12" s="18" t="s">
        <v>263</v>
      </c>
      <c r="F12" s="17" t="s">
        <v>133</v>
      </c>
      <c r="G12" s="28" t="s">
        <v>72</v>
      </c>
      <c r="H12" s="27" t="s">
        <v>134</v>
      </c>
      <c r="I12" s="27" t="s">
        <v>135</v>
      </c>
      <c r="J12" s="26"/>
      <c r="K12" s="37" t="str">
        <f>"40,0"</f>
        <v>40,0</v>
      </c>
      <c r="L12" s="19" t="str">
        <f>"53,4160"</f>
        <v>53,4160</v>
      </c>
      <c r="M12" s="17"/>
    </row>
    <row r="13" spans="1:13">
      <c r="A13" s="29" t="s">
        <v>113</v>
      </c>
      <c r="B13" s="20" t="s">
        <v>173</v>
      </c>
      <c r="C13" s="20" t="s">
        <v>136</v>
      </c>
      <c r="D13" s="20" t="s">
        <v>137</v>
      </c>
      <c r="E13" s="21" t="s">
        <v>263</v>
      </c>
      <c r="F13" s="20" t="s">
        <v>133</v>
      </c>
      <c r="G13" s="30" t="s">
        <v>72</v>
      </c>
      <c r="H13" s="30" t="s">
        <v>134</v>
      </c>
      <c r="I13" s="30" t="s">
        <v>135</v>
      </c>
      <c r="J13" s="29"/>
      <c r="K13" s="38" t="str">
        <f>"40,0"</f>
        <v>40,0</v>
      </c>
      <c r="L13" s="22" t="str">
        <f>"47,7760"</f>
        <v>47,7760</v>
      </c>
      <c r="M13" s="20"/>
    </row>
    <row r="15" spans="1:13" ht="16">
      <c r="A15" s="66" t="s">
        <v>43</v>
      </c>
      <c r="B15" s="66"/>
      <c r="C15" s="67"/>
      <c r="D15" s="67"/>
      <c r="E15" s="67"/>
      <c r="F15" s="67"/>
      <c r="G15" s="67"/>
      <c r="H15" s="67"/>
      <c r="I15" s="67"/>
      <c r="J15" s="67"/>
    </row>
    <row r="16" spans="1:13">
      <c r="A16" s="26" t="s">
        <v>21</v>
      </c>
      <c r="B16" s="17" t="s">
        <v>174</v>
      </c>
      <c r="C16" s="17" t="s">
        <v>138</v>
      </c>
      <c r="D16" s="17" t="s">
        <v>139</v>
      </c>
      <c r="E16" s="18" t="s">
        <v>263</v>
      </c>
      <c r="F16" s="17" t="s">
        <v>13</v>
      </c>
      <c r="G16" s="27" t="s">
        <v>46</v>
      </c>
      <c r="H16" s="27" t="s">
        <v>41</v>
      </c>
      <c r="I16" s="28" t="s">
        <v>140</v>
      </c>
      <c r="J16" s="26"/>
      <c r="K16" s="37" t="str">
        <f>"107,5"</f>
        <v>107,5</v>
      </c>
      <c r="L16" s="19" t="str">
        <f>"86,9567"</f>
        <v>86,9567</v>
      </c>
      <c r="M16" s="17" t="s">
        <v>256</v>
      </c>
    </row>
    <row r="17" spans="1:13">
      <c r="A17" s="29" t="s">
        <v>113</v>
      </c>
      <c r="B17" s="20" t="s">
        <v>175</v>
      </c>
      <c r="C17" s="20" t="s">
        <v>141</v>
      </c>
      <c r="D17" s="20" t="s">
        <v>142</v>
      </c>
      <c r="E17" s="21" t="s">
        <v>263</v>
      </c>
      <c r="F17" s="20" t="s">
        <v>133</v>
      </c>
      <c r="G17" s="30" t="s">
        <v>39</v>
      </c>
      <c r="H17" s="30" t="s">
        <v>30</v>
      </c>
      <c r="I17" s="30" t="s">
        <v>40</v>
      </c>
      <c r="J17" s="29"/>
      <c r="K17" s="38" t="str">
        <f>"47,5"</f>
        <v>47,5</v>
      </c>
      <c r="L17" s="22" t="str">
        <f>"37,7720"</f>
        <v>37,7720</v>
      </c>
      <c r="M17" s="20"/>
    </row>
    <row r="19" spans="1:13" ht="16">
      <c r="A19" s="66" t="s">
        <v>143</v>
      </c>
      <c r="B19" s="66"/>
      <c r="C19" s="67"/>
      <c r="D19" s="67"/>
      <c r="E19" s="67"/>
      <c r="F19" s="67"/>
      <c r="G19" s="67"/>
      <c r="H19" s="67"/>
      <c r="I19" s="67"/>
      <c r="J19" s="67"/>
    </row>
    <row r="20" spans="1:13">
      <c r="A20" s="26" t="s">
        <v>21</v>
      </c>
      <c r="B20" s="17" t="s">
        <v>176</v>
      </c>
      <c r="C20" s="17" t="s">
        <v>144</v>
      </c>
      <c r="D20" s="17" t="s">
        <v>145</v>
      </c>
      <c r="E20" s="18" t="s">
        <v>263</v>
      </c>
      <c r="F20" s="17" t="s">
        <v>13</v>
      </c>
      <c r="G20" s="27" t="s">
        <v>146</v>
      </c>
      <c r="H20" s="27" t="s">
        <v>147</v>
      </c>
      <c r="I20" s="28" t="s">
        <v>57</v>
      </c>
      <c r="J20" s="26"/>
      <c r="K20" s="37" t="str">
        <f>"130,0"</f>
        <v>130,0</v>
      </c>
      <c r="L20" s="19" t="str">
        <f>"93,4180"</f>
        <v>93,4180</v>
      </c>
      <c r="M20" s="17"/>
    </row>
    <row r="21" spans="1:13">
      <c r="A21" s="31" t="s">
        <v>21</v>
      </c>
      <c r="B21" s="23" t="s">
        <v>177</v>
      </c>
      <c r="C21" s="23" t="s">
        <v>148</v>
      </c>
      <c r="D21" s="23" t="s">
        <v>149</v>
      </c>
      <c r="E21" s="24" t="s">
        <v>261</v>
      </c>
      <c r="F21" s="23" t="s">
        <v>13</v>
      </c>
      <c r="G21" s="32" t="s">
        <v>147</v>
      </c>
      <c r="H21" s="33" t="s">
        <v>147</v>
      </c>
      <c r="I21" s="33" t="s">
        <v>57</v>
      </c>
      <c r="J21" s="31"/>
      <c r="K21" s="46" t="str">
        <f>"135,0"</f>
        <v>135,0</v>
      </c>
      <c r="L21" s="25" t="str">
        <f>"96,6465"</f>
        <v>96,6465</v>
      </c>
      <c r="M21" s="23"/>
    </row>
    <row r="22" spans="1:13">
      <c r="A22" s="29" t="s">
        <v>178</v>
      </c>
      <c r="B22" s="20" t="s">
        <v>179</v>
      </c>
      <c r="C22" s="20" t="s">
        <v>150</v>
      </c>
      <c r="D22" s="20" t="s">
        <v>151</v>
      </c>
      <c r="E22" s="21" t="s">
        <v>261</v>
      </c>
      <c r="F22" s="20" t="s">
        <v>13</v>
      </c>
      <c r="G22" s="34" t="s">
        <v>57</v>
      </c>
      <c r="H22" s="34" t="s">
        <v>57</v>
      </c>
      <c r="I22" s="34" t="s">
        <v>57</v>
      </c>
      <c r="J22" s="29"/>
      <c r="K22" s="38">
        <v>0</v>
      </c>
      <c r="L22" s="22" t="str">
        <f>"0,0000"</f>
        <v>0,0000</v>
      </c>
      <c r="M22" s="20"/>
    </row>
    <row r="24" spans="1:13" ht="16">
      <c r="A24" s="66" t="s">
        <v>80</v>
      </c>
      <c r="B24" s="66"/>
      <c r="C24" s="67"/>
      <c r="D24" s="67"/>
      <c r="E24" s="67"/>
      <c r="F24" s="67"/>
      <c r="G24" s="67"/>
      <c r="H24" s="67"/>
      <c r="I24" s="67"/>
      <c r="J24" s="67"/>
    </row>
    <row r="25" spans="1:13">
      <c r="A25" s="15" t="s">
        <v>21</v>
      </c>
      <c r="B25" s="9" t="s">
        <v>180</v>
      </c>
      <c r="C25" s="9" t="s">
        <v>152</v>
      </c>
      <c r="D25" s="9" t="s">
        <v>153</v>
      </c>
      <c r="E25" s="10" t="s">
        <v>263</v>
      </c>
      <c r="F25" s="9" t="s">
        <v>133</v>
      </c>
      <c r="G25" s="14" t="s">
        <v>127</v>
      </c>
      <c r="H25" s="14" t="s">
        <v>154</v>
      </c>
      <c r="I25" s="14" t="s">
        <v>50</v>
      </c>
      <c r="J25" s="15"/>
      <c r="K25" s="36" t="str">
        <f>"65,0"</f>
        <v>65,0</v>
      </c>
      <c r="L25" s="11" t="str">
        <f>"43,7060"</f>
        <v>43,7060</v>
      </c>
      <c r="M25" s="9"/>
    </row>
    <row r="27" spans="1:13" ht="16">
      <c r="A27" s="66" t="s">
        <v>52</v>
      </c>
      <c r="B27" s="66"/>
      <c r="C27" s="67"/>
      <c r="D27" s="67"/>
      <c r="E27" s="67"/>
      <c r="F27" s="67"/>
      <c r="G27" s="67"/>
      <c r="H27" s="67"/>
      <c r="I27" s="67"/>
      <c r="J27" s="67"/>
    </row>
    <row r="28" spans="1:13">
      <c r="A28" s="26" t="s">
        <v>21</v>
      </c>
      <c r="B28" s="17" t="s">
        <v>181</v>
      </c>
      <c r="C28" s="17" t="s">
        <v>155</v>
      </c>
      <c r="D28" s="17" t="s">
        <v>156</v>
      </c>
      <c r="E28" s="18" t="s">
        <v>266</v>
      </c>
      <c r="F28" s="17" t="s">
        <v>26</v>
      </c>
      <c r="G28" s="27" t="s">
        <v>140</v>
      </c>
      <c r="H28" s="27" t="s">
        <v>42</v>
      </c>
      <c r="I28" s="27" t="s">
        <v>146</v>
      </c>
      <c r="J28" s="26"/>
      <c r="K28" s="37" t="str">
        <f>"120,0"</f>
        <v>120,0</v>
      </c>
      <c r="L28" s="19" t="str">
        <f>"76,8720"</f>
        <v>76,8720</v>
      </c>
      <c r="M28" s="17"/>
    </row>
    <row r="29" spans="1:13">
      <c r="A29" s="29" t="s">
        <v>21</v>
      </c>
      <c r="B29" s="20" t="s">
        <v>182</v>
      </c>
      <c r="C29" s="20" t="s">
        <v>157</v>
      </c>
      <c r="D29" s="20" t="s">
        <v>158</v>
      </c>
      <c r="E29" s="21" t="s">
        <v>261</v>
      </c>
      <c r="F29" s="20" t="s">
        <v>13</v>
      </c>
      <c r="G29" s="30" t="s">
        <v>93</v>
      </c>
      <c r="H29" s="30" t="s">
        <v>159</v>
      </c>
      <c r="I29" s="30" t="s">
        <v>17</v>
      </c>
      <c r="J29" s="29"/>
      <c r="K29" s="38" t="str">
        <f>"170,0"</f>
        <v>170,0</v>
      </c>
      <c r="L29" s="22" t="str">
        <f>"111,8430"</f>
        <v>111,8430</v>
      </c>
      <c r="M29" s="20"/>
    </row>
    <row r="31" spans="1:13" ht="16">
      <c r="A31" s="66" t="s">
        <v>10</v>
      </c>
      <c r="B31" s="66"/>
      <c r="C31" s="67"/>
      <c r="D31" s="67"/>
      <c r="E31" s="67"/>
      <c r="F31" s="67"/>
      <c r="G31" s="67"/>
      <c r="H31" s="67"/>
      <c r="I31" s="67"/>
      <c r="J31" s="67"/>
    </row>
    <row r="32" spans="1:13">
      <c r="A32" s="26" t="s">
        <v>21</v>
      </c>
      <c r="B32" s="17" t="s">
        <v>183</v>
      </c>
      <c r="C32" s="17" t="s">
        <v>160</v>
      </c>
      <c r="D32" s="17" t="s">
        <v>161</v>
      </c>
      <c r="E32" s="18" t="s">
        <v>261</v>
      </c>
      <c r="F32" s="17" t="s">
        <v>26</v>
      </c>
      <c r="G32" s="27" t="s">
        <v>87</v>
      </c>
      <c r="H32" s="27" t="s">
        <v>96</v>
      </c>
      <c r="I32" s="26"/>
      <c r="J32" s="26"/>
      <c r="K32" s="37" t="str">
        <f>"185,0"</f>
        <v>185,0</v>
      </c>
      <c r="L32" s="19" t="str">
        <f>"112,9055"</f>
        <v>112,9055</v>
      </c>
      <c r="M32" s="17"/>
    </row>
    <row r="33" spans="1:13">
      <c r="A33" s="29" t="s">
        <v>21</v>
      </c>
      <c r="B33" s="20" t="s">
        <v>184</v>
      </c>
      <c r="C33" s="20" t="s">
        <v>162</v>
      </c>
      <c r="D33" s="20" t="s">
        <v>163</v>
      </c>
      <c r="E33" s="21" t="s">
        <v>265</v>
      </c>
      <c r="F33" s="20" t="s">
        <v>13</v>
      </c>
      <c r="G33" s="30" t="s">
        <v>147</v>
      </c>
      <c r="H33" s="30" t="s">
        <v>58</v>
      </c>
      <c r="I33" s="30" t="s">
        <v>59</v>
      </c>
      <c r="J33" s="29"/>
      <c r="K33" s="38" t="str">
        <f>"145,0"</f>
        <v>145,0</v>
      </c>
      <c r="L33" s="22" t="str">
        <f>"95,0061"</f>
        <v>95,0061</v>
      </c>
      <c r="M33" s="20"/>
    </row>
    <row r="35" spans="1:13" ht="16">
      <c r="A35" s="66" t="s">
        <v>164</v>
      </c>
      <c r="B35" s="66"/>
      <c r="C35" s="67"/>
      <c r="D35" s="67"/>
      <c r="E35" s="67"/>
      <c r="F35" s="67"/>
      <c r="G35" s="67"/>
      <c r="H35" s="67"/>
      <c r="I35" s="67"/>
      <c r="J35" s="67"/>
    </row>
    <row r="36" spans="1:13">
      <c r="A36" s="15" t="s">
        <v>21</v>
      </c>
      <c r="B36" s="9" t="s">
        <v>185</v>
      </c>
      <c r="C36" s="9" t="s">
        <v>165</v>
      </c>
      <c r="D36" s="9" t="s">
        <v>166</v>
      </c>
      <c r="E36" s="10" t="s">
        <v>261</v>
      </c>
      <c r="F36" s="9" t="s">
        <v>13</v>
      </c>
      <c r="G36" s="16" t="s">
        <v>16</v>
      </c>
      <c r="H36" s="14" t="s">
        <v>16</v>
      </c>
      <c r="I36" s="16" t="s">
        <v>111</v>
      </c>
      <c r="J36" s="15"/>
      <c r="K36" s="36" t="str">
        <f>"160,0"</f>
        <v>160,0</v>
      </c>
      <c r="L36" s="11" t="str">
        <f>"94,9120"</f>
        <v>94,9120</v>
      </c>
      <c r="M36" s="9"/>
    </row>
    <row r="38" spans="1:13" ht="16">
      <c r="A38" s="66" t="s">
        <v>167</v>
      </c>
      <c r="B38" s="66"/>
      <c r="C38" s="67"/>
      <c r="D38" s="67"/>
      <c r="E38" s="67"/>
      <c r="F38" s="67"/>
      <c r="G38" s="67"/>
      <c r="H38" s="67"/>
      <c r="I38" s="67"/>
      <c r="J38" s="67"/>
    </row>
    <row r="39" spans="1:13">
      <c r="A39" s="15" t="s">
        <v>21</v>
      </c>
      <c r="B39" s="9" t="s">
        <v>186</v>
      </c>
      <c r="C39" s="9" t="s">
        <v>168</v>
      </c>
      <c r="D39" s="9" t="s">
        <v>169</v>
      </c>
      <c r="E39" s="10" t="s">
        <v>261</v>
      </c>
      <c r="F39" s="9" t="s">
        <v>13</v>
      </c>
      <c r="G39" s="14" t="s">
        <v>88</v>
      </c>
      <c r="H39" s="16" t="s">
        <v>96</v>
      </c>
      <c r="I39" s="16" t="s">
        <v>96</v>
      </c>
      <c r="J39" s="15"/>
      <c r="K39" s="36" t="str">
        <f>"180,0"</f>
        <v>180,0</v>
      </c>
      <c r="L39" s="11" t="str">
        <f>"103,4460"</f>
        <v>103,4460</v>
      </c>
      <c r="M39" s="9"/>
    </row>
  </sheetData>
  <mergeCells count="21">
    <mergeCell ref="A31:J31"/>
    <mergeCell ref="A35:J35"/>
    <mergeCell ref="A38:J38"/>
    <mergeCell ref="B3:B4"/>
    <mergeCell ref="A8:J8"/>
    <mergeCell ref="A11:J11"/>
    <mergeCell ref="A15:J15"/>
    <mergeCell ref="A19:J19"/>
    <mergeCell ref="A24:J24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22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7.832031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12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53" t="s">
        <v>251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8</v>
      </c>
      <c r="H3" s="65"/>
      <c r="I3" s="65"/>
      <c r="J3" s="65"/>
      <c r="K3" s="47" t="s">
        <v>67</v>
      </c>
      <c r="L3" s="72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73"/>
      <c r="M4" s="50"/>
    </row>
    <row r="5" spans="1:13" ht="16">
      <c r="A5" s="51" t="s">
        <v>23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6" t="s">
        <v>21</v>
      </c>
      <c r="B6" s="17" t="s">
        <v>112</v>
      </c>
      <c r="C6" s="17" t="s">
        <v>68</v>
      </c>
      <c r="D6" s="17" t="s">
        <v>69</v>
      </c>
      <c r="E6" s="18" t="s">
        <v>263</v>
      </c>
      <c r="F6" s="17" t="s">
        <v>13</v>
      </c>
      <c r="G6" s="27" t="s">
        <v>70</v>
      </c>
      <c r="H6" s="28" t="s">
        <v>71</v>
      </c>
      <c r="I6" s="27" t="s">
        <v>72</v>
      </c>
      <c r="J6" s="26"/>
      <c r="K6" s="19" t="str">
        <f>"35,0"</f>
        <v>35,0</v>
      </c>
      <c r="L6" s="40" t="str">
        <f>"46,7390"</f>
        <v>46,7390</v>
      </c>
      <c r="M6" s="17"/>
    </row>
    <row r="7" spans="1:13">
      <c r="A7" s="29" t="s">
        <v>113</v>
      </c>
      <c r="B7" s="20" t="s">
        <v>114</v>
      </c>
      <c r="C7" s="20" t="s">
        <v>73</v>
      </c>
      <c r="D7" s="20" t="s">
        <v>74</v>
      </c>
      <c r="E7" s="21" t="s">
        <v>263</v>
      </c>
      <c r="F7" s="20" t="s">
        <v>13</v>
      </c>
      <c r="G7" s="30" t="s">
        <v>75</v>
      </c>
      <c r="H7" s="30" t="s">
        <v>76</v>
      </c>
      <c r="I7" s="30" t="s">
        <v>77</v>
      </c>
      <c r="J7" s="29"/>
      <c r="K7" s="22" t="str">
        <f>"25,0"</f>
        <v>25,0</v>
      </c>
      <c r="L7" s="41" t="str">
        <f>"33,3850"</f>
        <v>33,3850</v>
      </c>
      <c r="M7" s="20"/>
    </row>
    <row r="9" spans="1:13" ht="16">
      <c r="A9" s="66" t="s">
        <v>35</v>
      </c>
      <c r="B9" s="66"/>
      <c r="C9" s="67"/>
      <c r="D9" s="67"/>
      <c r="E9" s="67"/>
      <c r="F9" s="67"/>
      <c r="G9" s="67"/>
      <c r="H9" s="67"/>
      <c r="I9" s="67"/>
      <c r="J9" s="67"/>
    </row>
    <row r="10" spans="1:13">
      <c r="A10" s="15" t="s">
        <v>21</v>
      </c>
      <c r="B10" s="9" t="s">
        <v>115</v>
      </c>
      <c r="C10" s="9" t="s">
        <v>78</v>
      </c>
      <c r="D10" s="9" t="s">
        <v>79</v>
      </c>
      <c r="E10" s="10" t="s">
        <v>263</v>
      </c>
      <c r="F10" s="9" t="s">
        <v>13</v>
      </c>
      <c r="G10" s="16" t="s">
        <v>72</v>
      </c>
      <c r="H10" s="14" t="s">
        <v>72</v>
      </c>
      <c r="I10" s="14" t="s">
        <v>30</v>
      </c>
      <c r="J10" s="15"/>
      <c r="K10" s="11" t="str">
        <f>"45,0"</f>
        <v>45,0</v>
      </c>
      <c r="L10" s="39" t="str">
        <f>"41,2560"</f>
        <v>41,2560</v>
      </c>
      <c r="M10" s="9"/>
    </row>
    <row r="12" spans="1:13" ht="16">
      <c r="A12" s="66" t="s">
        <v>80</v>
      </c>
      <c r="B12" s="66"/>
      <c r="C12" s="67"/>
      <c r="D12" s="67"/>
      <c r="E12" s="67"/>
      <c r="F12" s="67"/>
      <c r="G12" s="67"/>
      <c r="H12" s="67"/>
      <c r="I12" s="67"/>
      <c r="J12" s="67"/>
    </row>
    <row r="13" spans="1:13">
      <c r="A13" s="26" t="s">
        <v>21</v>
      </c>
      <c r="B13" s="17" t="s">
        <v>116</v>
      </c>
      <c r="C13" s="17" t="s">
        <v>81</v>
      </c>
      <c r="D13" s="17" t="s">
        <v>82</v>
      </c>
      <c r="E13" s="18" t="s">
        <v>263</v>
      </c>
      <c r="F13" s="17" t="s">
        <v>13</v>
      </c>
      <c r="G13" s="27" t="s">
        <v>83</v>
      </c>
      <c r="H13" s="27" t="s">
        <v>84</v>
      </c>
      <c r="I13" s="28" t="s">
        <v>33</v>
      </c>
      <c r="J13" s="26"/>
      <c r="K13" s="19" t="str">
        <f>"95,0"</f>
        <v>95,0</v>
      </c>
      <c r="L13" s="40" t="str">
        <f>"67,4405"</f>
        <v>67,4405</v>
      </c>
      <c r="M13" s="17"/>
    </row>
    <row r="14" spans="1:13">
      <c r="A14" s="31" t="s">
        <v>21</v>
      </c>
      <c r="B14" s="23" t="s">
        <v>117</v>
      </c>
      <c r="C14" s="23" t="s">
        <v>85</v>
      </c>
      <c r="D14" s="23" t="s">
        <v>86</v>
      </c>
      <c r="E14" s="24" t="s">
        <v>261</v>
      </c>
      <c r="F14" s="23" t="s">
        <v>13</v>
      </c>
      <c r="G14" s="32" t="s">
        <v>87</v>
      </c>
      <c r="H14" s="33" t="s">
        <v>87</v>
      </c>
      <c r="I14" s="32" t="s">
        <v>88</v>
      </c>
      <c r="J14" s="31"/>
      <c r="K14" s="25" t="str">
        <f>"175,0"</f>
        <v>175,0</v>
      </c>
      <c r="L14" s="35" t="str">
        <f>"117,3200"</f>
        <v>117,3200</v>
      </c>
      <c r="M14" s="23"/>
    </row>
    <row r="15" spans="1:13">
      <c r="A15" s="29" t="s">
        <v>113</v>
      </c>
      <c r="B15" s="20" t="s">
        <v>118</v>
      </c>
      <c r="C15" s="20" t="s">
        <v>89</v>
      </c>
      <c r="D15" s="20" t="s">
        <v>90</v>
      </c>
      <c r="E15" s="21" t="s">
        <v>261</v>
      </c>
      <c r="F15" s="20" t="s">
        <v>13</v>
      </c>
      <c r="G15" s="30" t="s">
        <v>91</v>
      </c>
      <c r="H15" s="30" t="s">
        <v>92</v>
      </c>
      <c r="I15" s="34" t="s">
        <v>93</v>
      </c>
      <c r="J15" s="29"/>
      <c r="K15" s="22" t="str">
        <f>"152,5"</f>
        <v>152,5</v>
      </c>
      <c r="L15" s="41" t="str">
        <f>"107,9700"</f>
        <v>107,9700</v>
      </c>
      <c r="M15" s="20"/>
    </row>
    <row r="17" spans="1:13" ht="16">
      <c r="A17" s="66" t="s">
        <v>10</v>
      </c>
      <c r="B17" s="66"/>
      <c r="C17" s="67"/>
      <c r="D17" s="67"/>
      <c r="E17" s="67"/>
      <c r="F17" s="67"/>
      <c r="G17" s="67"/>
      <c r="H17" s="67"/>
      <c r="I17" s="67"/>
      <c r="J17" s="67"/>
    </row>
    <row r="18" spans="1:13">
      <c r="A18" s="26" t="s">
        <v>21</v>
      </c>
      <c r="B18" s="17" t="s">
        <v>119</v>
      </c>
      <c r="C18" s="17" t="s">
        <v>94</v>
      </c>
      <c r="D18" s="17" t="s">
        <v>95</v>
      </c>
      <c r="E18" s="18" t="s">
        <v>264</v>
      </c>
      <c r="F18" s="17" t="s">
        <v>13</v>
      </c>
      <c r="G18" s="27" t="s">
        <v>16</v>
      </c>
      <c r="H18" s="27" t="s">
        <v>96</v>
      </c>
      <c r="I18" s="28" t="s">
        <v>97</v>
      </c>
      <c r="J18" s="26"/>
      <c r="K18" s="19" t="str">
        <f>"185,0"</f>
        <v>185,0</v>
      </c>
      <c r="L18" s="40" t="str">
        <f>"113,5160"</f>
        <v>113,5160</v>
      </c>
      <c r="M18" s="17"/>
    </row>
    <row r="19" spans="1:13">
      <c r="A19" s="31" t="s">
        <v>21</v>
      </c>
      <c r="B19" s="23" t="s">
        <v>120</v>
      </c>
      <c r="C19" s="23" t="s">
        <v>98</v>
      </c>
      <c r="D19" s="23" t="s">
        <v>99</v>
      </c>
      <c r="E19" s="24" t="s">
        <v>261</v>
      </c>
      <c r="F19" s="23" t="s">
        <v>26</v>
      </c>
      <c r="G19" s="33" t="s">
        <v>87</v>
      </c>
      <c r="H19" s="33" t="s">
        <v>96</v>
      </c>
      <c r="I19" s="32" t="s">
        <v>100</v>
      </c>
      <c r="J19" s="31"/>
      <c r="K19" s="25" t="str">
        <f>"185,0"</f>
        <v>185,0</v>
      </c>
      <c r="L19" s="35" t="str">
        <f>"114,0155"</f>
        <v>114,0155</v>
      </c>
      <c r="M19" s="23"/>
    </row>
    <row r="20" spans="1:13">
      <c r="A20" s="31" t="s">
        <v>113</v>
      </c>
      <c r="B20" s="23" t="s">
        <v>121</v>
      </c>
      <c r="C20" s="23" t="s">
        <v>101</v>
      </c>
      <c r="D20" s="23" t="s">
        <v>243</v>
      </c>
      <c r="E20" s="24" t="s">
        <v>261</v>
      </c>
      <c r="F20" s="23" t="s">
        <v>13</v>
      </c>
      <c r="G20" s="33" t="s">
        <v>91</v>
      </c>
      <c r="H20" s="33" t="s">
        <v>93</v>
      </c>
      <c r="I20" s="33" t="s">
        <v>16</v>
      </c>
      <c r="J20" s="31"/>
      <c r="K20" s="25" t="str">
        <f>"160,0"</f>
        <v>160,0</v>
      </c>
      <c r="L20" s="35">
        <v>99.567999999999998</v>
      </c>
      <c r="M20" s="23"/>
    </row>
    <row r="21" spans="1:13">
      <c r="A21" s="31" t="s">
        <v>122</v>
      </c>
      <c r="B21" s="23" t="s">
        <v>123</v>
      </c>
      <c r="C21" s="23" t="s">
        <v>106</v>
      </c>
      <c r="D21" s="23" t="s">
        <v>107</v>
      </c>
      <c r="E21" s="24" t="s">
        <v>261</v>
      </c>
      <c r="F21" s="23" t="s">
        <v>13</v>
      </c>
      <c r="G21" s="33" t="s">
        <v>59</v>
      </c>
      <c r="H21" s="33" t="s">
        <v>91</v>
      </c>
      <c r="I21" s="33" t="s">
        <v>93</v>
      </c>
      <c r="J21" s="31"/>
      <c r="K21" s="25" t="str">
        <f>"155,0"</f>
        <v>155,0</v>
      </c>
      <c r="L21" s="35" t="str">
        <f>"96,7355"</f>
        <v>96,7355</v>
      </c>
      <c r="M21" s="23"/>
    </row>
    <row r="22" spans="1:13">
      <c r="A22" s="29" t="s">
        <v>21</v>
      </c>
      <c r="B22" s="20" t="s">
        <v>124</v>
      </c>
      <c r="C22" s="20" t="s">
        <v>109</v>
      </c>
      <c r="D22" s="20" t="s">
        <v>110</v>
      </c>
      <c r="E22" s="21" t="s">
        <v>265</v>
      </c>
      <c r="F22" s="20" t="s">
        <v>13</v>
      </c>
      <c r="G22" s="34" t="s">
        <v>16</v>
      </c>
      <c r="H22" s="30" t="s">
        <v>111</v>
      </c>
      <c r="I22" s="30" t="s">
        <v>17</v>
      </c>
      <c r="J22" s="29"/>
      <c r="K22" s="22" t="str">
        <f>"170,0"</f>
        <v>170,0</v>
      </c>
      <c r="L22" s="41" t="str">
        <f>"113,6179"</f>
        <v>113,6179</v>
      </c>
      <c r="M22" s="20"/>
    </row>
  </sheetData>
  <mergeCells count="15">
    <mergeCell ref="A9:J9"/>
    <mergeCell ref="A12:J12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7.83203125" style="5" bestFit="1" customWidth="1"/>
    <col min="7" max="10" width="5.5" style="8" customWidth="1"/>
    <col min="11" max="11" width="10.5" style="7" bestFit="1" customWidth="1"/>
    <col min="12" max="12" width="8.5" style="7" bestFit="1" customWidth="1"/>
    <col min="13" max="13" width="23.83203125" style="5" customWidth="1"/>
    <col min="14" max="16384" width="9.1640625" style="3"/>
  </cols>
  <sheetData>
    <row r="1" spans="1:13" s="2" customFormat="1" ht="29" customHeight="1">
      <c r="A1" s="53" t="s">
        <v>252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9</v>
      </c>
      <c r="H3" s="65"/>
      <c r="I3" s="65"/>
      <c r="J3" s="65"/>
      <c r="K3" s="47" t="s">
        <v>67</v>
      </c>
      <c r="L3" s="47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143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15" t="s">
        <v>21</v>
      </c>
      <c r="B6" s="9" t="s">
        <v>213</v>
      </c>
      <c r="C6" s="9" t="s">
        <v>192</v>
      </c>
      <c r="D6" s="9" t="s">
        <v>193</v>
      </c>
      <c r="E6" s="10" t="s">
        <v>264</v>
      </c>
      <c r="F6" s="9" t="s">
        <v>13</v>
      </c>
      <c r="G6" s="14" t="s">
        <v>194</v>
      </c>
      <c r="H6" s="16" t="s">
        <v>195</v>
      </c>
      <c r="I6" s="16" t="s">
        <v>195</v>
      </c>
      <c r="J6" s="15"/>
      <c r="K6" s="11" t="str">
        <f>"207,5"</f>
        <v>207,5</v>
      </c>
      <c r="L6" s="11" t="str">
        <f>"149,4000"</f>
        <v>149,4000</v>
      </c>
      <c r="M6" s="9"/>
    </row>
    <row r="8" spans="1:13" ht="16">
      <c r="A8" s="66" t="s">
        <v>52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15" t="s">
        <v>21</v>
      </c>
      <c r="B9" s="9" t="s">
        <v>182</v>
      </c>
      <c r="C9" s="9" t="s">
        <v>157</v>
      </c>
      <c r="D9" s="9" t="s">
        <v>158</v>
      </c>
      <c r="E9" s="10" t="s">
        <v>261</v>
      </c>
      <c r="F9" s="9" t="s">
        <v>13</v>
      </c>
      <c r="G9" s="14" t="s">
        <v>60</v>
      </c>
      <c r="H9" s="16" t="s">
        <v>105</v>
      </c>
      <c r="I9" s="16" t="s">
        <v>105</v>
      </c>
      <c r="J9" s="15"/>
      <c r="K9" s="11" t="str">
        <f>"230,0"</f>
        <v>230,0</v>
      </c>
      <c r="L9" s="11" t="str">
        <f>"151,3170"</f>
        <v>151,3170</v>
      </c>
      <c r="M9" s="9"/>
    </row>
    <row r="11" spans="1:13" ht="16">
      <c r="A11" s="66" t="s">
        <v>10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15" t="s">
        <v>21</v>
      </c>
      <c r="B12" s="9" t="s">
        <v>214</v>
      </c>
      <c r="C12" s="9" t="s">
        <v>196</v>
      </c>
      <c r="D12" s="9" t="s">
        <v>197</v>
      </c>
      <c r="E12" s="10" t="s">
        <v>261</v>
      </c>
      <c r="F12" s="9" t="s">
        <v>198</v>
      </c>
      <c r="G12" s="16" t="s">
        <v>195</v>
      </c>
      <c r="H12" s="14" t="s">
        <v>105</v>
      </c>
      <c r="I12" s="15"/>
      <c r="J12" s="15"/>
      <c r="K12" s="11" t="str">
        <f>"240,0"</f>
        <v>240,0</v>
      </c>
      <c r="L12" s="11" t="str">
        <f>"146,6640"</f>
        <v>146,6640</v>
      </c>
      <c r="M12" s="9"/>
    </row>
    <row r="14" spans="1:13" ht="16">
      <c r="A14" s="66" t="s">
        <v>164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6" t="s">
        <v>21</v>
      </c>
      <c r="B15" s="17" t="s">
        <v>215</v>
      </c>
      <c r="C15" s="17" t="s">
        <v>199</v>
      </c>
      <c r="D15" s="17" t="s">
        <v>200</v>
      </c>
      <c r="E15" s="18" t="s">
        <v>264</v>
      </c>
      <c r="F15" s="17" t="s">
        <v>13</v>
      </c>
      <c r="G15" s="27" t="s">
        <v>201</v>
      </c>
      <c r="H15" s="27" t="s">
        <v>202</v>
      </c>
      <c r="I15" s="27" t="s">
        <v>203</v>
      </c>
      <c r="J15" s="27" t="s">
        <v>204</v>
      </c>
      <c r="K15" s="19" t="str">
        <f>"290,0"</f>
        <v>290,0</v>
      </c>
      <c r="L15" s="19" t="str">
        <f>"170,8100"</f>
        <v>170,8100</v>
      </c>
      <c r="M15" s="17"/>
    </row>
    <row r="16" spans="1:13">
      <c r="A16" s="31" t="s">
        <v>113</v>
      </c>
      <c r="B16" s="23" t="s">
        <v>216</v>
      </c>
      <c r="C16" s="23" t="s">
        <v>205</v>
      </c>
      <c r="D16" s="23" t="s">
        <v>166</v>
      </c>
      <c r="E16" s="24" t="s">
        <v>264</v>
      </c>
      <c r="F16" s="23" t="s">
        <v>26</v>
      </c>
      <c r="G16" s="33" t="s">
        <v>206</v>
      </c>
      <c r="H16" s="33" t="s">
        <v>207</v>
      </c>
      <c r="I16" s="32" t="s">
        <v>208</v>
      </c>
      <c r="J16" s="31"/>
      <c r="K16" s="25" t="str">
        <f>"270,0"</f>
        <v>270,0</v>
      </c>
      <c r="L16" s="25" t="str">
        <f>"160,1640"</f>
        <v>160,1640</v>
      </c>
      <c r="M16" s="23"/>
    </row>
    <row r="17" spans="1:13">
      <c r="A17" s="29" t="s">
        <v>122</v>
      </c>
      <c r="B17" s="20" t="s">
        <v>217</v>
      </c>
      <c r="C17" s="20" t="s">
        <v>209</v>
      </c>
      <c r="D17" s="20" t="s">
        <v>210</v>
      </c>
      <c r="E17" s="21" t="s">
        <v>264</v>
      </c>
      <c r="F17" s="20" t="s">
        <v>13</v>
      </c>
      <c r="G17" s="30" t="s">
        <v>60</v>
      </c>
      <c r="H17" s="30" t="s">
        <v>211</v>
      </c>
      <c r="I17" s="34" t="s">
        <v>212</v>
      </c>
      <c r="J17" s="29"/>
      <c r="K17" s="22" t="str">
        <f>"247,5"</f>
        <v>247,5</v>
      </c>
      <c r="L17" s="22" t="str">
        <f>"146,0745"</f>
        <v>146,0745</v>
      </c>
      <c r="M17" s="20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14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5" style="5" bestFit="1" customWidth="1"/>
    <col min="7" max="9" width="5.5" style="8" customWidth="1"/>
    <col min="10" max="10" width="4.83203125" style="8" customWidth="1"/>
    <col min="11" max="11" width="10.5" style="7" bestFit="1" customWidth="1"/>
    <col min="12" max="12" width="8.6640625" style="42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53" t="s">
        <v>253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9</v>
      </c>
      <c r="H3" s="65"/>
      <c r="I3" s="65"/>
      <c r="J3" s="65"/>
      <c r="K3" s="47" t="s">
        <v>67</v>
      </c>
      <c r="L3" s="74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48"/>
      <c r="L4" s="75"/>
      <c r="M4" s="50"/>
    </row>
    <row r="5" spans="1:13" ht="16">
      <c r="A5" s="51" t="s">
        <v>43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15" t="s">
        <v>21</v>
      </c>
      <c r="B6" s="9" t="s">
        <v>190</v>
      </c>
      <c r="C6" s="9" t="s">
        <v>187</v>
      </c>
      <c r="D6" s="9" t="s">
        <v>188</v>
      </c>
      <c r="E6" s="10" t="s">
        <v>263</v>
      </c>
      <c r="F6" s="9" t="s">
        <v>13</v>
      </c>
      <c r="G6" s="14" t="s">
        <v>33</v>
      </c>
      <c r="H6" s="14" t="s">
        <v>140</v>
      </c>
      <c r="I6" s="14" t="s">
        <v>146</v>
      </c>
      <c r="J6" s="15"/>
      <c r="K6" s="11" t="str">
        <f>"120,0"</f>
        <v>120,0</v>
      </c>
      <c r="L6" s="43" t="str">
        <f>"98,5440"</f>
        <v>98,5440</v>
      </c>
      <c r="M6" s="9"/>
    </row>
    <row r="8" spans="1:13" ht="16">
      <c r="A8" s="66" t="s">
        <v>80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15" t="s">
        <v>21</v>
      </c>
      <c r="B9" s="9" t="s">
        <v>191</v>
      </c>
      <c r="C9" s="9" t="s">
        <v>189</v>
      </c>
      <c r="D9" s="9" t="s">
        <v>90</v>
      </c>
      <c r="E9" s="10" t="s">
        <v>263</v>
      </c>
      <c r="F9" s="9" t="s">
        <v>13</v>
      </c>
      <c r="G9" s="14" t="s">
        <v>140</v>
      </c>
      <c r="H9" s="14" t="s">
        <v>146</v>
      </c>
      <c r="I9" s="16" t="s">
        <v>58</v>
      </c>
      <c r="J9" s="15"/>
      <c r="K9" s="11" t="str">
        <f>"120,0"</f>
        <v>120,0</v>
      </c>
      <c r="L9" s="43" t="str">
        <f>"84,9600"</f>
        <v>84,9600</v>
      </c>
      <c r="M9" s="9"/>
    </row>
    <row r="11" spans="1:13" ht="16">
      <c r="A11" s="66" t="s">
        <v>10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6" t="s">
        <v>21</v>
      </c>
      <c r="B12" s="17" t="s">
        <v>22</v>
      </c>
      <c r="C12" s="17" t="s">
        <v>11</v>
      </c>
      <c r="D12" s="17" t="s">
        <v>12</v>
      </c>
      <c r="E12" s="18" t="s">
        <v>261</v>
      </c>
      <c r="F12" s="17" t="s">
        <v>13</v>
      </c>
      <c r="G12" s="27" t="s">
        <v>18</v>
      </c>
      <c r="H12" s="27" t="s">
        <v>19</v>
      </c>
      <c r="I12" s="28" t="s">
        <v>20</v>
      </c>
      <c r="J12" s="26"/>
      <c r="K12" s="19" t="str">
        <f>"300,0"</f>
        <v>300,0</v>
      </c>
      <c r="L12" s="44" t="str">
        <f>"185,9100"</f>
        <v>185,9100</v>
      </c>
      <c r="M12" s="17"/>
    </row>
    <row r="13" spans="1:13">
      <c r="A13" s="31" t="s">
        <v>113</v>
      </c>
      <c r="B13" s="23" t="s">
        <v>123</v>
      </c>
      <c r="C13" s="23" t="s">
        <v>106</v>
      </c>
      <c r="D13" s="23" t="s">
        <v>107</v>
      </c>
      <c r="E13" s="24" t="s">
        <v>261</v>
      </c>
      <c r="F13" s="23" t="s">
        <v>13</v>
      </c>
      <c r="G13" s="33" t="s">
        <v>60</v>
      </c>
      <c r="H13" s="33" t="s">
        <v>105</v>
      </c>
      <c r="I13" s="33" t="s">
        <v>108</v>
      </c>
      <c r="J13" s="31"/>
      <c r="K13" s="25" t="str">
        <f>"245,0"</f>
        <v>245,0</v>
      </c>
      <c r="L13" s="45" t="str">
        <f>"152,9045"</f>
        <v>152,9045</v>
      </c>
      <c r="M13" s="23"/>
    </row>
    <row r="14" spans="1:13">
      <c r="A14" s="29" t="s">
        <v>122</v>
      </c>
      <c r="B14" s="20" t="s">
        <v>121</v>
      </c>
      <c r="C14" s="20" t="s">
        <v>101</v>
      </c>
      <c r="D14" s="20" t="s">
        <v>243</v>
      </c>
      <c r="E14" s="21" t="s">
        <v>261</v>
      </c>
      <c r="F14" s="20" t="s">
        <v>13</v>
      </c>
      <c r="G14" s="30" t="s">
        <v>103</v>
      </c>
      <c r="H14" s="30" t="s">
        <v>104</v>
      </c>
      <c r="I14" s="34" t="s">
        <v>105</v>
      </c>
      <c r="J14" s="29"/>
      <c r="K14" s="22" t="str">
        <f>"235,0"</f>
        <v>235,0</v>
      </c>
      <c r="L14" s="41">
        <v>146.2405</v>
      </c>
      <c r="M14" s="20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0.1640625" style="5" bestFit="1" customWidth="1"/>
    <col min="7" max="9" width="4.5" style="8" customWidth="1"/>
    <col min="10" max="10" width="4.83203125" style="8" customWidth="1"/>
    <col min="11" max="11" width="10.5" style="13" bestFit="1" customWidth="1"/>
    <col min="12" max="12" width="7.5" style="12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53" t="s">
        <v>254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258</v>
      </c>
      <c r="B3" s="68" t="s">
        <v>0</v>
      </c>
      <c r="C3" s="63" t="s">
        <v>259</v>
      </c>
      <c r="D3" s="63" t="s">
        <v>6</v>
      </c>
      <c r="E3" s="47" t="s">
        <v>260</v>
      </c>
      <c r="F3" s="65" t="s">
        <v>5</v>
      </c>
      <c r="G3" s="65" t="s">
        <v>257</v>
      </c>
      <c r="H3" s="65"/>
      <c r="I3" s="65"/>
      <c r="J3" s="65"/>
      <c r="K3" s="70" t="s">
        <v>67</v>
      </c>
      <c r="L3" s="72" t="s">
        <v>3</v>
      </c>
      <c r="M3" s="49" t="s">
        <v>2</v>
      </c>
    </row>
    <row r="4" spans="1:13" s="1" customFormat="1" ht="21" customHeight="1" thickBot="1">
      <c r="A4" s="62"/>
      <c r="B4" s="69"/>
      <c r="C4" s="64"/>
      <c r="D4" s="64"/>
      <c r="E4" s="48"/>
      <c r="F4" s="64"/>
      <c r="G4" s="4">
        <v>1</v>
      </c>
      <c r="H4" s="4">
        <v>2</v>
      </c>
      <c r="I4" s="4">
        <v>3</v>
      </c>
      <c r="J4" s="4" t="s">
        <v>4</v>
      </c>
      <c r="K4" s="71"/>
      <c r="L4" s="73"/>
      <c r="M4" s="50"/>
    </row>
    <row r="5" spans="1:13" ht="16">
      <c r="A5" s="51" t="s">
        <v>237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15" t="s">
        <v>21</v>
      </c>
      <c r="B6" s="9" t="s">
        <v>177</v>
      </c>
      <c r="C6" s="9" t="s">
        <v>148</v>
      </c>
      <c r="D6" s="9" t="s">
        <v>240</v>
      </c>
      <c r="E6" s="10" t="s">
        <v>261</v>
      </c>
      <c r="F6" s="9" t="s">
        <v>13</v>
      </c>
      <c r="G6" s="14" t="s">
        <v>48</v>
      </c>
      <c r="H6" s="14" t="s">
        <v>49</v>
      </c>
      <c r="I6" s="16" t="s">
        <v>130</v>
      </c>
      <c r="J6" s="15"/>
      <c r="K6" s="36" t="str">
        <f>"62,5"</f>
        <v>62,5</v>
      </c>
      <c r="L6" s="39" t="str">
        <f>"54,2938"</f>
        <v>54,2938</v>
      </c>
      <c r="M6" s="9"/>
    </row>
    <row r="8" spans="1:13" ht="16">
      <c r="A8" s="66" t="s">
        <v>143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6" t="s">
        <v>21</v>
      </c>
      <c r="B9" s="17" t="s">
        <v>242</v>
      </c>
      <c r="C9" s="17" t="s">
        <v>244</v>
      </c>
      <c r="D9" s="17" t="s">
        <v>241</v>
      </c>
      <c r="E9" s="18" t="s">
        <v>262</v>
      </c>
      <c r="F9" s="17" t="s">
        <v>13</v>
      </c>
      <c r="G9" s="27" t="s">
        <v>134</v>
      </c>
      <c r="H9" s="27" t="s">
        <v>39</v>
      </c>
      <c r="I9" s="28" t="s">
        <v>31</v>
      </c>
      <c r="J9" s="26"/>
      <c r="K9" s="37" t="str">
        <f>"42,5"</f>
        <v>42,5</v>
      </c>
      <c r="L9" s="40" t="str">
        <f>"29,6161"</f>
        <v>29,6161</v>
      </c>
      <c r="M9" s="17"/>
    </row>
    <row r="10" spans="1:13">
      <c r="A10" s="29" t="s">
        <v>113</v>
      </c>
      <c r="B10" s="20" t="s">
        <v>239</v>
      </c>
      <c r="C10" s="20" t="s">
        <v>245</v>
      </c>
      <c r="D10" s="20" t="s">
        <v>238</v>
      </c>
      <c r="E10" s="21" t="s">
        <v>262</v>
      </c>
      <c r="F10" s="20" t="s">
        <v>133</v>
      </c>
      <c r="G10" s="30" t="s">
        <v>72</v>
      </c>
      <c r="H10" s="34" t="s">
        <v>134</v>
      </c>
      <c r="I10" s="30" t="s">
        <v>134</v>
      </c>
      <c r="J10" s="29"/>
      <c r="K10" s="38" t="str">
        <f>"37,5"</f>
        <v>37,5</v>
      </c>
      <c r="L10" s="41" t="str">
        <f>"27,2813"</f>
        <v>27,2813</v>
      </c>
      <c r="M10" s="20"/>
    </row>
    <row r="12" spans="1:13" ht="16">
      <c r="A12" s="66" t="s">
        <v>164</v>
      </c>
      <c r="B12" s="66"/>
      <c r="C12" s="67"/>
      <c r="D12" s="67"/>
      <c r="E12" s="67"/>
      <c r="F12" s="67"/>
      <c r="G12" s="67"/>
      <c r="H12" s="67"/>
      <c r="I12" s="67"/>
      <c r="J12" s="67"/>
    </row>
    <row r="13" spans="1:13">
      <c r="A13" s="15" t="s">
        <v>21</v>
      </c>
      <c r="B13" s="9" t="s">
        <v>185</v>
      </c>
      <c r="C13" s="9" t="s">
        <v>165</v>
      </c>
      <c r="D13" s="9" t="s">
        <v>166</v>
      </c>
      <c r="E13" s="10" t="s">
        <v>261</v>
      </c>
      <c r="F13" s="9" t="s">
        <v>13</v>
      </c>
      <c r="G13" s="14" t="s">
        <v>28</v>
      </c>
      <c r="H13" s="15"/>
      <c r="I13" s="16"/>
      <c r="J13" s="15"/>
      <c r="K13" s="36">
        <v>80</v>
      </c>
      <c r="L13" s="39">
        <v>45.335999999999999</v>
      </c>
      <c r="M13" s="9"/>
    </row>
  </sheetData>
  <mergeCells count="14">
    <mergeCell ref="A12:J12"/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 ДК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2023-05-25T16:12:25Z</dcterms:modified>
</cp:coreProperties>
</file>