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WPC б_э тяга" sheetId="1" r:id="rId4"/>
    <sheet name="WPC 1 слой тяга" sheetId="2" r:id="rId5"/>
    <sheet name="WPC б_э тяга" sheetId="3" r:id="rId6"/>
    <sheet name="AWPC б_э жим" sheetId="4" r:id="rId7"/>
    <sheet name="AWPC 1 слой ПЛ" sheetId="5" r:id="rId8"/>
    <sheet name="AWPC б_э ПЛ" sheetId="6" r:id="rId9"/>
    <sheet name="WPC 1 слой жим" sheetId="7" r:id="rId10"/>
    <sheet name="WPC б_э жим" sheetId="8" r:id="rId11"/>
    <sheet name="WPC б_э ПЛ" sheetId="9" r:id="rId12"/>
    <sheet name="AWPC Класс. ПЛ RAW" sheetId="10" r:id="rId13"/>
    <sheet name="WPC класс. ПЛ RAW" sheetId="11" r:id="rId14"/>
    <sheet name="AWPC софт эк. жим" sheetId="12" r:id="rId15"/>
    <sheet name="WPC софт эк. жим" sheetId="13" r:id="rId16"/>
    <sheet name="AWPC НЖ 1_2 вес" sheetId="14" r:id="rId17"/>
    <sheet name="AWPC НЖ 1 вес" sheetId="15" r:id="rId18"/>
    <sheet name="WPC НЖ 1_2 вес" sheetId="16" r:id="rId19"/>
    <sheet name="WPC НЖ 1 вес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<sst xmlns="http://schemas.openxmlformats.org/spreadsheetml/2006/main" uniqueCount="564">
  <si>
    <t>Открытый Чемпионат Самарской области
AWPC тяга становая без экипировки
Самара/Самарская область 16 - 17 марта 2018 г.</t>
  </si>
  <si>
    <t>ФИО</t>
  </si>
  <si>
    <t>Возр груп
Год. р./Возраст</t>
  </si>
  <si>
    <t>Соб.
Вес</t>
  </si>
  <si>
    <t>Gloss</t>
  </si>
  <si>
    <t>Команда</t>
  </si>
  <si>
    <t>Город/область</t>
  </si>
  <si>
    <t>Тяга</t>
  </si>
  <si>
    <t>Результат</t>
  </si>
  <si>
    <t>Очки</t>
  </si>
  <si>
    <t>Тренер</t>
  </si>
  <si>
    <t>Рек</t>
  </si>
  <si>
    <t>ВЕСОВАЯ КАТЕГОРИЯ   44</t>
  </si>
  <si>
    <t>1. Киракосян Мери</t>
  </si>
  <si>
    <t>Девушки 18 - 19 (22.07.1999)/18</t>
  </si>
  <si>
    <t>43,10</t>
  </si>
  <si>
    <t xml:space="preserve">Лично </t>
  </si>
  <si>
    <t xml:space="preserve">Тольятти/Самарская область </t>
  </si>
  <si>
    <t>65,0</t>
  </si>
  <si>
    <t>75,0</t>
  </si>
  <si>
    <t>80,0</t>
  </si>
  <si>
    <t xml:space="preserve"> </t>
  </si>
  <si>
    <t>ВЕСОВАЯ КАТЕГОРИЯ   82.5</t>
  </si>
  <si>
    <t>1. Сташевская Валентина</t>
  </si>
  <si>
    <t>Открытая (27.12.1985)/32</t>
  </si>
  <si>
    <t>77,40</t>
  </si>
  <si>
    <t xml:space="preserve">Самара/Самарская область </t>
  </si>
  <si>
    <t>130,0</t>
  </si>
  <si>
    <t>140,0</t>
  </si>
  <si>
    <t>150,0</t>
  </si>
  <si>
    <t>ВЕСОВАЯ КАТЕГОРИЯ   75</t>
  </si>
  <si>
    <t>1. Борисов Алексей</t>
  </si>
  <si>
    <t>Открытая (22.01.1987)/31</t>
  </si>
  <si>
    <t>74,30</t>
  </si>
  <si>
    <t>100,0</t>
  </si>
  <si>
    <t>112,5</t>
  </si>
  <si>
    <t>125,0</t>
  </si>
  <si>
    <t>1. Двуреченский Андрей</t>
  </si>
  <si>
    <t>Юноши 16 - 17 (17.09.2000)/17</t>
  </si>
  <si>
    <t>82,40</t>
  </si>
  <si>
    <t xml:space="preserve">Борск/Самарская </t>
  </si>
  <si>
    <t>220,0</t>
  </si>
  <si>
    <t>235,0</t>
  </si>
  <si>
    <t>245,0</t>
  </si>
  <si>
    <t>ВЕСОВАЯ КАТЕГОРИЯ   90</t>
  </si>
  <si>
    <t>1. Гуськов Вячеслав</t>
  </si>
  <si>
    <t>Юноши 16 - 17 (03.06.2000)/17</t>
  </si>
  <si>
    <t>85,90</t>
  </si>
  <si>
    <t xml:space="preserve">Октябрьск/Самарская область </t>
  </si>
  <si>
    <t>160,0</t>
  </si>
  <si>
    <t>185,0</t>
  </si>
  <si>
    <t>195,0</t>
  </si>
  <si>
    <t>1. Шестов Даниил</t>
  </si>
  <si>
    <t>Юниоры 20 - 23 (08.03.1996)/22</t>
  </si>
  <si>
    <t>86,10</t>
  </si>
  <si>
    <t>215,0</t>
  </si>
  <si>
    <t>222,5</t>
  </si>
  <si>
    <t>ВЕСОВАЯ КАТЕГОРИЯ   110</t>
  </si>
  <si>
    <t>1. Конопацкий Владимир</t>
  </si>
  <si>
    <t>Открытая (06.08.1973)/44</t>
  </si>
  <si>
    <t>108,50</t>
  </si>
  <si>
    <t xml:space="preserve">Тольятти </t>
  </si>
  <si>
    <t>230,0</t>
  </si>
  <si>
    <t>257,5</t>
  </si>
  <si>
    <t>277,5</t>
  </si>
  <si>
    <t>Мастера 40 - 44 (06.08.1973)/44</t>
  </si>
  <si>
    <t>Главный судья: Роде А. НК Саратов</t>
  </si>
  <si>
    <t>Главный секретарь: Роде И. МК Саратов</t>
  </si>
  <si>
    <t>Старший судья: Соколов Е. НК Борское</t>
  </si>
  <si>
    <t>Боковой судья: Краснов А. РК Тольятти</t>
  </si>
  <si>
    <t>Боковой судья: Ямалеева Е. РК Тольятти</t>
  </si>
  <si>
    <t xml:space="preserve">Секретарь: Сибалакова Е. РК Тольятти 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</si>
  <si>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</si>
  <si>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</si>
  <si>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</si>
  <si>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</si>
  <si>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</si>
  <si>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</si>
  <si>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</si>
  <si>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</si>
  <si>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>Киракосян Мери</t>
  </si>
  <si>
    <t xml:space="preserve">Юноши 18 - 19 </t>
  </si>
  <si>
    <t>44,0</t>
  </si>
  <si>
    <t>102,1360</t>
  </si>
  <si>
    <t xml:space="preserve">Открытая </t>
  </si>
  <si>
    <t>Сташевская Валентина</t>
  </si>
  <si>
    <t>82,5</t>
  </si>
  <si>
    <t>114,6600</t>
  </si>
  <si>
    <t xml:space="preserve">Мужчины </t>
  </si>
  <si>
    <t xml:space="preserve">Юноши </t>
  </si>
  <si>
    <t>Двуреченский Андрей</t>
  </si>
  <si>
    <t xml:space="preserve">Юноши 16 - 17 </t>
  </si>
  <si>
    <t>141,9220</t>
  </si>
  <si>
    <t>Гуськов Вячеслав</t>
  </si>
  <si>
    <t>90,0</t>
  </si>
  <si>
    <t>122,5770</t>
  </si>
  <si>
    <t xml:space="preserve">Юниоры </t>
  </si>
  <si>
    <t>Шестов Даниил</t>
  </si>
  <si>
    <t xml:space="preserve">Юниоры 20 - 23 </t>
  </si>
  <si>
    <t>139,6632</t>
  </si>
  <si>
    <t>Конопацкий Владимир</t>
  </si>
  <si>
    <t>110,0</t>
  </si>
  <si>
    <t>156,7043</t>
  </si>
  <si>
    <t>Борисов Алексей</t>
  </si>
  <si>
    <t>86,6688</t>
  </si>
  <si>
    <t xml:space="preserve">Мастера </t>
  </si>
  <si>
    <t xml:space="preserve">Мастера 40 - 44 </t>
  </si>
  <si>
    <t>163,4425</t>
  </si>
  <si>
    <t>Открытый Чемпионат Самарской области
WPC тяга становая в однослойной экипировке
Самара/Самарская область 16 - 17 марта 2018 г.</t>
  </si>
  <si>
    <t>ВЕСОВАЯ КАТЕГОРИЯ   125</t>
  </si>
  <si>
    <t>1. Гирилял Александр</t>
  </si>
  <si>
    <t>Открытая (08.05.1987)/30</t>
  </si>
  <si>
    <t>113,90</t>
  </si>
  <si>
    <t xml:space="preserve">Сызрань/Самарская область </t>
  </si>
  <si>
    <t>310,0</t>
  </si>
  <si>
    <t>322,5</t>
  </si>
  <si>
    <t xml:space="preserve">Дорофеев Г.А. </t>
  </si>
  <si>
    <t>Гирилял Александр</t>
  </si>
  <si>
    <t>172,8250</t>
  </si>
  <si>
    <t>Открытый Чемпионат Самарской области
WPC тяга становая без экипировки
Самара/Самарская область 16 - 17 марта 2018 г.</t>
  </si>
  <si>
    <t>1. Брославская Яна</t>
  </si>
  <si>
    <t>Девушки 13 - 15 (26.03.2006)/11</t>
  </si>
  <si>
    <t>33,90</t>
  </si>
  <si>
    <t>50,0</t>
  </si>
  <si>
    <t>55,0</t>
  </si>
  <si>
    <t>60,0</t>
  </si>
  <si>
    <t>1. Пименов Дмитрий</t>
  </si>
  <si>
    <t>Открытая (31.01.1990)/28</t>
  </si>
  <si>
    <t>89,30</t>
  </si>
  <si>
    <t>180,0</t>
  </si>
  <si>
    <t>190,0</t>
  </si>
  <si>
    <t>ВЕСОВАЯ КАТЕГОРИЯ   100</t>
  </si>
  <si>
    <t>1. Мавринский Александр</t>
  </si>
  <si>
    <t>Открытая (22.11.1982)/35</t>
  </si>
  <si>
    <t>94,10</t>
  </si>
  <si>
    <t xml:space="preserve">Самара </t>
  </si>
  <si>
    <t>260,0</t>
  </si>
  <si>
    <t>270,0</t>
  </si>
  <si>
    <t>2. Кутуков Алексей</t>
  </si>
  <si>
    <t>Открытая (01.08.1982)/35</t>
  </si>
  <si>
    <t>97,50</t>
  </si>
  <si>
    <t xml:space="preserve">Сызрань </t>
  </si>
  <si>
    <t>250,0</t>
  </si>
  <si>
    <t>ВЕСОВАЯ КАТЕГОРИЯ   140</t>
  </si>
  <si>
    <t>1. Демьянчук Юрий</t>
  </si>
  <si>
    <t>Открытая (03.10.1978)/39</t>
  </si>
  <si>
    <t>126,70</t>
  </si>
  <si>
    <t>285,0</t>
  </si>
  <si>
    <t>Брославская Яна</t>
  </si>
  <si>
    <t xml:space="preserve">Юноши 13 - 15 </t>
  </si>
  <si>
    <t>73,9035</t>
  </si>
  <si>
    <t>Мавринский Александр</t>
  </si>
  <si>
    <t>161,3790</t>
  </si>
  <si>
    <t>Демьянчук Юрий</t>
  </si>
  <si>
    <t>154,9402</t>
  </si>
  <si>
    <t>Кутуков Алексей</t>
  </si>
  <si>
    <t>146,9375</t>
  </si>
  <si>
    <t>Пименов Дмитрий</t>
  </si>
  <si>
    <t>132,1282</t>
  </si>
  <si>
    <t>Открытый Чемпионат Самарской области
AWPC жим лежа без экипировки
Самара/Самарская область 16 - 17 марта 2018 г.</t>
  </si>
  <si>
    <t>Жим</t>
  </si>
  <si>
    <t>ВЕСОВАЯ КАТЕГОРИЯ   52</t>
  </si>
  <si>
    <t>1. Фролов Святослав</t>
  </si>
  <si>
    <t>Юноши 13 - 15 (14.04.2005)/12</t>
  </si>
  <si>
    <t>51,90</t>
  </si>
  <si>
    <t xml:space="preserve">Димитровград/Ульяновская область </t>
  </si>
  <si>
    <t>42,5</t>
  </si>
  <si>
    <t>47,5</t>
  </si>
  <si>
    <t>ВЕСОВАЯ КАТЕГОРИЯ   56</t>
  </si>
  <si>
    <t>1. Кудряшов Егор</t>
  </si>
  <si>
    <t>Юноши 13 - 15 (11.07.2003)/14</t>
  </si>
  <si>
    <t>54,60</t>
  </si>
  <si>
    <t>57,5</t>
  </si>
  <si>
    <t>62,5</t>
  </si>
  <si>
    <t>67,5</t>
  </si>
  <si>
    <t>ВЕСОВАЯ КАТЕГОРИЯ   67.5</t>
  </si>
  <si>
    <t>1. Лаврухин Дмитрий</t>
  </si>
  <si>
    <t>Юноши 13 - 15 (27.11.2004)/13</t>
  </si>
  <si>
    <t>66,50</t>
  </si>
  <si>
    <t>1. Целогородцев Кирилл</t>
  </si>
  <si>
    <t>Юноши 16 - 17 (11.05.2001)/16</t>
  </si>
  <si>
    <t>66,80</t>
  </si>
  <si>
    <t>85,0</t>
  </si>
  <si>
    <t xml:space="preserve">Круглов Николай </t>
  </si>
  <si>
    <t>1. Климин Андрей</t>
  </si>
  <si>
    <t>Открытая (15.02.1993)/25</t>
  </si>
  <si>
    <t>66,90</t>
  </si>
  <si>
    <t>95,0</t>
  </si>
  <si>
    <t>107,5</t>
  </si>
  <si>
    <t>1. Грибанов Герман</t>
  </si>
  <si>
    <t>Юниоры 20 - 23 (06.08.1997)/20</t>
  </si>
  <si>
    <t>73,50</t>
  </si>
  <si>
    <t>117,5</t>
  </si>
  <si>
    <t>135,0</t>
  </si>
  <si>
    <t>1. Демидов Алексей</t>
  </si>
  <si>
    <t>Открытая (23.04.1981)/36</t>
  </si>
  <si>
    <t>73,00</t>
  </si>
  <si>
    <t xml:space="preserve">Астраханская </t>
  </si>
  <si>
    <t>2. Мастюков Алексей</t>
  </si>
  <si>
    <t>Открытая (07.05.1991)/26</t>
  </si>
  <si>
    <t>3. Абдинов Тимур</t>
  </si>
  <si>
    <t>Открытая (19.07.1990)/27</t>
  </si>
  <si>
    <t>75,00</t>
  </si>
  <si>
    <t xml:space="preserve">Волгоград/Волгоградская область </t>
  </si>
  <si>
    <t>4. Мухаметзянов Марат</t>
  </si>
  <si>
    <t>Открытая (07.11.1988)/29</t>
  </si>
  <si>
    <t>1. Шумилов Дмитрий</t>
  </si>
  <si>
    <t>Юноши 13 - 15 (20.10.2002)/15</t>
  </si>
  <si>
    <t>79,80</t>
  </si>
  <si>
    <t>105,0</t>
  </si>
  <si>
    <t xml:space="preserve">Ли Александр </t>
  </si>
  <si>
    <t>2. Будяев Егор</t>
  </si>
  <si>
    <t>Юноши 13 - 15 (02.10.2002)/15</t>
  </si>
  <si>
    <t>76,70</t>
  </si>
  <si>
    <t>102,5</t>
  </si>
  <si>
    <t>1. Фарваздинов Радик</t>
  </si>
  <si>
    <t>Юниоры 20 - 23 (29.08.1994)/23</t>
  </si>
  <si>
    <t>77,80</t>
  </si>
  <si>
    <t>145,0</t>
  </si>
  <si>
    <t>2. Алюшев Рустам</t>
  </si>
  <si>
    <t>Юниоры 20 - 23 (04.01.1998)/20</t>
  </si>
  <si>
    <t>79,60</t>
  </si>
  <si>
    <t>127,5</t>
  </si>
  <si>
    <t>142,5</t>
  </si>
  <si>
    <t>152,5</t>
  </si>
  <si>
    <t>1. Чернов Виталий</t>
  </si>
  <si>
    <t>Открытая (20.04.1989)/28</t>
  </si>
  <si>
    <t>88,20</t>
  </si>
  <si>
    <t>167,5</t>
  </si>
  <si>
    <t>170,0</t>
  </si>
  <si>
    <t>1. Токарев Михаил</t>
  </si>
  <si>
    <t>Мастера 50 - 54 (10.06.1966)/51</t>
  </si>
  <si>
    <t>84,90</t>
  </si>
  <si>
    <t>115,0</t>
  </si>
  <si>
    <t>120,0</t>
  </si>
  <si>
    <t>1. Адамов Владимир</t>
  </si>
  <si>
    <t>Открытая (25.04.1986)/31</t>
  </si>
  <si>
    <t>107,00</t>
  </si>
  <si>
    <t>1. Алиев Данила</t>
  </si>
  <si>
    <t>Открытая (27.03.1991)/26</t>
  </si>
  <si>
    <t>121,90</t>
  </si>
  <si>
    <t>147,5</t>
  </si>
  <si>
    <t>Будяев Егор</t>
  </si>
  <si>
    <t>69,4284</t>
  </si>
  <si>
    <t>Шумилов Дмитрий</t>
  </si>
  <si>
    <t>69,1897</t>
  </si>
  <si>
    <t>Целогородцев Кирилл</t>
  </si>
  <si>
    <t>62,2958</t>
  </si>
  <si>
    <t>Кудряшов Егор</t>
  </si>
  <si>
    <t>56,0</t>
  </si>
  <si>
    <t>61,8705</t>
  </si>
  <si>
    <t>Лаврухин Дмитрий</t>
  </si>
  <si>
    <t>45,4830</t>
  </si>
  <si>
    <t>Фролов Святослав</t>
  </si>
  <si>
    <t>52,0</t>
  </si>
  <si>
    <t>41,1591</t>
  </si>
  <si>
    <t>Фарваздинов Радик</t>
  </si>
  <si>
    <t>90,5310</t>
  </si>
  <si>
    <t>87,8780</t>
  </si>
  <si>
    <t>Грибанов Герман</t>
  </si>
  <si>
    <t>87,3750</t>
  </si>
  <si>
    <t>Алюшев Рустам</t>
  </si>
  <si>
    <t>84,1564</t>
  </si>
  <si>
    <t>Чернов Виталий</t>
  </si>
  <si>
    <t>105,2045</t>
  </si>
  <si>
    <t>Адамов Владимир</t>
  </si>
  <si>
    <t>102,0780</t>
  </si>
  <si>
    <t>Демидов Алексей</t>
  </si>
  <si>
    <t>98,3710</t>
  </si>
  <si>
    <t>Мастюков Алексей</t>
  </si>
  <si>
    <t>90,8700</t>
  </si>
  <si>
    <t>Абдинов Тимур</t>
  </si>
  <si>
    <t>89,5115</t>
  </si>
  <si>
    <t>Алиев Данила</t>
  </si>
  <si>
    <t>83,7149</t>
  </si>
  <si>
    <t>Климин Андрей</t>
  </si>
  <si>
    <t>82,9565</t>
  </si>
  <si>
    <t>Мухаметзянов Марат</t>
  </si>
  <si>
    <t>81,4686</t>
  </si>
  <si>
    <t>Токарев Михаил</t>
  </si>
  <si>
    <t xml:space="preserve">Мастера 50 - 54 </t>
  </si>
  <si>
    <t>83,5091</t>
  </si>
  <si>
    <t>Открытый Чемпионат Самарской области
AWPC пауэрлифтинг в однослойной экипировке
Самара/Самарская область 16 - 17 марта 2018 г.</t>
  </si>
  <si>
    <t>Присед</t>
  </si>
  <si>
    <t>Сумма</t>
  </si>
  <si>
    <t>1. Костин Владимир</t>
  </si>
  <si>
    <t>Открытая (16.05.1992)/25</t>
  </si>
  <si>
    <t>87,20</t>
  </si>
  <si>
    <t>205,0</t>
  </si>
  <si>
    <t>175,0</t>
  </si>
  <si>
    <t>210,0</t>
  </si>
  <si>
    <t>Костин Владимир</t>
  </si>
  <si>
    <t>595,0</t>
  </si>
  <si>
    <t>370,6850</t>
  </si>
  <si>
    <t>Открытый Чемпионат Самарской области
AWPC пауэрлифтинг без экипировки
Самара/Самарская область 16 - 17 марта 2018 г.</t>
  </si>
  <si>
    <t>1. Калачян Мариам</t>
  </si>
  <si>
    <t>Открытая (08.06.1991)/26</t>
  </si>
  <si>
    <t>55,50</t>
  </si>
  <si>
    <t>1. Спиридонов Илья</t>
  </si>
  <si>
    <t>Юноши 13 - 15 (21.02.2003)/15</t>
  </si>
  <si>
    <t>55,80</t>
  </si>
  <si>
    <t>40,0</t>
  </si>
  <si>
    <t>70,0</t>
  </si>
  <si>
    <t>1. Фатихов Валерий</t>
  </si>
  <si>
    <t>Открытая (02.07.1989)/28</t>
  </si>
  <si>
    <t>70,80</t>
  </si>
  <si>
    <t xml:space="preserve">Уфа/Башкортостан </t>
  </si>
  <si>
    <t>155,0</t>
  </si>
  <si>
    <t>122,5</t>
  </si>
  <si>
    <t>1. Климанов Ярослав</t>
  </si>
  <si>
    <t>Открытая (04.03.1991)/27</t>
  </si>
  <si>
    <t>81,10</t>
  </si>
  <si>
    <t>200,0</t>
  </si>
  <si>
    <t>207,5</t>
  </si>
  <si>
    <t>225,0</t>
  </si>
  <si>
    <t>232,5</t>
  </si>
  <si>
    <t>2. Карцев Дмитрий</t>
  </si>
  <si>
    <t>Открытая (29.01.1987)/31</t>
  </si>
  <si>
    <t>81,40</t>
  </si>
  <si>
    <t>187,5</t>
  </si>
  <si>
    <t>1. Ушаков Максим</t>
  </si>
  <si>
    <t>Мастера 40 - 44 (22.05.1973)/44</t>
  </si>
  <si>
    <t xml:space="preserve">Москва </t>
  </si>
  <si>
    <t>172,5</t>
  </si>
  <si>
    <t>1. Утенков Николай</t>
  </si>
  <si>
    <t>Мастера 50 - 54 (07.06.1967)/50</t>
  </si>
  <si>
    <t>132,80</t>
  </si>
  <si>
    <t>137,5</t>
  </si>
  <si>
    <t>Калачян Мариам</t>
  </si>
  <si>
    <t>275,0</t>
  </si>
  <si>
    <t>289,1350</t>
  </si>
  <si>
    <t>Спиридонов Илья</t>
  </si>
  <si>
    <t>201,5663</t>
  </si>
  <si>
    <t>Климанов Ярослав</t>
  </si>
  <si>
    <t>560,0</t>
  </si>
  <si>
    <t>365,0360</t>
  </si>
  <si>
    <t>Фатихов Валерий</t>
  </si>
  <si>
    <t>447,5</t>
  </si>
  <si>
    <t>322,0657</t>
  </si>
  <si>
    <t>Карцев Дмитрий</t>
  </si>
  <si>
    <t>467,5</t>
  </si>
  <si>
    <t>303,9919</t>
  </si>
  <si>
    <t>Утенков Николай</t>
  </si>
  <si>
    <t>512,5</t>
  </si>
  <si>
    <t>311,3318</t>
  </si>
  <si>
    <t>Ушаков Максим</t>
  </si>
  <si>
    <t>440,0</t>
  </si>
  <si>
    <t>269,7302</t>
  </si>
  <si>
    <t>Открытый Чемпионат Самарской области
WPC жим лежа в однослойной экипировке
Самара/Самарская область 16 - 17 марта 2018 г.</t>
  </si>
  <si>
    <t>1. Талалаев Сергей</t>
  </si>
  <si>
    <t>Мастера 45 - 49 (07.09.1968)/49</t>
  </si>
  <si>
    <t>89,20</t>
  </si>
  <si>
    <t>Талалаев Сергей</t>
  </si>
  <si>
    <t xml:space="preserve">Мастера 45 - 49 </t>
  </si>
  <si>
    <t>143,7206</t>
  </si>
  <si>
    <t>Открытый Чемпионат Самарской области
WPC жим лежа без экипировки
Самара/Самарская область 16 - 17 марта 2018 г.</t>
  </si>
  <si>
    <t>1. Мамедов Руслан</t>
  </si>
  <si>
    <t>Юноши 13 - 15 (15.09.2009)/8</t>
  </si>
  <si>
    <t>24,50</t>
  </si>
  <si>
    <t>20,0</t>
  </si>
  <si>
    <t>25,0</t>
  </si>
  <si>
    <t>30,0</t>
  </si>
  <si>
    <t xml:space="preserve">Мамедов Эмин </t>
  </si>
  <si>
    <t>2. Азимов Шараф</t>
  </si>
  <si>
    <t>Юноши 13 - 15 (10.05.2007)/10</t>
  </si>
  <si>
    <t>37,80</t>
  </si>
  <si>
    <t xml:space="preserve">Болдуев А. </t>
  </si>
  <si>
    <t>1. Широких Евгений</t>
  </si>
  <si>
    <t>Открытая (08.01.1980)/38</t>
  </si>
  <si>
    <t>54,00</t>
  </si>
  <si>
    <t>72,5</t>
  </si>
  <si>
    <t xml:space="preserve">Лякин В.Н. </t>
  </si>
  <si>
    <t>1. Корнеев Сергей</t>
  </si>
  <si>
    <t>Открытая (29.08.1986)/31</t>
  </si>
  <si>
    <t>73,40</t>
  </si>
  <si>
    <t>132,5</t>
  </si>
  <si>
    <t>2. Лукьянов Михаил</t>
  </si>
  <si>
    <t>Открытая (12.03.1991)/27</t>
  </si>
  <si>
    <t>69,70</t>
  </si>
  <si>
    <t>1. Потапов Денис</t>
  </si>
  <si>
    <t>Открытая (18.08.1990)/27</t>
  </si>
  <si>
    <t>88,10</t>
  </si>
  <si>
    <t>162,5</t>
  </si>
  <si>
    <t>165,0</t>
  </si>
  <si>
    <t>2. Ахмедов Александр</t>
  </si>
  <si>
    <t>Открытая (08.08.1984)/33</t>
  </si>
  <si>
    <t>88,90</t>
  </si>
  <si>
    <t>1. Самсонов Игорь</t>
  </si>
  <si>
    <t>Мастера 45 - 49 (23.03.1969)/48</t>
  </si>
  <si>
    <t xml:space="preserve">Димитровград </t>
  </si>
  <si>
    <t>1. Канеев Шамиль</t>
  </si>
  <si>
    <t>Юниоры 20 - 23 (25.06.1994)/23</t>
  </si>
  <si>
    <t>99,50</t>
  </si>
  <si>
    <t>1. Кутуков Алексей</t>
  </si>
  <si>
    <t>182,5</t>
  </si>
  <si>
    <t>1. Тришин Иван</t>
  </si>
  <si>
    <t>Юниоры 20 - 23 (05.10.1997)/20</t>
  </si>
  <si>
    <t>101,50</t>
  </si>
  <si>
    <t>1. Сафронов Олег</t>
  </si>
  <si>
    <t>Мастера 50 - 54 (07.07.1966)/51</t>
  </si>
  <si>
    <t>109,00</t>
  </si>
  <si>
    <t xml:space="preserve">Октябрьск </t>
  </si>
  <si>
    <t>Мамедов Руслан</t>
  </si>
  <si>
    <t>67,8729</t>
  </si>
  <si>
    <t>Азимов Шараф</t>
  </si>
  <si>
    <t>33,1087</t>
  </si>
  <si>
    <t>Тришин Иван</t>
  </si>
  <si>
    <t>89,5590</t>
  </si>
  <si>
    <t>Канеев Шамиль</t>
  </si>
  <si>
    <t>87,3825</t>
  </si>
  <si>
    <t>105,7950</t>
  </si>
  <si>
    <t>Потапов Денис</t>
  </si>
  <si>
    <t>102,1762</t>
  </si>
  <si>
    <t>Ахмедов Александр</t>
  </si>
  <si>
    <t>98,5680</t>
  </si>
  <si>
    <t>Корнеев Сергей</t>
  </si>
  <si>
    <t>92,7169</t>
  </si>
  <si>
    <t>Лукьянов Михаил</t>
  </si>
  <si>
    <t>76,5240</t>
  </si>
  <si>
    <t>Широких Евгений</t>
  </si>
  <si>
    <t>69,5625</t>
  </si>
  <si>
    <t>Самсонов Игорь</t>
  </si>
  <si>
    <t>115,4093</t>
  </si>
  <si>
    <t>Сафронов Олег</t>
  </si>
  <si>
    <t>103,4961</t>
  </si>
  <si>
    <t>Открытый Чемпионат Самарской области
WPC пауэрлифтинг без экипировки
Самара/Самарская область 16 - 17 марта 2018 г.</t>
  </si>
  <si>
    <t>1. Максимов Виталий</t>
  </si>
  <si>
    <t>Открытая (03.09.1986)/31</t>
  </si>
  <si>
    <t>103,00</t>
  </si>
  <si>
    <t xml:space="preserve">Жигулевск </t>
  </si>
  <si>
    <t xml:space="preserve">Жигулёвск/Самарская область </t>
  </si>
  <si>
    <t>177,5</t>
  </si>
  <si>
    <t>240,0</t>
  </si>
  <si>
    <t>252,5</t>
  </si>
  <si>
    <t xml:space="preserve">Тоскин С.А. </t>
  </si>
  <si>
    <t>ВЕСОВАЯ КАТЕГОРИЯ   140+</t>
  </si>
  <si>
    <t>1. Смирнов Дмитрий</t>
  </si>
  <si>
    <t>Открытая (18.11.1978)/39</t>
  </si>
  <si>
    <t>140,30</t>
  </si>
  <si>
    <t xml:space="preserve">Сочи/Краснодарский край </t>
  </si>
  <si>
    <t>280,0</t>
  </si>
  <si>
    <t>295,0</t>
  </si>
  <si>
    <t>302,5</t>
  </si>
  <si>
    <t>290,0</t>
  </si>
  <si>
    <t>305,0</t>
  </si>
  <si>
    <t>312,5</t>
  </si>
  <si>
    <t>Смирнов Дмитрий</t>
  </si>
  <si>
    <t>0,0</t>
  </si>
  <si>
    <t>770,0</t>
  </si>
  <si>
    <t>408,7969</t>
  </si>
  <si>
    <t>Максимов Виталий</t>
  </si>
  <si>
    <t>645,0</t>
  </si>
  <si>
    <t>370,6170</t>
  </si>
  <si>
    <t>Открытый Чемпионат Самарской области
AWPC классичесический пауэрлифтинг RAW
Самара/Самарская область 16 - 17 марта 2018 г.</t>
  </si>
  <si>
    <t>1. Вершинин Владислав</t>
  </si>
  <si>
    <t>Юноши 18 - 19 (18.08.1998)/19</t>
  </si>
  <si>
    <t>64,70</t>
  </si>
  <si>
    <t xml:space="preserve">Луговой А. </t>
  </si>
  <si>
    <t>Вершинин Владислав</t>
  </si>
  <si>
    <t>412,5</t>
  </si>
  <si>
    <t>320,2856</t>
  </si>
  <si>
    <t>Открытый Чемпионат Самарской области
WPC классичесический пауэрлифтинг RAW
Самара/Самарская область 16 - 17 марта 2018 г.</t>
  </si>
  <si>
    <t>1. Горбунова Екатерина</t>
  </si>
  <si>
    <t>Юниорки 20 - 23 (23.10.1997)/20</t>
  </si>
  <si>
    <t>50,00</t>
  </si>
  <si>
    <t xml:space="preserve">Борское </t>
  </si>
  <si>
    <t>45,0</t>
  </si>
  <si>
    <t>52,5</t>
  </si>
  <si>
    <t>1. Клюев Роман</t>
  </si>
  <si>
    <t>Открытая (01.12.1988)/29</t>
  </si>
  <si>
    <t xml:space="preserve">Юниорки </t>
  </si>
  <si>
    <t>Горбунова Екатерина</t>
  </si>
  <si>
    <t>257,0175</t>
  </si>
  <si>
    <t>Клюев Роман</t>
  </si>
  <si>
    <t>432,5</t>
  </si>
  <si>
    <t>269,4475</t>
  </si>
  <si>
    <t>Открытый Чемпионат Самарской области
AWPC жим лежа в софт экипировке
Самара/Самарская область 16 - 17 марта 2018 г.</t>
  </si>
  <si>
    <t>1. Потехин Игорь</t>
  </si>
  <si>
    <t>Мастера 45 - 49 (25.05.1969)/48</t>
  </si>
  <si>
    <t>109,20</t>
  </si>
  <si>
    <t>Потехин Игорь</t>
  </si>
  <si>
    <t>123,6648</t>
  </si>
  <si>
    <t>Открытый Чемпионат Самарской области
WPC жим лежа в софт экипировке
Самара/Самарская область 16 - 17 марта 2018 г.</t>
  </si>
  <si>
    <t>ВЕСОВАЯ КАТЕГОРИЯ   60</t>
  </si>
  <si>
    <t>-. Болдуева Светлана</t>
  </si>
  <si>
    <t>Открытая (13.10.1991)/26</t>
  </si>
  <si>
    <t>59,40</t>
  </si>
  <si>
    <t>297,5</t>
  </si>
  <si>
    <t>152,2220</t>
  </si>
  <si>
    <t>Открытый Чемпионат Самарской области
AWPC Народный жим (1/2 вес)
Самара/Самарская область 16 - 17 марта 2018 г.</t>
  </si>
  <si>
    <t>Жим мн. повт.</t>
  </si>
  <si>
    <t>Тоннаж</t>
  </si>
  <si>
    <t>Вес</t>
  </si>
  <si>
    <t>Повторы</t>
  </si>
  <si>
    <t>1. Немудрова Кристина</t>
  </si>
  <si>
    <t>Девушки 13 - 19 (17.12.2000)/17</t>
  </si>
  <si>
    <t>54,30</t>
  </si>
  <si>
    <t>27,5</t>
  </si>
  <si>
    <t>15,0</t>
  </si>
  <si>
    <t>1. Немудрова Алена</t>
  </si>
  <si>
    <t>59,80</t>
  </si>
  <si>
    <t>Немудрова Алена</t>
  </si>
  <si>
    <t xml:space="preserve">Юноши 13 - 19 </t>
  </si>
  <si>
    <t>450,0</t>
  </si>
  <si>
    <t>445,6350</t>
  </si>
  <si>
    <t>Немудрова Кристина</t>
  </si>
  <si>
    <t>441,4162</t>
  </si>
  <si>
    <t>Открытый Чемпионат Самарской области
AWPC Народный жим (1 вес)
Самара/Самарская область 16 - 17 марта 2018 г.</t>
  </si>
  <si>
    <t>1. Платонов Василий</t>
  </si>
  <si>
    <t>Открытая (09.12.1979)/38</t>
  </si>
  <si>
    <t>74,80</t>
  </si>
  <si>
    <t>27,0</t>
  </si>
  <si>
    <t>Платонов Василий</t>
  </si>
  <si>
    <t>2025,0</t>
  </si>
  <si>
    <t>1397,0475</t>
  </si>
  <si>
    <t>Открытый Чемпионат Самарской области
WPC Народный жим (1/2 вес)
Самара/Самарская область 16 - 17 марта 2018 г.</t>
  </si>
  <si>
    <t>1. Курашов Артем</t>
  </si>
  <si>
    <t>Юноши 13 - 19 (07.12.2001)/16</t>
  </si>
  <si>
    <t>66,70</t>
  </si>
  <si>
    <t>35,0</t>
  </si>
  <si>
    <t>38,0</t>
  </si>
  <si>
    <t>1. Гусаров Даниил</t>
  </si>
  <si>
    <t>Юноши 13 - 19 (06.02.2004)/14</t>
  </si>
  <si>
    <t>68,90</t>
  </si>
  <si>
    <t>36,0</t>
  </si>
  <si>
    <t>Курашов Артем</t>
  </si>
  <si>
    <t>1330,0</t>
  </si>
  <si>
    <t>1005,6130</t>
  </si>
  <si>
    <t>Гусаров Даниил</t>
  </si>
  <si>
    <t>1260,0</t>
  </si>
  <si>
    <t>926,9820</t>
  </si>
  <si>
    <t>Открытый Чемпионат Самарской области
WPC Народный жим (1 вес)
Самара/Самарская область 16 - 17 марта 2018 г.</t>
  </si>
  <si>
    <t>1. Чичкин Сергей</t>
  </si>
  <si>
    <t>Открытая (15.07.1992)/25</t>
  </si>
  <si>
    <t>68,80</t>
  </si>
  <si>
    <t>37,0</t>
  </si>
  <si>
    <t>2. Зинченко Александр</t>
  </si>
  <si>
    <t>Открытая (08.07.1986)/31</t>
  </si>
  <si>
    <t>74,20</t>
  </si>
  <si>
    <t>19,0</t>
  </si>
  <si>
    <t>1. Малахов Сергей</t>
  </si>
  <si>
    <t>Открытая (20.08.1991)/26</t>
  </si>
  <si>
    <t>86,80</t>
  </si>
  <si>
    <t>87,5</t>
  </si>
  <si>
    <t>26,0</t>
  </si>
  <si>
    <t>1. Крышов Андрей</t>
  </si>
  <si>
    <t>Мастера 40 - 49 (05.06.1972)/45</t>
  </si>
  <si>
    <t>98,20</t>
  </si>
  <si>
    <t>31,0</t>
  </si>
  <si>
    <t>Чичкин Сергей</t>
  </si>
  <si>
    <t>2590,0</t>
  </si>
  <si>
    <t>1907,7940</t>
  </si>
  <si>
    <t>Малахов Сергей</t>
  </si>
  <si>
    <t>2362,5</t>
  </si>
  <si>
    <t>1475,7356</t>
  </si>
  <si>
    <t>2340,0</t>
  </si>
  <si>
    <t>1441,5570</t>
  </si>
  <si>
    <t>Зинченко Александр</t>
  </si>
  <si>
    <t>1425,0</t>
  </si>
  <si>
    <t>988,9500</t>
  </si>
  <si>
    <t>Крышов Андрей</t>
  </si>
  <si>
    <t xml:space="preserve">Мастера 40 - 49 </t>
  </si>
  <si>
    <t>3100,0</t>
  </si>
  <si>
    <t>1916,0224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</si>
</sst>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0"/>
      <color rgb="FF000000"/>
      <name val="Arial Cyr"/>
    </font>
    <font>
      <b val="1"/>
      <i val="0"/>
      <strike val="0"/>
      <u val="none"/>
      <sz val="11"/>
      <color rgb="FF000000"/>
      <name val="Arial Cyr"/>
    </font>
    <font>
      <b val="1"/>
      <i val="0"/>
      <strike val="0"/>
      <u val="none"/>
      <sz val="10"/>
      <color rgb="FF000000"/>
      <name val="Arial Cyr"/>
    </font>
    <font>
      <b val="0"/>
      <i val="0"/>
      <strike val="1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0"/>
      <i val="0"/>
      <strike val="0"/>
      <u val="none"/>
      <sz val="14"/>
      <color rgb="FF000000"/>
      <name val="Arial Cyr"/>
    </font>
    <font>
      <b val="0"/>
      <i val="1"/>
      <strike val="0"/>
      <u val="none"/>
      <sz val="12"/>
      <color rgb="FF000000"/>
      <name val="Arial Cyr"/>
    </font>
    <font>
      <b val="0"/>
      <i val="1"/>
      <strike val="0"/>
      <u val="none"/>
      <sz val="11"/>
      <color rgb="FF000000"/>
      <name val="Arial Cyr"/>
    </font>
    <font>
      <b val="1"/>
      <i val="0"/>
      <strike val="0"/>
      <u val="none"/>
      <sz val="24"/>
      <color rgb="FF000000"/>
      <name val="Arial Cyr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1" numFmtId="49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0" numFmtId="49" fillId="0" borderId="0" applyFont="0" applyNumberFormat="1" applyFill="0" applyBorder="0" applyAlignment="1" applyProtection="true">
      <alignment horizontal="center" vertical="bottom" textRotation="0" wrapText="false" shrinkToFit="false"/>
      <protection hidden="false"/>
    </xf>
    <xf xfId="0" fontId="0" numFmtId="49" fillId="0" borderId="0" applyFont="0" applyNumberFormat="1" applyFill="0" applyBorder="0" applyAlignment="1" applyProtection="true">
      <alignment horizontal="left" vertical="bottom" textRotation="0" wrapText="false" shrinkToFit="false"/>
      <protection hidden="false"/>
    </xf>
    <xf xfId="0" fontId="0" numFmtId="49" fillId="0" borderId="2" applyFont="0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49" fillId="0" borderId="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0" borderId="2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5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6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0" numFmtId="49" fillId="0" borderId="0" applyFont="0" applyNumberFormat="1" applyFill="0" applyBorder="0" applyAlignment="1" applyProtection="true">
      <alignment horizontal="left" vertical="bottom" textRotation="0" wrapText="false" shrinkToFit="false" indent="1"/>
      <protection hidden="false"/>
    </xf>
    <xf xfId="0" fontId="7" numFmtId="49" fillId="0" borderId="0" applyFont="1" applyNumberFormat="1" applyFill="0" applyBorder="0" applyAlignment="1" applyProtection="true">
      <alignment horizontal="left" vertical="bottom" textRotation="0" wrapText="false" shrinkToFit="false" indent="1"/>
      <protection hidden="false"/>
    </xf>
    <xf xfId="0" fontId="7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0" borderId="2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49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0" numFmtId="49" fillId="0" borderId="3" applyFont="0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49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0" borderId="3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0" borderId="4" applyFont="0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49" fillId="0" borderId="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0" borderId="4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0" borderId="5" applyFont="0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4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0" borderId="5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6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49" fillId="0" borderId="6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7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6" numFmtId="49" fillId="0" borderId="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49" fillId="0" borderId="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8" numFmtId="49" fillId="0" borderId="10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8" numFmtId="49" fillId="0" borderId="9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8" numFmtId="49" fillId="0" borderId="1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8" numFmtId="49" fillId="0" borderId="12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8" numFmtId="49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8" numFmtId="49" fillId="0" borderId="1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15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16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6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1" fillId="0" borderId="0" applyFont="0" applyNumberFormat="1" applyFill="0" applyBorder="0" applyAlignment="1" applyProtection="true">
      <alignment horizontal="center" vertical="bottom" textRotation="0" wrapText="false" shrinkToFit="false"/>
      <protection hidden="false"/>
    </xf>
    <xf xfId="0" fontId="0" numFmtId="1" fillId="0" borderId="2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0" numFmtId="1" fillId="0" borderId="4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0" borderId="3" applyFont="0" applyNumberFormat="1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1"/>
  <sheetViews>
    <sheetView tabSelected="1" workbookViewId="0" showGridLines="true" showRowColHeaders="1">
      <selection activeCell="E25" sqref="E25:F30"/>
    </sheetView>
  </sheetViews>
  <sheetFormatPr customHeight="true" defaultRowHeight="12.75" defaultColWidth="9.140625" outlineLevelRow="0" outlineLevelCol="0"/>
  <cols>
    <col min="1" max="1" width="26" customWidth="true" style="5"/>
    <col min="2" max="2" width="29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8.2851562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8.85546875" customWidth="true" style="5"/>
  </cols>
  <sheetData>
    <row r="1" spans="1:13" customHeight="1" ht="29.1" s="3" customForma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13</v>
      </c>
      <c r="B6" s="6" t="s">
        <v>14</v>
      </c>
      <c r="C6" s="6" t="s">
        <v>15</v>
      </c>
      <c r="D6" s="6" t="str">
        <f>"1,2767"</f>
        <v>1,2767</v>
      </c>
      <c r="E6" s="6" t="s">
        <v>16</v>
      </c>
      <c r="F6" s="6" t="s">
        <v>17</v>
      </c>
      <c r="G6" s="8" t="s">
        <v>18</v>
      </c>
      <c r="H6" s="8" t="s">
        <v>19</v>
      </c>
      <c r="I6" s="8" t="s">
        <v>20</v>
      </c>
      <c r="J6" s="7"/>
      <c r="K6" s="6" t="str">
        <f>"80,0"</f>
        <v>80,0</v>
      </c>
      <c r="L6" s="8" t="str">
        <f>"102,1360"</f>
        <v>102,1360</v>
      </c>
      <c r="M6" s="6" t="s">
        <v>21</v>
      </c>
    </row>
    <row r="8" spans="1:13" customHeight="1" ht="15">
      <c r="A8" s="26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customHeight="1" ht="12.75">
      <c r="A9" s="6" t="s">
        <v>23</v>
      </c>
      <c r="B9" s="6" t="s">
        <v>24</v>
      </c>
      <c r="C9" s="6" t="s">
        <v>25</v>
      </c>
      <c r="D9" s="6" t="str">
        <f>"0,8190"</f>
        <v>0,8190</v>
      </c>
      <c r="E9" s="6" t="s">
        <v>16</v>
      </c>
      <c r="F9" s="6" t="s">
        <v>26</v>
      </c>
      <c r="G9" s="8" t="s">
        <v>27</v>
      </c>
      <c r="H9" s="8" t="s">
        <v>28</v>
      </c>
      <c r="I9" s="7" t="s">
        <v>29</v>
      </c>
      <c r="J9" s="7"/>
      <c r="K9" s="6" t="str">
        <f>"140,0"</f>
        <v>140,0</v>
      </c>
      <c r="L9" s="8" t="str">
        <f>"114,6600"</f>
        <v>114,6600</v>
      </c>
      <c r="M9" s="6" t="s">
        <v>21</v>
      </c>
    </row>
    <row r="11" spans="1:13" customHeight="1" ht="15">
      <c r="A11" s="26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3" customHeight="1" ht="12.75">
      <c r="A12" s="6" t="s">
        <v>31</v>
      </c>
      <c r="B12" s="6" t="s">
        <v>32</v>
      </c>
      <c r="C12" s="6" t="s">
        <v>33</v>
      </c>
      <c r="D12" s="6" t="str">
        <f>"0,6934"</f>
        <v>0,6934</v>
      </c>
      <c r="E12" s="6" t="s">
        <v>16</v>
      </c>
      <c r="F12" s="6" t="s">
        <v>17</v>
      </c>
      <c r="G12" s="8" t="s">
        <v>34</v>
      </c>
      <c r="H12" s="8" t="s">
        <v>35</v>
      </c>
      <c r="I12" s="8" t="s">
        <v>36</v>
      </c>
      <c r="J12" s="7"/>
      <c r="K12" s="6" t="str">
        <f>"125,0"</f>
        <v>125,0</v>
      </c>
      <c r="L12" s="8" t="str">
        <f>"86,6688"</f>
        <v>86,6688</v>
      </c>
      <c r="M12" s="6" t="s">
        <v>21</v>
      </c>
    </row>
    <row r="14" spans="1:13" customHeight="1" ht="15">
      <c r="A14" s="26" t="s">
        <v>22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3" customHeight="1" ht="12.75">
      <c r="A15" s="6" t="s">
        <v>37</v>
      </c>
      <c r="B15" s="6" t="s">
        <v>38</v>
      </c>
      <c r="C15" s="6" t="s">
        <v>39</v>
      </c>
      <c r="D15" s="6" t="str">
        <f>"0,6451"</f>
        <v>0,6451</v>
      </c>
      <c r="E15" s="6" t="s">
        <v>16</v>
      </c>
      <c r="F15" s="6" t="s">
        <v>40</v>
      </c>
      <c r="G15" s="8" t="s">
        <v>41</v>
      </c>
      <c r="H15" s="7" t="s">
        <v>42</v>
      </c>
      <c r="I15" s="7" t="s">
        <v>43</v>
      </c>
      <c r="J15" s="7"/>
      <c r="K15" s="6" t="str">
        <f>"220,0"</f>
        <v>220,0</v>
      </c>
      <c r="L15" s="8" t="str">
        <f>"141,9220"</f>
        <v>141,9220</v>
      </c>
      <c r="M15" s="6" t="s">
        <v>21</v>
      </c>
    </row>
    <row r="17" spans="1:13" customHeight="1" ht="15">
      <c r="A17" s="26" t="s">
        <v>44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3" customHeight="1" ht="12.75">
      <c r="A18" s="17" t="s">
        <v>45</v>
      </c>
      <c r="B18" s="17" t="s">
        <v>46</v>
      </c>
      <c r="C18" s="17" t="s">
        <v>47</v>
      </c>
      <c r="D18" s="17" t="str">
        <f>"0,6286"</f>
        <v>0,6286</v>
      </c>
      <c r="E18" s="17" t="s">
        <v>16</v>
      </c>
      <c r="F18" s="17" t="s">
        <v>48</v>
      </c>
      <c r="G18" s="19" t="s">
        <v>49</v>
      </c>
      <c r="H18" s="19" t="s">
        <v>50</v>
      </c>
      <c r="I18" s="19" t="s">
        <v>51</v>
      </c>
      <c r="J18" s="18"/>
      <c r="K18" s="17" t="str">
        <f>"195,0"</f>
        <v>195,0</v>
      </c>
      <c r="L18" s="19" t="str">
        <f>"122,5770"</f>
        <v>122,5770</v>
      </c>
      <c r="M18" s="17" t="s">
        <v>21</v>
      </c>
    </row>
    <row r="19" spans="1:13" customHeight="1" ht="12.75">
      <c r="A19" s="20" t="s">
        <v>52</v>
      </c>
      <c r="B19" s="20" t="s">
        <v>53</v>
      </c>
      <c r="C19" s="20" t="s">
        <v>54</v>
      </c>
      <c r="D19" s="20" t="str">
        <f>"0,6277"</f>
        <v>0,6277</v>
      </c>
      <c r="E19" s="20" t="s">
        <v>16</v>
      </c>
      <c r="F19" s="20" t="s">
        <v>48</v>
      </c>
      <c r="G19" s="22" t="s">
        <v>50</v>
      </c>
      <c r="H19" s="22" t="s">
        <v>55</v>
      </c>
      <c r="I19" s="22" t="s">
        <v>56</v>
      </c>
      <c r="J19" s="21"/>
      <c r="K19" s="20" t="str">
        <f>"222,5"</f>
        <v>222,5</v>
      </c>
      <c r="L19" s="22" t="str">
        <f>"139,6632"</f>
        <v>139,6632</v>
      </c>
      <c r="M19" s="20" t="s">
        <v>21</v>
      </c>
    </row>
    <row r="21" spans="1:13" customHeight="1" ht="15">
      <c r="A21" s="26" t="s">
        <v>57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3" customHeight="1" ht="12.75">
      <c r="A22" s="17" t="s">
        <v>58</v>
      </c>
      <c r="B22" s="17" t="s">
        <v>59</v>
      </c>
      <c r="C22" s="17" t="s">
        <v>60</v>
      </c>
      <c r="D22" s="17" t="str">
        <f>"0,5647"</f>
        <v>0,5647</v>
      </c>
      <c r="E22" s="17" t="s">
        <v>61</v>
      </c>
      <c r="F22" s="17" t="s">
        <v>17</v>
      </c>
      <c r="G22" s="19" t="s">
        <v>62</v>
      </c>
      <c r="H22" s="19" t="s">
        <v>63</v>
      </c>
      <c r="I22" s="19" t="s">
        <v>64</v>
      </c>
      <c r="J22" s="18"/>
      <c r="K22" s="17" t="str">
        <f>"277,5"</f>
        <v>277,5</v>
      </c>
      <c r="L22" s="19" t="str">
        <f>"156,7043"</f>
        <v>156,7043</v>
      </c>
      <c r="M22" s="17" t="s">
        <v>21</v>
      </c>
    </row>
    <row r="23" spans="1:13" customHeight="1" ht="12.75">
      <c r="A23" s="20" t="s">
        <v>58</v>
      </c>
      <c r="B23" s="20" t="s">
        <v>65</v>
      </c>
      <c r="C23" s="20" t="s">
        <v>60</v>
      </c>
      <c r="D23" s="20" t="str">
        <f>"0,5647"</f>
        <v>0,5647</v>
      </c>
      <c r="E23" s="20" t="s">
        <v>61</v>
      </c>
      <c r="F23" s="20" t="s">
        <v>17</v>
      </c>
      <c r="G23" s="22" t="s">
        <v>62</v>
      </c>
      <c r="H23" s="22" t="s">
        <v>63</v>
      </c>
      <c r="I23" s="22" t="s">
        <v>64</v>
      </c>
      <c r="J23" s="21"/>
      <c r="K23" s="20" t="str">
        <f>"277,5"</f>
        <v>277,5</v>
      </c>
      <c r="L23" s="22" t="str">
        <f>"163,4425"</f>
        <v>163,4425</v>
      </c>
      <c r="M23" s="20" t="s">
        <v>21</v>
      </c>
    </row>
    <row r="25" spans="1:13" customHeight="1" ht="15">
      <c r="E25" s="9" t="s">
        <v>66</v>
      </c>
    </row>
    <row r="26" spans="1:13" customHeight="1" ht="15">
      <c r="E26" s="9" t="s">
        <v>67</v>
      </c>
    </row>
    <row r="27" spans="1:13" customHeight="1" ht="15">
      <c r="E27" s="9" t="s">
        <v>68</v>
      </c>
    </row>
    <row r="28" spans="1:13" customHeight="1" ht="15">
      <c r="E28" s="9" t="s">
        <v>69</v>
      </c>
    </row>
    <row r="29" spans="1:13" customHeight="1" ht="15">
      <c r="E29" s="9" t="s">
        <v>70</v>
      </c>
    </row>
    <row r="30" spans="1:13" customHeight="1" ht="15">
      <c r="E30" s="9" t="s">
        <v>71</v>
      </c>
    </row>
    <row r="31" spans="1:13" customHeight="1" ht="15">
      <c r="E31" s="9"/>
    </row>
    <row r="33" spans="1:13" customHeight="1" ht="18">
      <c r="A33" s="10" t="s">
        <v>72</v>
      </c>
      <c r="B33" s="10"/>
    </row>
    <row r="34" spans="1:13" customHeight="1" ht="15">
      <c r="A34" s="11" t="s">
        <v>73</v>
      </c>
      <c r="B34" s="11"/>
    </row>
    <row r="35" spans="1:13" customHeight="1" ht="14.25">
      <c r="A35" s="13"/>
      <c r="B35" s="14" t="s">
        <v>74</v>
      </c>
    </row>
    <row r="36" spans="1:13" customHeight="1" ht="15">
      <c r="A36" s="15" t="s">
        <v>75</v>
      </c>
      <c r="B36" s="15" t="s">
        <v>76</v>
      </c>
      <c r="C36" s="15" t="s">
        <v>77</v>
      </c>
      <c r="D36" s="15" t="s">
        <v>78</v>
      </c>
      <c r="E36" s="15" t="s">
        <v>79</v>
      </c>
    </row>
    <row r="37" spans="1:13" customHeight="1" ht="12.75">
      <c r="A37" s="12" t="s">
        <v>80</v>
      </c>
      <c r="B37" s="5" t="s">
        <v>81</v>
      </c>
      <c r="C37" s="5" t="s">
        <v>82</v>
      </c>
      <c r="D37" s="5" t="s">
        <v>20</v>
      </c>
      <c r="E37" s="16" t="s">
        <v>83</v>
      </c>
    </row>
    <row r="39" spans="1:13" customHeight="1" ht="14.25">
      <c r="A39" s="13"/>
      <c r="B39" s="14" t="s">
        <v>84</v>
      </c>
    </row>
    <row r="40" spans="1:13" customHeight="1" ht="15">
      <c r="A40" s="15" t="s">
        <v>75</v>
      </c>
      <c r="B40" s="15" t="s">
        <v>76</v>
      </c>
      <c r="C40" s="15" t="s">
        <v>77</v>
      </c>
      <c r="D40" s="15" t="s">
        <v>78</v>
      </c>
      <c r="E40" s="15" t="s">
        <v>79</v>
      </c>
    </row>
    <row r="41" spans="1:13" customHeight="1" ht="12.75">
      <c r="A41" s="12" t="s">
        <v>85</v>
      </c>
      <c r="B41" s="5" t="s">
        <v>84</v>
      </c>
      <c r="C41" s="5" t="s">
        <v>86</v>
      </c>
      <c r="D41" s="5" t="s">
        <v>28</v>
      </c>
      <c r="E41" s="16" t="s">
        <v>87</v>
      </c>
    </row>
    <row r="44" spans="1:13" customHeight="1" ht="15">
      <c r="A44" s="11" t="s">
        <v>88</v>
      </c>
      <c r="B44" s="11"/>
    </row>
    <row r="45" spans="1:13" customHeight="1" ht="14.25">
      <c r="A45" s="13"/>
      <c r="B45" s="14" t="s">
        <v>89</v>
      </c>
    </row>
    <row r="46" spans="1:13" customHeight="1" ht="15">
      <c r="A46" s="15" t="s">
        <v>75</v>
      </c>
      <c r="B46" s="15" t="s">
        <v>76</v>
      </c>
      <c r="C46" s="15" t="s">
        <v>77</v>
      </c>
      <c r="D46" s="15" t="s">
        <v>78</v>
      </c>
      <c r="E46" s="15" t="s">
        <v>79</v>
      </c>
    </row>
    <row r="47" spans="1:13" customHeight="1" ht="12.75">
      <c r="A47" s="12" t="s">
        <v>90</v>
      </c>
      <c r="B47" s="5" t="s">
        <v>91</v>
      </c>
      <c r="C47" s="5" t="s">
        <v>86</v>
      </c>
      <c r="D47" s="5" t="s">
        <v>41</v>
      </c>
      <c r="E47" s="16" t="s">
        <v>92</v>
      </c>
    </row>
    <row r="48" spans="1:13" customHeight="1" ht="12.75">
      <c r="A48" s="12" t="s">
        <v>93</v>
      </c>
      <c r="B48" s="5" t="s">
        <v>91</v>
      </c>
      <c r="C48" s="5" t="s">
        <v>94</v>
      </c>
      <c r="D48" s="5" t="s">
        <v>51</v>
      </c>
      <c r="E48" s="16" t="s">
        <v>95</v>
      </c>
    </row>
    <row r="50" spans="1:13" customHeight="1" ht="14.25">
      <c r="A50" s="13"/>
      <c r="B50" s="14" t="s">
        <v>96</v>
      </c>
    </row>
    <row r="51" spans="1:13" customHeight="1" ht="15">
      <c r="A51" s="15" t="s">
        <v>75</v>
      </c>
      <c r="B51" s="15" t="s">
        <v>76</v>
      </c>
      <c r="C51" s="15" t="s">
        <v>77</v>
      </c>
      <c r="D51" s="15" t="s">
        <v>78</v>
      </c>
      <c r="E51" s="15" t="s">
        <v>79</v>
      </c>
    </row>
    <row r="52" spans="1:13" customHeight="1" ht="12.75">
      <c r="A52" s="12" t="s">
        <v>97</v>
      </c>
      <c r="B52" s="5" t="s">
        <v>98</v>
      </c>
      <c r="C52" s="5" t="s">
        <v>94</v>
      </c>
      <c r="D52" s="5" t="s">
        <v>56</v>
      </c>
      <c r="E52" s="16" t="s">
        <v>99</v>
      </c>
    </row>
    <row r="54" spans="1:13" customHeight="1" ht="14.25">
      <c r="A54" s="13"/>
      <c r="B54" s="14" t="s">
        <v>84</v>
      </c>
    </row>
    <row r="55" spans="1:13" customHeight="1" ht="15">
      <c r="A55" s="15" t="s">
        <v>75</v>
      </c>
      <c r="B55" s="15" t="s">
        <v>76</v>
      </c>
      <c r="C55" s="15" t="s">
        <v>77</v>
      </c>
      <c r="D55" s="15" t="s">
        <v>78</v>
      </c>
      <c r="E55" s="15" t="s">
        <v>79</v>
      </c>
    </row>
    <row r="56" spans="1:13" customHeight="1" ht="12.75">
      <c r="A56" s="12" t="s">
        <v>100</v>
      </c>
      <c r="B56" s="5" t="s">
        <v>84</v>
      </c>
      <c r="C56" s="5" t="s">
        <v>101</v>
      </c>
      <c r="D56" s="5" t="s">
        <v>64</v>
      </c>
      <c r="E56" s="16" t="s">
        <v>102</v>
      </c>
    </row>
    <row r="57" spans="1:13" customHeight="1" ht="12.75">
      <c r="A57" s="12" t="s">
        <v>103</v>
      </c>
      <c r="B57" s="5" t="s">
        <v>84</v>
      </c>
      <c r="C57" s="5" t="s">
        <v>19</v>
      </c>
      <c r="D57" s="5" t="s">
        <v>36</v>
      </c>
      <c r="E57" s="16" t="s">
        <v>104</v>
      </c>
    </row>
    <row r="59" spans="1:13" customHeight="1" ht="14.25">
      <c r="A59" s="13"/>
      <c r="B59" s="14" t="s">
        <v>105</v>
      </c>
    </row>
    <row r="60" spans="1:13" customHeight="1" ht="15">
      <c r="A60" s="15" t="s">
        <v>75</v>
      </c>
      <c r="B60" s="15" t="s">
        <v>76</v>
      </c>
      <c r="C60" s="15" t="s">
        <v>77</v>
      </c>
      <c r="D60" s="15" t="s">
        <v>78</v>
      </c>
      <c r="E60" s="15" t="s">
        <v>79</v>
      </c>
    </row>
    <row r="61" spans="1:13" customHeight="1" ht="12.75">
      <c r="A61" s="12" t="s">
        <v>100</v>
      </c>
      <c r="B61" s="5" t="s">
        <v>106</v>
      </c>
      <c r="C61" s="5" t="s">
        <v>101</v>
      </c>
      <c r="D61" s="5" t="s">
        <v>64</v>
      </c>
      <c r="E61" s="16" t="s">
        <v>107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17:L17"/>
    <mergeCell ref="A21:L21"/>
    <mergeCell ref="K3:K4"/>
    <mergeCell ref="L3:L4"/>
    <mergeCell ref="M3:M4"/>
    <mergeCell ref="A5:L5"/>
    <mergeCell ref="A8:L8"/>
    <mergeCell ref="A11:L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0"/>
  <sheetViews>
    <sheetView tabSelected="0" workbookViewId="0" showGridLines="true" showRowColHeaders="1">
      <selection activeCell="E8" sqref="E8:F13"/>
    </sheetView>
  </sheetViews>
  <sheetFormatPr customHeight="true" defaultRowHeight="12.75" defaultColWidth="9.140625" outlineLevelRow="0" outlineLevelCol="0"/>
  <cols>
    <col min="1" max="1" width="26" customWidth="true" style="5"/>
    <col min="2" max="2" width="27.71093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4.5703125" customWidth="true" style="4"/>
    <col min="12" max="12" width="5.5703125" customWidth="true" style="4"/>
    <col min="13" max="13" width="5.5703125" customWidth="true" style="4"/>
    <col min="14" max="14" width="4.85546875" customWidth="true" style="4"/>
    <col min="15" max="15" width="5.5703125" customWidth="true" style="4"/>
    <col min="16" max="16" width="5.5703125" customWidth="true" style="4"/>
    <col min="17" max="17" width="5.5703125" customWidth="true" style="4"/>
    <col min="18" max="18" width="4.85546875" customWidth="true" style="4"/>
    <col min="19" max="19" width="7.85546875" customWidth="true" style="5"/>
    <col min="20" max="20" width="8.5703125" customWidth="true" style="4"/>
    <col min="21" max="21" width="11" customWidth="true" style="5"/>
  </cols>
  <sheetData>
    <row r="1" spans="1:21" customHeight="1" ht="29.1" s="3" customFormat="1">
      <c r="A1" s="34" t="s">
        <v>453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283</v>
      </c>
      <c r="H3" s="28"/>
      <c r="I3" s="28"/>
      <c r="J3" s="28"/>
      <c r="K3" s="28" t="s">
        <v>160</v>
      </c>
      <c r="L3" s="28"/>
      <c r="M3" s="28"/>
      <c r="N3" s="28"/>
      <c r="O3" s="28" t="s">
        <v>7</v>
      </c>
      <c r="P3" s="28"/>
      <c r="Q3" s="28"/>
      <c r="R3" s="28"/>
      <c r="S3" s="28" t="s">
        <v>284</v>
      </c>
      <c r="T3" s="28" t="s">
        <v>9</v>
      </c>
      <c r="U3" s="30" t="s">
        <v>10</v>
      </c>
    </row>
    <row r="4" spans="1:21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">
        <v>1</v>
      </c>
      <c r="L4" s="2">
        <v>2</v>
      </c>
      <c r="M4" s="2">
        <v>3</v>
      </c>
      <c r="N4" s="2" t="s">
        <v>11</v>
      </c>
      <c r="O4" s="2">
        <v>1</v>
      </c>
      <c r="P4" s="2">
        <v>2</v>
      </c>
      <c r="Q4" s="2">
        <v>3</v>
      </c>
      <c r="R4" s="2" t="s">
        <v>11</v>
      </c>
      <c r="S4" s="29"/>
      <c r="T4" s="29"/>
      <c r="U4" s="31"/>
    </row>
    <row r="5" spans="1:21" customHeight="1" ht="15">
      <c r="A5" s="32" t="s">
        <v>175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customHeight="1" ht="12.75">
      <c r="A6" s="6" t="s">
        <v>454</v>
      </c>
      <c r="B6" s="6" t="s">
        <v>455</v>
      </c>
      <c r="C6" s="6" t="s">
        <v>456</v>
      </c>
      <c r="D6" s="6" t="str">
        <f>"0,7764"</f>
        <v>0,7764</v>
      </c>
      <c r="E6" s="6" t="s">
        <v>16</v>
      </c>
      <c r="F6" s="6" t="s">
        <v>17</v>
      </c>
      <c r="G6" s="8" t="s">
        <v>101</v>
      </c>
      <c r="H6" s="8" t="s">
        <v>27</v>
      </c>
      <c r="I6" s="8" t="s">
        <v>218</v>
      </c>
      <c r="J6" s="7"/>
      <c r="K6" s="8" t="s">
        <v>94</v>
      </c>
      <c r="L6" s="8" t="s">
        <v>214</v>
      </c>
      <c r="M6" s="8" t="s">
        <v>188</v>
      </c>
      <c r="N6" s="7"/>
      <c r="O6" s="8" t="s">
        <v>27</v>
      </c>
      <c r="P6" s="8" t="s">
        <v>218</v>
      </c>
      <c r="Q6" s="8" t="s">
        <v>49</v>
      </c>
      <c r="R6" s="7"/>
      <c r="S6" s="6" t="str">
        <f>"412,5"</f>
        <v>412,5</v>
      </c>
      <c r="T6" s="8" t="str">
        <f>"320,2856"</f>
        <v>320,2856</v>
      </c>
      <c r="U6" s="6" t="s">
        <v>457</v>
      </c>
    </row>
    <row r="8" spans="1:21" customHeight="1" ht="15">
      <c r="E8" s="9" t="s">
        <v>66</v>
      </c>
    </row>
    <row r="9" spans="1:21" customHeight="1" ht="15">
      <c r="E9" s="9" t="s">
        <v>67</v>
      </c>
    </row>
    <row r="10" spans="1:21" customHeight="1" ht="15">
      <c r="E10" s="9" t="s">
        <v>68</v>
      </c>
    </row>
    <row r="11" spans="1:21" customHeight="1" ht="15">
      <c r="E11" s="9" t="s">
        <v>69</v>
      </c>
    </row>
    <row r="12" spans="1:21" customHeight="1" ht="15">
      <c r="E12" s="9" t="s">
        <v>70</v>
      </c>
    </row>
    <row r="13" spans="1:21" customHeight="1" ht="15">
      <c r="E13" s="9" t="s">
        <v>71</v>
      </c>
    </row>
    <row r="14" spans="1:21" customHeight="1" ht="15">
      <c r="E14" s="9"/>
    </row>
    <row r="16" spans="1:21" customHeight="1" ht="18">
      <c r="A16" s="10" t="s">
        <v>72</v>
      </c>
      <c r="B16" s="10"/>
    </row>
    <row r="17" spans="1:21" customHeight="1" ht="15">
      <c r="A17" s="11" t="s">
        <v>88</v>
      </c>
      <c r="B17" s="11"/>
    </row>
    <row r="18" spans="1:21" customHeight="1" ht="14.25">
      <c r="A18" s="13"/>
      <c r="B18" s="14" t="s">
        <v>89</v>
      </c>
    </row>
    <row r="19" spans="1:21" customHeight="1" ht="15">
      <c r="A19" s="15" t="s">
        <v>75</v>
      </c>
      <c r="B19" s="15" t="s">
        <v>76</v>
      </c>
      <c r="C19" s="15" t="s">
        <v>77</v>
      </c>
      <c r="D19" s="15" t="s">
        <v>78</v>
      </c>
      <c r="E19" s="15" t="s">
        <v>79</v>
      </c>
    </row>
    <row r="20" spans="1:21" customHeight="1" ht="12.75">
      <c r="A20" s="12" t="s">
        <v>458</v>
      </c>
      <c r="B20" s="5" t="s">
        <v>81</v>
      </c>
      <c r="C20" s="5" t="s">
        <v>174</v>
      </c>
      <c r="D20" s="5" t="s">
        <v>459</v>
      </c>
      <c r="E20" s="16" t="s">
        <v>460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9"/>
  <sheetViews>
    <sheetView tabSelected="0" workbookViewId="0" showGridLines="true" showRowColHeaders="1">
      <selection activeCell="E11" sqref="E11:F16"/>
    </sheetView>
  </sheetViews>
  <sheetFormatPr customHeight="true" defaultRowHeight="12.75" defaultColWidth="9.140625" outlineLevelRow="0" outlineLevelCol="0"/>
  <cols>
    <col min="1" max="1" width="26" customWidth="true" style="5"/>
    <col min="2" max="2" width="29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5.5703125" customWidth="true" style="4"/>
    <col min="12" max="12" width="5.5703125" customWidth="true" style="4"/>
    <col min="13" max="13" width="5.5703125" customWidth="true" style="4"/>
    <col min="14" max="14" width="4.85546875" customWidth="true" style="4"/>
    <col min="15" max="15" width="5.5703125" customWidth="true" style="4"/>
    <col min="16" max="16" width="5.5703125" customWidth="true" style="4"/>
    <col min="17" max="17" width="5.5703125" customWidth="true" style="4"/>
    <col min="18" max="18" width="4.85546875" customWidth="true" style="4"/>
    <col min="19" max="19" width="7.85546875" customWidth="true" style="5"/>
    <col min="20" max="20" width="8.5703125" customWidth="true" style="4"/>
    <col min="21" max="21" width="11" customWidth="true" style="5"/>
  </cols>
  <sheetData>
    <row r="1" spans="1:21" customHeight="1" ht="29.1" s="3" customFormat="1">
      <c r="A1" s="34" t="s">
        <v>461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283</v>
      </c>
      <c r="H3" s="28"/>
      <c r="I3" s="28"/>
      <c r="J3" s="28"/>
      <c r="K3" s="28" t="s">
        <v>160</v>
      </c>
      <c r="L3" s="28"/>
      <c r="M3" s="28"/>
      <c r="N3" s="28"/>
      <c r="O3" s="28" t="s">
        <v>7</v>
      </c>
      <c r="P3" s="28"/>
      <c r="Q3" s="28"/>
      <c r="R3" s="28"/>
      <c r="S3" s="28" t="s">
        <v>284</v>
      </c>
      <c r="T3" s="28" t="s">
        <v>9</v>
      </c>
      <c r="U3" s="30" t="s">
        <v>10</v>
      </c>
    </row>
    <row r="4" spans="1:21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">
        <v>1</v>
      </c>
      <c r="L4" s="2">
        <v>2</v>
      </c>
      <c r="M4" s="2">
        <v>3</v>
      </c>
      <c r="N4" s="2" t="s">
        <v>11</v>
      </c>
      <c r="O4" s="2">
        <v>1</v>
      </c>
      <c r="P4" s="2">
        <v>2</v>
      </c>
      <c r="Q4" s="2">
        <v>3</v>
      </c>
      <c r="R4" s="2" t="s">
        <v>11</v>
      </c>
      <c r="S4" s="29"/>
      <c r="T4" s="29"/>
      <c r="U4" s="31"/>
    </row>
    <row r="5" spans="1:21" customHeight="1" ht="15">
      <c r="A5" s="32" t="s">
        <v>161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customHeight="1" ht="12.75">
      <c r="A6" s="6" t="s">
        <v>462</v>
      </c>
      <c r="B6" s="6" t="s">
        <v>463</v>
      </c>
      <c r="C6" s="6" t="s">
        <v>464</v>
      </c>
      <c r="D6" s="6" t="str">
        <f>"1,1423"</f>
        <v>1,1423</v>
      </c>
      <c r="E6" s="6" t="s">
        <v>465</v>
      </c>
      <c r="F6" s="6" t="s">
        <v>40</v>
      </c>
      <c r="G6" s="8" t="s">
        <v>18</v>
      </c>
      <c r="H6" s="8" t="s">
        <v>302</v>
      </c>
      <c r="I6" s="8" t="s">
        <v>19</v>
      </c>
      <c r="J6" s="7"/>
      <c r="K6" s="8" t="s">
        <v>466</v>
      </c>
      <c r="L6" s="8" t="s">
        <v>167</v>
      </c>
      <c r="M6" s="7" t="s">
        <v>467</v>
      </c>
      <c r="N6" s="7"/>
      <c r="O6" s="8" t="s">
        <v>187</v>
      </c>
      <c r="P6" s="8" t="s">
        <v>214</v>
      </c>
      <c r="Q6" s="7" t="s">
        <v>188</v>
      </c>
      <c r="R6" s="7"/>
      <c r="S6" s="6" t="str">
        <f>"225,0"</f>
        <v>225,0</v>
      </c>
      <c r="T6" s="8" t="str">
        <f>"257,0175"</f>
        <v>257,0175</v>
      </c>
      <c r="U6" s="6" t="s">
        <v>21</v>
      </c>
    </row>
    <row r="8" spans="1:21" customHeight="1" ht="15">
      <c r="A8" s="26" t="s">
        <v>44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1" customHeight="1" ht="12.75">
      <c r="A9" s="6" t="s">
        <v>468</v>
      </c>
      <c r="B9" s="6" t="s">
        <v>469</v>
      </c>
      <c r="C9" s="6" t="s">
        <v>287</v>
      </c>
      <c r="D9" s="6" t="str">
        <f>"0,6230"</f>
        <v>0,6230</v>
      </c>
      <c r="E9" s="6" t="s">
        <v>16</v>
      </c>
      <c r="F9" s="6" t="s">
        <v>17</v>
      </c>
      <c r="G9" s="7" t="s">
        <v>28</v>
      </c>
      <c r="H9" s="7" t="s">
        <v>28</v>
      </c>
      <c r="I9" s="8" t="s">
        <v>28</v>
      </c>
      <c r="J9" s="7"/>
      <c r="K9" s="8" t="s">
        <v>34</v>
      </c>
      <c r="L9" s="8" t="s">
        <v>35</v>
      </c>
      <c r="M9" s="7" t="s">
        <v>234</v>
      </c>
      <c r="N9" s="7"/>
      <c r="O9" s="8" t="s">
        <v>383</v>
      </c>
      <c r="P9" s="8" t="s">
        <v>129</v>
      </c>
      <c r="Q9" s="7" t="s">
        <v>51</v>
      </c>
      <c r="R9" s="7"/>
      <c r="S9" s="6" t="str">
        <f>"432,5"</f>
        <v>432,5</v>
      </c>
      <c r="T9" s="8" t="str">
        <f>"269,4475"</f>
        <v>269,4475</v>
      </c>
      <c r="U9" s="6" t="s">
        <v>457</v>
      </c>
    </row>
    <row r="11" spans="1:21" customHeight="1" ht="15">
      <c r="E11" s="9" t="s">
        <v>66</v>
      </c>
    </row>
    <row r="12" spans="1:21" customHeight="1" ht="15">
      <c r="E12" s="9" t="s">
        <v>67</v>
      </c>
    </row>
    <row r="13" spans="1:21" customHeight="1" ht="15">
      <c r="E13" s="9" t="s">
        <v>68</v>
      </c>
    </row>
    <row r="14" spans="1:21" customHeight="1" ht="15">
      <c r="E14" s="9" t="s">
        <v>69</v>
      </c>
    </row>
    <row r="15" spans="1:21" customHeight="1" ht="15">
      <c r="E15" s="9" t="s">
        <v>70</v>
      </c>
    </row>
    <row r="16" spans="1:21" customHeight="1" ht="15">
      <c r="E16" s="9" t="s">
        <v>71</v>
      </c>
    </row>
    <row r="17" spans="1:21" customHeight="1" ht="15">
      <c r="E17" s="9"/>
    </row>
    <row r="19" spans="1:21" customHeight="1" ht="18">
      <c r="A19" s="10" t="s">
        <v>72</v>
      </c>
      <c r="B19" s="10"/>
    </row>
    <row r="20" spans="1:21" customHeight="1" ht="15">
      <c r="A20" s="11" t="s">
        <v>73</v>
      </c>
      <c r="B20" s="11"/>
    </row>
    <row r="21" spans="1:21" customHeight="1" ht="14.25">
      <c r="A21" s="13"/>
      <c r="B21" s="14" t="s">
        <v>470</v>
      </c>
    </row>
    <row r="22" spans="1:21" customHeight="1" ht="15">
      <c r="A22" s="15" t="s">
        <v>75</v>
      </c>
      <c r="B22" s="15" t="s">
        <v>76</v>
      </c>
      <c r="C22" s="15" t="s">
        <v>77</v>
      </c>
      <c r="D22" s="15" t="s">
        <v>78</v>
      </c>
      <c r="E22" s="15" t="s">
        <v>79</v>
      </c>
    </row>
    <row r="23" spans="1:21" customHeight="1" ht="12.75">
      <c r="A23" s="12" t="s">
        <v>471</v>
      </c>
      <c r="B23" s="5" t="s">
        <v>98</v>
      </c>
      <c r="C23" s="5" t="s">
        <v>254</v>
      </c>
      <c r="D23" s="5" t="s">
        <v>314</v>
      </c>
      <c r="E23" s="16" t="s">
        <v>472</v>
      </c>
    </row>
    <row r="26" spans="1:21" customHeight="1" ht="15">
      <c r="A26" s="11" t="s">
        <v>88</v>
      </c>
      <c r="B26" s="11"/>
    </row>
    <row r="27" spans="1:21" customHeight="1" ht="14.25">
      <c r="A27" s="13"/>
      <c r="B27" s="14" t="s">
        <v>84</v>
      </c>
    </row>
    <row r="28" spans="1:21" customHeight="1" ht="15">
      <c r="A28" s="15" t="s">
        <v>75</v>
      </c>
      <c r="B28" s="15" t="s">
        <v>76</v>
      </c>
      <c r="C28" s="15" t="s">
        <v>77</v>
      </c>
      <c r="D28" s="15" t="s">
        <v>78</v>
      </c>
      <c r="E28" s="15" t="s">
        <v>79</v>
      </c>
    </row>
    <row r="29" spans="1:21" customHeight="1" ht="12.75">
      <c r="A29" s="12" t="s">
        <v>473</v>
      </c>
      <c r="B29" s="5" t="s">
        <v>84</v>
      </c>
      <c r="C29" s="5" t="s">
        <v>94</v>
      </c>
      <c r="D29" s="5" t="s">
        <v>474</v>
      </c>
      <c r="E29" s="16" t="s">
        <v>475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1:U2"/>
    <mergeCell ref="A3:A4"/>
    <mergeCell ref="B3:B4"/>
    <mergeCell ref="C3:C4"/>
    <mergeCell ref="D3:D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0"/>
  <sheetViews>
    <sheetView tabSelected="0" workbookViewId="0" showGridLines="true" showRowColHeaders="1">
      <selection activeCell="E8" sqref="E8:F13"/>
    </sheetView>
  </sheetViews>
  <sheetFormatPr customHeight="true" defaultRowHeight="12.75" defaultColWidth="9.140625" outlineLevelRow="0" outlineLevelCol="0"/>
  <cols>
    <col min="1" max="1" width="26" customWidth="true" style="5"/>
    <col min="2" max="2" width="28.570312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11" customWidth="true" style="5"/>
  </cols>
  <sheetData>
    <row r="1" spans="1:13" customHeight="1" ht="29.1" s="3" customFormat="1">
      <c r="A1" s="34" t="s">
        <v>476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160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57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477</v>
      </c>
      <c r="B6" s="6" t="s">
        <v>478</v>
      </c>
      <c r="C6" s="6" t="s">
        <v>479</v>
      </c>
      <c r="D6" s="6" t="str">
        <f>"0,5637"</f>
        <v>0,5637</v>
      </c>
      <c r="E6" s="6" t="s">
        <v>16</v>
      </c>
      <c r="F6" s="6" t="s">
        <v>17</v>
      </c>
      <c r="G6" s="8" t="s">
        <v>50</v>
      </c>
      <c r="H6" s="8" t="s">
        <v>312</v>
      </c>
      <c r="I6" s="7" t="s">
        <v>290</v>
      </c>
      <c r="J6" s="7"/>
      <c r="K6" s="6" t="str">
        <f>"200,0"</f>
        <v>200,0</v>
      </c>
      <c r="L6" s="8" t="str">
        <f>"123,6648"</f>
        <v>123,6648</v>
      </c>
      <c r="M6" s="6" t="s">
        <v>457</v>
      </c>
    </row>
    <row r="8" spans="1:13" customHeight="1" ht="15">
      <c r="E8" s="9" t="s">
        <v>66</v>
      </c>
    </row>
    <row r="9" spans="1:13" customHeight="1" ht="15">
      <c r="E9" s="9" t="s">
        <v>67</v>
      </c>
    </row>
    <row r="10" spans="1:13" customHeight="1" ht="15">
      <c r="E10" s="9" t="s">
        <v>68</v>
      </c>
    </row>
    <row r="11" spans="1:13" customHeight="1" ht="15">
      <c r="E11" s="9" t="s">
        <v>69</v>
      </c>
    </row>
    <row r="12" spans="1:13" customHeight="1" ht="15">
      <c r="E12" s="9" t="s">
        <v>70</v>
      </c>
    </row>
    <row r="13" spans="1:13" customHeight="1" ht="15">
      <c r="E13" s="9" t="s">
        <v>71</v>
      </c>
    </row>
    <row r="14" spans="1:13" customHeight="1" ht="15">
      <c r="E14" s="9"/>
    </row>
    <row r="16" spans="1:13" customHeight="1" ht="18">
      <c r="A16" s="10" t="s">
        <v>72</v>
      </c>
      <c r="B16" s="10"/>
    </row>
    <row r="17" spans="1:13" customHeight="1" ht="15">
      <c r="A17" s="11" t="s">
        <v>88</v>
      </c>
      <c r="B17" s="11"/>
    </row>
    <row r="18" spans="1:13" customHeight="1" ht="14.25">
      <c r="A18" s="13"/>
      <c r="B18" s="14" t="s">
        <v>105</v>
      </c>
    </row>
    <row r="19" spans="1:13" customHeight="1" ht="15">
      <c r="A19" s="15" t="s">
        <v>75</v>
      </c>
      <c r="B19" s="15" t="s">
        <v>76</v>
      </c>
      <c r="C19" s="15" t="s">
        <v>77</v>
      </c>
      <c r="D19" s="15" t="s">
        <v>78</v>
      </c>
      <c r="E19" s="15" t="s">
        <v>79</v>
      </c>
    </row>
    <row r="20" spans="1:13" customHeight="1" ht="12.75">
      <c r="A20" s="12" t="s">
        <v>480</v>
      </c>
      <c r="B20" s="5" t="s">
        <v>353</v>
      </c>
      <c r="C20" s="5" t="s">
        <v>101</v>
      </c>
      <c r="D20" s="5" t="s">
        <v>312</v>
      </c>
      <c r="E20" s="16" t="s">
        <v>481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23"/>
  <sheetViews>
    <sheetView tabSelected="0" workbookViewId="0" showGridLines="true" showRowColHeaders="1">
      <selection activeCell="E11" sqref="E11:F16"/>
    </sheetView>
  </sheetViews>
  <sheetFormatPr customHeight="true" defaultRowHeight="12.75" defaultColWidth="9.140625" outlineLevelRow="0" outlineLevelCol="0"/>
  <cols>
    <col min="1" max="1" width="26" customWidth="true" style="5"/>
    <col min="2" max="2" width="22.855468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8.85546875" customWidth="true" style="5"/>
  </cols>
  <sheetData>
    <row r="1" spans="1:13" customHeight="1" ht="29.1" s="3" customFormat="1">
      <c r="A1" s="34" t="s">
        <v>482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160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483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484</v>
      </c>
      <c r="B6" s="6" t="s">
        <v>485</v>
      </c>
      <c r="C6" s="6" t="s">
        <v>486</v>
      </c>
      <c r="D6" s="6" t="str">
        <f>"0,9956"</f>
        <v>0,9956</v>
      </c>
      <c r="E6" s="6" t="s">
        <v>16</v>
      </c>
      <c r="F6" s="6" t="s">
        <v>17</v>
      </c>
      <c r="G6" s="7" t="s">
        <v>302</v>
      </c>
      <c r="H6" s="7" t="s">
        <v>302</v>
      </c>
      <c r="I6" s="7" t="s">
        <v>20</v>
      </c>
      <c r="J6" s="7"/>
      <c r="K6" s="6" t="str">
        <f>"0,0"</f>
        <v>0,0</v>
      </c>
      <c r="L6" s="8" t="str">
        <f>"0,0000"</f>
        <v>0,0000</v>
      </c>
      <c r="M6" s="6" t="s">
        <v>21</v>
      </c>
    </row>
    <row r="8" spans="1:13" customHeight="1" ht="15">
      <c r="A8" s="26" t="s">
        <v>143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customHeight="1" ht="12.75">
      <c r="A9" s="6" t="s">
        <v>144</v>
      </c>
      <c r="B9" s="6" t="s">
        <v>145</v>
      </c>
      <c r="C9" s="6" t="s">
        <v>146</v>
      </c>
      <c r="D9" s="6" t="str">
        <f>"0,5436"</f>
        <v>0,5436</v>
      </c>
      <c r="E9" s="6" t="s">
        <v>141</v>
      </c>
      <c r="F9" s="6" t="s">
        <v>113</v>
      </c>
      <c r="G9" s="8" t="s">
        <v>136</v>
      </c>
      <c r="H9" s="8" t="s">
        <v>440</v>
      </c>
      <c r="I9" s="7" t="s">
        <v>487</v>
      </c>
      <c r="J9" s="7"/>
      <c r="K9" s="6" t="str">
        <f>"280,0"</f>
        <v>280,0</v>
      </c>
      <c r="L9" s="8" t="str">
        <f>"152,2220"</f>
        <v>152,2220</v>
      </c>
      <c r="M9" s="6" t="s">
        <v>21</v>
      </c>
    </row>
    <row r="11" spans="1:13" customHeight="1" ht="15">
      <c r="E11" s="9" t="s">
        <v>66</v>
      </c>
    </row>
    <row r="12" spans="1:13" customHeight="1" ht="15">
      <c r="E12" s="9" t="s">
        <v>67</v>
      </c>
    </row>
    <row r="13" spans="1:13" customHeight="1" ht="15">
      <c r="E13" s="9" t="s">
        <v>68</v>
      </c>
    </row>
    <row r="14" spans="1:13" customHeight="1" ht="15">
      <c r="E14" s="9" t="s">
        <v>69</v>
      </c>
    </row>
    <row r="15" spans="1:13" customHeight="1" ht="15">
      <c r="E15" s="9" t="s">
        <v>70</v>
      </c>
    </row>
    <row r="16" spans="1:13" customHeight="1" ht="15">
      <c r="E16" s="9" t="s">
        <v>71</v>
      </c>
    </row>
    <row r="17" spans="1:13" customHeight="1" ht="15">
      <c r="E17" s="9"/>
    </row>
    <row r="19" spans="1:13" customHeight="1" ht="18">
      <c r="A19" s="10" t="s">
        <v>72</v>
      </c>
      <c r="B19" s="10"/>
    </row>
    <row r="20" spans="1:13" customHeight="1" ht="15">
      <c r="A20" s="11" t="s">
        <v>88</v>
      </c>
      <c r="B20" s="11"/>
    </row>
    <row r="21" spans="1:13" customHeight="1" ht="14.25">
      <c r="A21" s="13"/>
      <c r="B21" s="14" t="s">
        <v>84</v>
      </c>
    </row>
    <row r="22" spans="1:13" customHeight="1" ht="15">
      <c r="A22" s="15" t="s">
        <v>75</v>
      </c>
      <c r="B22" s="15" t="s">
        <v>76</v>
      </c>
      <c r="C22" s="15" t="s">
        <v>77</v>
      </c>
      <c r="D22" s="15" t="s">
        <v>78</v>
      </c>
      <c r="E22" s="15" t="s">
        <v>79</v>
      </c>
    </row>
    <row r="23" spans="1:13" customHeight="1" ht="12.75">
      <c r="A23" s="12" t="s">
        <v>153</v>
      </c>
      <c r="B23" s="5" t="s">
        <v>84</v>
      </c>
      <c r="C23" s="5" t="s">
        <v>28</v>
      </c>
      <c r="D23" s="5" t="s">
        <v>440</v>
      </c>
      <c r="E23" s="16" t="s">
        <v>488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M3:M4"/>
    <mergeCell ref="F3:F4"/>
    <mergeCell ref="E3:E4"/>
    <mergeCell ref="D3:D4"/>
    <mergeCell ref="K3:K4"/>
    <mergeCell ref="L3:L4"/>
    <mergeCell ref="A5:L5"/>
    <mergeCell ref="A8:L8"/>
    <mergeCell ref="A1:M2"/>
    <mergeCell ref="G3:J3"/>
    <mergeCell ref="A3:A4"/>
    <mergeCell ref="B3:B4"/>
    <mergeCell ref="C3:C4"/>
  </mergeCells>
  <printOptions gridLines="false" gridLinesSet="true"/>
  <pageMargins left="0.19685039370079" right="0.47244094488189" top="0.43307086614173" bottom="0.47244094488189" header="0.51181102362205" footer="0.51181102362205"/>
  <pageSetup paperSize="1" orientation="landscape" scale="58" fitToHeight="100" fitToWidth="1"/>
  <headerFooter differentOddEven="false" differentFirst="false" scaleWithDoc="true" alignWithMargins="true">
    <oddHeader/>
    <oddFooter>&amp;L&amp;G&amp;R&amp;D&amp;T&amp;P</oddFooter>
    <evenHeader/>
    <evenFooter>&amp;L&amp;G&amp;R&amp;D&amp;T&amp;P</evenFooter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E11" sqref="E11:F16"/>
    </sheetView>
  </sheetViews>
  <sheetFormatPr customHeight="true" defaultRowHeight="12.75" defaultColWidth="9.140625" outlineLevelRow="0" outlineLevelCol="0"/>
  <cols>
    <col min="1" max="1" width="26" customWidth="true" style="5"/>
    <col min="2" max="2" width="29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" customWidth="true" style="5"/>
    <col min="7" max="7" width="4.5703125" customWidth="true" style="4"/>
    <col min="8" max="8" width="4.5703125" customWidth="true" style="43"/>
    <col min="9" max="9" width="7.85546875" customWidth="true" style="5"/>
    <col min="10" max="10" width="8.5703125" customWidth="true" style="4"/>
    <col min="11" max="11" width="8.85546875" customWidth="true" style="5"/>
  </cols>
  <sheetData>
    <row r="1" spans="1:11" customHeight="1" ht="29.1" s="3" customFormat="1">
      <c r="A1" s="34" t="s">
        <v>489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490</v>
      </c>
      <c r="H3" s="28"/>
      <c r="I3" s="28" t="s">
        <v>491</v>
      </c>
      <c r="J3" s="28" t="s">
        <v>9</v>
      </c>
      <c r="K3" s="30" t="s">
        <v>10</v>
      </c>
    </row>
    <row r="4" spans="1:11" customHeight="1" ht="21" s="1" customFormat="1">
      <c r="A4" s="41"/>
      <c r="B4" s="29"/>
      <c r="C4" s="29"/>
      <c r="D4" s="29"/>
      <c r="E4" s="29"/>
      <c r="F4" s="29"/>
      <c r="G4" s="2" t="s">
        <v>492</v>
      </c>
      <c r="H4" s="45" t="s">
        <v>493</v>
      </c>
      <c r="I4" s="29"/>
      <c r="J4" s="29"/>
      <c r="K4" s="31"/>
    </row>
    <row r="5" spans="1:11" customHeight="1" ht="15">
      <c r="A5" s="32" t="s">
        <v>168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customHeight="1" ht="12.75">
      <c r="A6" s="6" t="s">
        <v>494</v>
      </c>
      <c r="B6" s="6" t="s">
        <v>495</v>
      </c>
      <c r="C6" s="6" t="s">
        <v>496</v>
      </c>
      <c r="D6" s="6" t="str">
        <f>"1,0701"</f>
        <v>1,0701</v>
      </c>
      <c r="E6" s="6" t="s">
        <v>16</v>
      </c>
      <c r="F6" s="6" t="s">
        <v>26</v>
      </c>
      <c r="G6" s="8" t="s">
        <v>497</v>
      </c>
      <c r="H6" s="44" t="s">
        <v>498</v>
      </c>
      <c r="I6" s="6" t="str">
        <f>"412,5"</f>
        <v>412,5</v>
      </c>
      <c r="J6" s="8" t="str">
        <f>"441,4162"</f>
        <v>441,4162</v>
      </c>
      <c r="K6" s="6" t="s">
        <v>21</v>
      </c>
    </row>
    <row r="8" spans="1:11" customHeight="1" ht="15">
      <c r="A8" s="26" t="s">
        <v>483</v>
      </c>
      <c r="B8" s="27"/>
      <c r="C8" s="27"/>
      <c r="D8" s="27"/>
      <c r="E8" s="27"/>
      <c r="F8" s="27"/>
      <c r="G8" s="27"/>
      <c r="H8" s="27"/>
      <c r="I8" s="27"/>
      <c r="J8" s="27"/>
    </row>
    <row r="9" spans="1:11" customHeight="1" ht="12.75">
      <c r="A9" s="6" t="s">
        <v>499</v>
      </c>
      <c r="B9" s="6" t="s">
        <v>495</v>
      </c>
      <c r="C9" s="6" t="s">
        <v>500</v>
      </c>
      <c r="D9" s="6" t="str">
        <f>"0,9903"</f>
        <v>0,9903</v>
      </c>
      <c r="E9" s="6" t="s">
        <v>16</v>
      </c>
      <c r="F9" s="6" t="s">
        <v>26</v>
      </c>
      <c r="G9" s="8" t="s">
        <v>361</v>
      </c>
      <c r="H9" s="44" t="s">
        <v>498</v>
      </c>
      <c r="I9" s="6" t="str">
        <f>"450,0"</f>
        <v>450,0</v>
      </c>
      <c r="J9" s="8" t="str">
        <f>"445,6350"</f>
        <v>445,6350</v>
      </c>
      <c r="K9" s="6" t="s">
        <v>21</v>
      </c>
    </row>
    <row r="11" spans="1:11" customHeight="1" ht="15">
      <c r="E11" s="9" t="s">
        <v>66</v>
      </c>
    </row>
    <row r="12" spans="1:11" customHeight="1" ht="15">
      <c r="E12" s="9" t="s">
        <v>67</v>
      </c>
    </row>
    <row r="13" spans="1:11" customHeight="1" ht="15">
      <c r="E13" s="9" t="s">
        <v>68</v>
      </c>
    </row>
    <row r="14" spans="1:11" customHeight="1" ht="15">
      <c r="E14" s="9" t="s">
        <v>69</v>
      </c>
    </row>
    <row r="15" spans="1:11" customHeight="1" ht="15">
      <c r="E15" s="9" t="s">
        <v>70</v>
      </c>
    </row>
    <row r="16" spans="1:11" customHeight="1" ht="15">
      <c r="E16" s="9" t="s">
        <v>71</v>
      </c>
    </row>
    <row r="17" spans="1:11" customHeight="1" ht="15">
      <c r="E17" s="9"/>
    </row>
    <row r="19" spans="1:11" customHeight="1" ht="18">
      <c r="A19" s="10" t="s">
        <v>72</v>
      </c>
      <c r="B19" s="10"/>
    </row>
    <row r="20" spans="1:11" customHeight="1" ht="15">
      <c r="A20" s="11" t="s">
        <v>73</v>
      </c>
      <c r="B20" s="11"/>
    </row>
    <row r="21" spans="1:11" customHeight="1" ht="14.25">
      <c r="A21" s="13"/>
      <c r="B21" s="14" t="s">
        <v>74</v>
      </c>
    </row>
    <row r="22" spans="1:11" customHeight="1" ht="15">
      <c r="A22" s="15" t="s">
        <v>75</v>
      </c>
      <c r="B22" s="15" t="s">
        <v>76</v>
      </c>
      <c r="C22" s="15" t="s">
        <v>77</v>
      </c>
      <c r="D22" s="15" t="s">
        <v>78</v>
      </c>
      <c r="E22" s="15" t="s">
        <v>79</v>
      </c>
    </row>
    <row r="23" spans="1:11" customHeight="1" ht="12.75">
      <c r="A23" s="12" t="s">
        <v>501</v>
      </c>
      <c r="B23" s="5" t="s">
        <v>502</v>
      </c>
      <c r="C23" s="5" t="s">
        <v>125</v>
      </c>
      <c r="D23" s="5" t="s">
        <v>503</v>
      </c>
      <c r="E23" s="16" t="s">
        <v>504</v>
      </c>
    </row>
    <row r="24" spans="1:11" customHeight="1" ht="12.75">
      <c r="A24" s="12" t="s">
        <v>505</v>
      </c>
      <c r="B24" s="5" t="s">
        <v>502</v>
      </c>
      <c r="C24" s="5" t="s">
        <v>249</v>
      </c>
      <c r="D24" s="5" t="s">
        <v>459</v>
      </c>
      <c r="E24" s="16" t="s">
        <v>506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0" workbookViewId="0" showGridLines="true" showRowColHeaders="1">
      <selection activeCell="E9" sqref="E9"/>
    </sheetView>
  </sheetViews>
  <sheetFormatPr customHeight="true" defaultRowHeight="12.75" defaultColWidth="9.140625" outlineLevelRow="0" outlineLevelCol="0"/>
  <cols>
    <col min="1" max="1" width="26" customWidth="true" style="5"/>
    <col min="2" max="2" width="22.855468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4.5703125" customWidth="true" style="4"/>
    <col min="8" max="8" width="4.5703125" customWidth="true" style="43"/>
    <col min="9" max="9" width="7.85546875" customWidth="true" style="5"/>
    <col min="10" max="10" width="9.5703125" customWidth="true" style="4"/>
    <col min="11" max="11" width="8.85546875" customWidth="true" style="5"/>
  </cols>
  <sheetData>
    <row r="1" spans="1:11" customHeight="1" ht="29.1" s="3" customFormat="1">
      <c r="A1" s="34" t="s">
        <v>507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490</v>
      </c>
      <c r="H3" s="28"/>
      <c r="I3" s="28" t="s">
        <v>491</v>
      </c>
      <c r="J3" s="28" t="s">
        <v>9</v>
      </c>
      <c r="K3" s="30" t="s">
        <v>10</v>
      </c>
    </row>
    <row r="4" spans="1:11" customHeight="1" ht="21" s="1" customFormat="1">
      <c r="A4" s="41"/>
      <c r="B4" s="29"/>
      <c r="C4" s="29"/>
      <c r="D4" s="29"/>
      <c r="E4" s="29"/>
      <c r="F4" s="29"/>
      <c r="G4" s="2" t="s">
        <v>492</v>
      </c>
      <c r="H4" s="45" t="s">
        <v>493</v>
      </c>
      <c r="I4" s="29"/>
      <c r="J4" s="29"/>
      <c r="K4" s="31"/>
    </row>
    <row r="5" spans="1:11" customHeight="1" ht="15">
      <c r="A5" s="32" t="s">
        <v>30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customHeight="1" ht="12.75">
      <c r="A6" s="6" t="s">
        <v>508</v>
      </c>
      <c r="B6" s="6" t="s">
        <v>509</v>
      </c>
      <c r="C6" s="6" t="s">
        <v>510</v>
      </c>
      <c r="D6" s="6" t="str">
        <f>"0,6899"</f>
        <v>0,6899</v>
      </c>
      <c r="E6" s="6" t="s">
        <v>16</v>
      </c>
      <c r="F6" s="6" t="s">
        <v>17</v>
      </c>
      <c r="G6" s="8" t="s">
        <v>19</v>
      </c>
      <c r="H6" s="44" t="s">
        <v>511</v>
      </c>
      <c r="I6" s="6" t="str">
        <f>"2025,0"</f>
        <v>2025,0</v>
      </c>
      <c r="J6" s="8" t="str">
        <f>"1397,0475"</f>
        <v>1397,0475</v>
      </c>
      <c r="K6" s="6" t="s">
        <v>21</v>
      </c>
    </row>
    <row r="8" spans="1:11" customHeight="1" ht="15">
      <c r="E8" s="9" t="s">
        <v>66</v>
      </c>
    </row>
    <row r="9" spans="1:11" customHeight="1" ht="15">
      <c r="E9" s="9" t="s">
        <v>67</v>
      </c>
    </row>
    <row r="10" spans="1:11" customHeight="1" ht="15">
      <c r="E10" s="9" t="s">
        <v>68</v>
      </c>
    </row>
    <row r="11" spans="1:11" customHeight="1" ht="15">
      <c r="E11" s="9" t="s">
        <v>69</v>
      </c>
    </row>
    <row r="12" spans="1:11" customHeight="1" ht="15">
      <c r="E12" s="9" t="s">
        <v>70</v>
      </c>
    </row>
    <row r="13" spans="1:11" customHeight="1" ht="15">
      <c r="E13" s="9" t="s">
        <v>71</v>
      </c>
    </row>
    <row r="14" spans="1:11" customHeight="1" ht="15">
      <c r="E14" s="9"/>
    </row>
    <row r="16" spans="1:11" customHeight="1" ht="18">
      <c r="A16" s="10" t="s">
        <v>72</v>
      </c>
      <c r="B16" s="10"/>
    </row>
    <row r="17" spans="1:11" customHeight="1" ht="15">
      <c r="A17" s="11" t="s">
        <v>88</v>
      </c>
      <c r="B17" s="11"/>
    </row>
    <row r="18" spans="1:11" customHeight="1" ht="14.25">
      <c r="A18" s="13"/>
      <c r="B18" s="14" t="s">
        <v>84</v>
      </c>
    </row>
    <row r="19" spans="1:11" customHeight="1" ht="15">
      <c r="A19" s="15" t="s">
        <v>75</v>
      </c>
      <c r="B19" s="15" t="s">
        <v>76</v>
      </c>
      <c r="C19" s="15" t="s">
        <v>77</v>
      </c>
      <c r="D19" s="15" t="s">
        <v>78</v>
      </c>
      <c r="E19" s="15" t="s">
        <v>79</v>
      </c>
    </row>
    <row r="20" spans="1:11" customHeight="1" ht="12.75">
      <c r="A20" s="12" t="s">
        <v>512</v>
      </c>
      <c r="B20" s="5" t="s">
        <v>84</v>
      </c>
      <c r="C20" s="5" t="s">
        <v>19</v>
      </c>
      <c r="D20" s="5" t="s">
        <v>513</v>
      </c>
      <c r="E20" s="16" t="s">
        <v>514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K2"/>
    <mergeCell ref="G3:H3"/>
    <mergeCell ref="A3:A4"/>
    <mergeCell ref="B3:B4"/>
    <mergeCell ref="C3:C4"/>
    <mergeCell ref="K3:K4"/>
    <mergeCell ref="F3:F4"/>
    <mergeCell ref="E3:E4"/>
    <mergeCell ref="D3:D4"/>
    <mergeCell ref="I3:I4"/>
    <mergeCell ref="J3:J4"/>
    <mergeCell ref="A5:J5"/>
  </mergeCells>
  <printOptions gridLines="false" gridLinesSet="true"/>
  <pageMargins left="0.19685039370079" right="0.47244094488189" top="0.43307086614173" bottom="0.47244094488189" header="0.51181102362205" footer="0.51181102362205"/>
  <pageSetup paperSize="1" orientation="landscape" scale="58" fitToHeight="100" fitToWidth="1"/>
  <headerFooter differentOddEven="false" differentFirst="false" scaleWithDoc="true" alignWithMargins="true">
    <oddHeader/>
    <oddFooter>&amp;L&amp;G&amp;R&amp;D&amp;T&amp;P</oddFooter>
    <evenHeader/>
    <evenFooter>&amp;L&amp;G&amp;R&amp;D&amp;T&amp;P</evenFooter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E11" sqref="E11:F16"/>
    </sheetView>
  </sheetViews>
  <sheetFormatPr customHeight="true" defaultRowHeight="12.75" defaultColWidth="9.140625" outlineLevelRow="0" outlineLevelCol="0"/>
  <cols>
    <col min="1" max="1" width="26" customWidth="true" style="5"/>
    <col min="2" max="2" width="27.71093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4.5703125" customWidth="true" style="4"/>
    <col min="8" max="8" width="4.5703125" customWidth="true" style="43"/>
    <col min="9" max="9" width="7.85546875" customWidth="true" style="5"/>
    <col min="10" max="10" width="9.5703125" customWidth="true" style="4"/>
    <col min="11" max="11" width="8.85546875" customWidth="true" style="5"/>
  </cols>
  <sheetData>
    <row r="1" spans="1:11" customHeight="1" ht="29.1" s="3" customFormat="1">
      <c r="A1" s="34" t="s">
        <v>515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490</v>
      </c>
      <c r="H3" s="28"/>
      <c r="I3" s="28" t="s">
        <v>491</v>
      </c>
      <c r="J3" s="28" t="s">
        <v>9</v>
      </c>
      <c r="K3" s="30" t="s">
        <v>10</v>
      </c>
    </row>
    <row r="4" spans="1:11" customHeight="1" ht="21" s="1" customFormat="1">
      <c r="A4" s="41"/>
      <c r="B4" s="29"/>
      <c r="C4" s="29"/>
      <c r="D4" s="29"/>
      <c r="E4" s="29"/>
      <c r="F4" s="29"/>
      <c r="G4" s="2" t="s">
        <v>492</v>
      </c>
      <c r="H4" s="45" t="s">
        <v>493</v>
      </c>
      <c r="I4" s="29"/>
      <c r="J4" s="29"/>
      <c r="K4" s="31"/>
    </row>
    <row r="5" spans="1:11" customHeight="1" ht="15">
      <c r="A5" s="32" t="s">
        <v>175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customHeight="1" ht="12.75">
      <c r="A6" s="6" t="s">
        <v>516</v>
      </c>
      <c r="B6" s="6" t="s">
        <v>517</v>
      </c>
      <c r="C6" s="6" t="s">
        <v>518</v>
      </c>
      <c r="D6" s="6" t="str">
        <f>"0,7561"</f>
        <v>0,7561</v>
      </c>
      <c r="E6" s="6" t="s">
        <v>16</v>
      </c>
      <c r="F6" s="6" t="s">
        <v>17</v>
      </c>
      <c r="G6" s="8" t="s">
        <v>519</v>
      </c>
      <c r="H6" s="44" t="s">
        <v>520</v>
      </c>
      <c r="I6" s="6" t="str">
        <f>"1330,0"</f>
        <v>1330,0</v>
      </c>
      <c r="J6" s="8" t="str">
        <f>"1005,6130"</f>
        <v>1005,6130</v>
      </c>
      <c r="K6" s="6" t="s">
        <v>21</v>
      </c>
    </row>
    <row r="8" spans="1:11" customHeight="1" ht="15">
      <c r="A8" s="26" t="s">
        <v>30</v>
      </c>
      <c r="B8" s="27"/>
      <c r="C8" s="27"/>
      <c r="D8" s="27"/>
      <c r="E8" s="27"/>
      <c r="F8" s="27"/>
      <c r="G8" s="27"/>
      <c r="H8" s="27"/>
      <c r="I8" s="27"/>
      <c r="J8" s="27"/>
    </row>
    <row r="9" spans="1:11" customHeight="1" ht="12.75">
      <c r="A9" s="6" t="s">
        <v>521</v>
      </c>
      <c r="B9" s="6" t="s">
        <v>522</v>
      </c>
      <c r="C9" s="6" t="s">
        <v>523</v>
      </c>
      <c r="D9" s="6" t="str">
        <f>"0,7357"</f>
        <v>0,7357</v>
      </c>
      <c r="E9" s="6" t="s">
        <v>16</v>
      </c>
      <c r="F9" s="6" t="s">
        <v>17</v>
      </c>
      <c r="G9" s="8" t="s">
        <v>519</v>
      </c>
      <c r="H9" s="44" t="s">
        <v>524</v>
      </c>
      <c r="I9" s="6" t="str">
        <f>"1260,0"</f>
        <v>1260,0</v>
      </c>
      <c r="J9" s="8" t="str">
        <f>"926,9820"</f>
        <v>926,9820</v>
      </c>
      <c r="K9" s="6" t="s">
        <v>21</v>
      </c>
    </row>
    <row r="11" spans="1:11" customHeight="1" ht="15">
      <c r="E11" s="9" t="s">
        <v>66</v>
      </c>
    </row>
    <row r="12" spans="1:11" customHeight="1" ht="15">
      <c r="E12" s="9" t="s">
        <v>67</v>
      </c>
    </row>
    <row r="13" spans="1:11" customHeight="1" ht="15">
      <c r="E13" s="9" t="s">
        <v>68</v>
      </c>
    </row>
    <row r="14" spans="1:11" customHeight="1" ht="15">
      <c r="E14" s="9" t="s">
        <v>69</v>
      </c>
    </row>
    <row r="15" spans="1:11" customHeight="1" ht="15">
      <c r="E15" s="9" t="s">
        <v>70</v>
      </c>
    </row>
    <row r="16" spans="1:11" customHeight="1" ht="15">
      <c r="E16" s="9" t="s">
        <v>71</v>
      </c>
    </row>
    <row r="17" spans="1:11" customHeight="1" ht="15">
      <c r="E17" s="9"/>
    </row>
    <row r="19" spans="1:11" customHeight="1" ht="18">
      <c r="A19" s="10" t="s">
        <v>72</v>
      </c>
      <c r="B19" s="10"/>
    </row>
    <row r="20" spans="1:11" customHeight="1" ht="15">
      <c r="A20" s="11" t="s">
        <v>88</v>
      </c>
      <c r="B20" s="11"/>
    </row>
    <row r="21" spans="1:11" customHeight="1" ht="14.25">
      <c r="A21" s="13"/>
      <c r="B21" s="14" t="s">
        <v>89</v>
      </c>
    </row>
    <row r="22" spans="1:11" customHeight="1" ht="15">
      <c r="A22" s="15" t="s">
        <v>75</v>
      </c>
      <c r="B22" s="15" t="s">
        <v>76</v>
      </c>
      <c r="C22" s="15" t="s">
        <v>77</v>
      </c>
      <c r="D22" s="15" t="s">
        <v>78</v>
      </c>
      <c r="E22" s="15" t="s">
        <v>79</v>
      </c>
    </row>
    <row r="23" spans="1:11" customHeight="1" ht="12.75">
      <c r="A23" s="12" t="s">
        <v>525</v>
      </c>
      <c r="B23" s="5" t="s">
        <v>502</v>
      </c>
      <c r="C23" s="5" t="s">
        <v>174</v>
      </c>
      <c r="D23" s="5" t="s">
        <v>526</v>
      </c>
      <c r="E23" s="16" t="s">
        <v>527</v>
      </c>
    </row>
    <row r="24" spans="1:11" customHeight="1" ht="12.75">
      <c r="A24" s="12" t="s">
        <v>528</v>
      </c>
      <c r="B24" s="5" t="s">
        <v>502</v>
      </c>
      <c r="C24" s="5" t="s">
        <v>19</v>
      </c>
      <c r="D24" s="5" t="s">
        <v>529</v>
      </c>
      <c r="E24" s="16" t="s">
        <v>530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A1" sqref="A1:K2"/>
    </sheetView>
  </sheetViews>
  <sheetFormatPr customHeight="true" defaultRowHeight="12.75" defaultColWidth="9.140625" outlineLevelRow="0" outlineLevelCol="0"/>
  <cols>
    <col min="1" max="1" width="26" customWidth="true" style="5"/>
    <col min="2" max="2" width="28.570312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4.5703125" customWidth="true" style="43"/>
    <col min="9" max="9" width="7.85546875" customWidth="true" style="5"/>
    <col min="10" max="10" width="9.5703125" customWidth="true" style="4"/>
    <col min="11" max="11" width="11" customWidth="true" style="5"/>
  </cols>
  <sheetData>
    <row r="1" spans="1:11" customHeight="1" ht="29.1" s="3" customFormat="1">
      <c r="A1" s="34" t="s">
        <v>531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490</v>
      </c>
      <c r="H3" s="28"/>
      <c r="I3" s="28" t="s">
        <v>491</v>
      </c>
      <c r="J3" s="28" t="s">
        <v>9</v>
      </c>
      <c r="K3" s="30" t="s">
        <v>10</v>
      </c>
    </row>
    <row r="4" spans="1:11" customHeight="1" ht="21" s="1" customFormat="1">
      <c r="A4" s="41"/>
      <c r="B4" s="29"/>
      <c r="C4" s="29"/>
      <c r="D4" s="29"/>
      <c r="E4" s="29"/>
      <c r="F4" s="29"/>
      <c r="G4" s="2" t="s">
        <v>492</v>
      </c>
      <c r="H4" s="45" t="s">
        <v>493</v>
      </c>
      <c r="I4" s="29"/>
      <c r="J4" s="29"/>
      <c r="K4" s="31"/>
    </row>
    <row r="5" spans="1:11" customHeight="1" ht="15">
      <c r="A5" s="32" t="s">
        <v>30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customHeight="1" ht="12.75">
      <c r="A6" s="17" t="s">
        <v>532</v>
      </c>
      <c r="B6" s="17" t="s">
        <v>533</v>
      </c>
      <c r="C6" s="17" t="s">
        <v>534</v>
      </c>
      <c r="D6" s="17" t="str">
        <f>"0,7366"</f>
        <v>0,7366</v>
      </c>
      <c r="E6" s="17" t="s">
        <v>16</v>
      </c>
      <c r="F6" s="17" t="s">
        <v>26</v>
      </c>
      <c r="G6" s="19" t="s">
        <v>302</v>
      </c>
      <c r="H6" s="47" t="s">
        <v>535</v>
      </c>
      <c r="I6" s="17" t="str">
        <f>"2590,0"</f>
        <v>2590,0</v>
      </c>
      <c r="J6" s="19" t="str">
        <f>"1907,7940"</f>
        <v>1907,7940</v>
      </c>
      <c r="K6" s="17" t="s">
        <v>21</v>
      </c>
    </row>
    <row r="7" spans="1:11" customHeight="1" ht="12.75">
      <c r="A7" s="20" t="s">
        <v>536</v>
      </c>
      <c r="B7" s="20" t="s">
        <v>537</v>
      </c>
      <c r="C7" s="20" t="s">
        <v>538</v>
      </c>
      <c r="D7" s="20" t="str">
        <f>"0,6940"</f>
        <v>0,6940</v>
      </c>
      <c r="E7" s="20" t="s">
        <v>16</v>
      </c>
      <c r="F7" s="20" t="s">
        <v>17</v>
      </c>
      <c r="G7" s="22" t="s">
        <v>19</v>
      </c>
      <c r="H7" s="46" t="s">
        <v>539</v>
      </c>
      <c r="I7" s="20" t="str">
        <f>"1425,0"</f>
        <v>1425,0</v>
      </c>
      <c r="J7" s="22" t="str">
        <f>"988,9500"</f>
        <v>988,9500</v>
      </c>
      <c r="K7" s="20" t="s">
        <v>21</v>
      </c>
    </row>
    <row r="9" spans="1:11" customHeight="1" ht="15">
      <c r="A9" s="26" t="s">
        <v>44</v>
      </c>
      <c r="B9" s="27"/>
      <c r="C9" s="27"/>
      <c r="D9" s="27"/>
      <c r="E9" s="27"/>
      <c r="F9" s="27"/>
      <c r="G9" s="27"/>
      <c r="H9" s="27"/>
      <c r="I9" s="27"/>
      <c r="J9" s="27"/>
    </row>
    <row r="10" spans="1:11" customHeight="1" ht="12.75">
      <c r="A10" s="17" t="s">
        <v>540</v>
      </c>
      <c r="B10" s="17" t="s">
        <v>541</v>
      </c>
      <c r="C10" s="17" t="s">
        <v>542</v>
      </c>
      <c r="D10" s="17" t="str">
        <f>"0,6247"</f>
        <v>0,6247</v>
      </c>
      <c r="E10" s="17" t="s">
        <v>16</v>
      </c>
      <c r="F10" s="17" t="s">
        <v>26</v>
      </c>
      <c r="G10" s="19" t="s">
        <v>543</v>
      </c>
      <c r="H10" s="47" t="s">
        <v>511</v>
      </c>
      <c r="I10" s="17" t="str">
        <f>"2362,5"</f>
        <v>2362,5</v>
      </c>
      <c r="J10" s="19" t="str">
        <f>"1475,7356"</f>
        <v>1475,7356</v>
      </c>
      <c r="K10" s="17" t="s">
        <v>21</v>
      </c>
    </row>
    <row r="11" spans="1:11" customHeight="1" ht="12.75">
      <c r="A11" s="20" t="s">
        <v>384</v>
      </c>
      <c r="B11" s="20" t="s">
        <v>385</v>
      </c>
      <c r="C11" s="20" t="s">
        <v>386</v>
      </c>
      <c r="D11" s="20" t="str">
        <f>"0,6161"</f>
        <v>0,6161</v>
      </c>
      <c r="E11" s="20" t="s">
        <v>16</v>
      </c>
      <c r="F11" s="20" t="s">
        <v>113</v>
      </c>
      <c r="G11" s="22" t="s">
        <v>94</v>
      </c>
      <c r="H11" s="46" t="s">
        <v>544</v>
      </c>
      <c r="I11" s="20" t="str">
        <f>"2340,0"</f>
        <v>2340,0</v>
      </c>
      <c r="J11" s="22" t="str">
        <f>"1441,5570"</f>
        <v>1441,5570</v>
      </c>
      <c r="K11" s="20" t="s">
        <v>21</v>
      </c>
    </row>
    <row r="13" spans="1:11" customHeight="1" ht="15">
      <c r="A13" s="26" t="s">
        <v>131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1" customHeight="1" ht="12.75">
      <c r="A14" s="6" t="s">
        <v>545</v>
      </c>
      <c r="B14" s="6" t="s">
        <v>546</v>
      </c>
      <c r="C14" s="6" t="s">
        <v>547</v>
      </c>
      <c r="D14" s="6" t="str">
        <f>"0,5859"</f>
        <v>0,5859</v>
      </c>
      <c r="E14" s="6" t="s">
        <v>16</v>
      </c>
      <c r="F14" s="6" t="s">
        <v>17</v>
      </c>
      <c r="G14" s="8" t="s">
        <v>34</v>
      </c>
      <c r="H14" s="44" t="s">
        <v>548</v>
      </c>
      <c r="I14" s="6" t="str">
        <f>"3100,0"</f>
        <v>3100,0</v>
      </c>
      <c r="J14" s="8" t="str">
        <f>"1916,0224"</f>
        <v>1916,0224</v>
      </c>
      <c r="K14" s="6" t="s">
        <v>371</v>
      </c>
    </row>
    <row r="16" spans="1:11" customHeight="1" ht="15">
      <c r="E16" s="9" t="s">
        <v>66</v>
      </c>
    </row>
    <row r="17" spans="1:11" customHeight="1" ht="15">
      <c r="E17" s="9" t="s">
        <v>67</v>
      </c>
    </row>
    <row r="18" spans="1:11" customHeight="1" ht="15">
      <c r="E18" s="9" t="s">
        <v>68</v>
      </c>
    </row>
    <row r="19" spans="1:11" customHeight="1" ht="15">
      <c r="E19" s="9" t="s">
        <v>69</v>
      </c>
    </row>
    <row r="20" spans="1:11" customHeight="1" ht="15">
      <c r="E20" s="9" t="s">
        <v>70</v>
      </c>
    </row>
    <row r="21" spans="1:11" customHeight="1" ht="15">
      <c r="E21" s="9" t="s">
        <v>71</v>
      </c>
    </row>
    <row r="22" spans="1:11" customHeight="1" ht="15">
      <c r="E22" s="9"/>
    </row>
    <row r="24" spans="1:11" customHeight="1" ht="18">
      <c r="A24" s="10" t="s">
        <v>72</v>
      </c>
      <c r="B24" s="10"/>
    </row>
    <row r="25" spans="1:11" customHeight="1" ht="15">
      <c r="A25" s="11" t="s">
        <v>88</v>
      </c>
      <c r="B25" s="11"/>
    </row>
    <row r="26" spans="1:11" customHeight="1" ht="14.25">
      <c r="A26" s="13"/>
      <c r="B26" s="14" t="s">
        <v>84</v>
      </c>
    </row>
    <row r="27" spans="1:11" customHeight="1" ht="15">
      <c r="A27" s="15" t="s">
        <v>75</v>
      </c>
      <c r="B27" s="15" t="s">
        <v>76</v>
      </c>
      <c r="C27" s="15" t="s">
        <v>77</v>
      </c>
      <c r="D27" s="15" t="s">
        <v>78</v>
      </c>
      <c r="E27" s="15" t="s">
        <v>79</v>
      </c>
    </row>
    <row r="28" spans="1:11" customHeight="1" ht="12.75">
      <c r="A28" s="12" t="s">
        <v>549</v>
      </c>
      <c r="B28" s="5" t="s">
        <v>84</v>
      </c>
      <c r="C28" s="5" t="s">
        <v>19</v>
      </c>
      <c r="D28" s="5" t="s">
        <v>550</v>
      </c>
      <c r="E28" s="16" t="s">
        <v>551</v>
      </c>
    </row>
    <row r="29" spans="1:11" customHeight="1" ht="12.75">
      <c r="A29" s="12" t="s">
        <v>552</v>
      </c>
      <c r="B29" s="5" t="s">
        <v>84</v>
      </c>
      <c r="C29" s="5" t="s">
        <v>94</v>
      </c>
      <c r="D29" s="5" t="s">
        <v>553</v>
      </c>
      <c r="E29" s="16" t="s">
        <v>554</v>
      </c>
    </row>
    <row r="30" spans="1:11" customHeight="1" ht="12.75">
      <c r="A30" s="12" t="s">
        <v>413</v>
      </c>
      <c r="B30" s="5" t="s">
        <v>84</v>
      </c>
      <c r="C30" s="5" t="s">
        <v>94</v>
      </c>
      <c r="D30" s="5" t="s">
        <v>555</v>
      </c>
      <c r="E30" s="16" t="s">
        <v>556</v>
      </c>
    </row>
    <row r="31" spans="1:11" customHeight="1" ht="12.75">
      <c r="A31" s="12" t="s">
        <v>557</v>
      </c>
      <c r="B31" s="5" t="s">
        <v>84</v>
      </c>
      <c r="C31" s="5" t="s">
        <v>19</v>
      </c>
      <c r="D31" s="5" t="s">
        <v>558</v>
      </c>
      <c r="E31" s="16" t="s">
        <v>559</v>
      </c>
    </row>
    <row r="33" spans="1:11" customHeight="1" ht="14.25">
      <c r="A33" s="13"/>
      <c r="B33" s="14" t="s">
        <v>105</v>
      </c>
    </row>
    <row r="34" spans="1:11" customHeight="1" ht="15">
      <c r="A34" s="15" t="s">
        <v>75</v>
      </c>
      <c r="B34" s="15" t="s">
        <v>76</v>
      </c>
      <c r="C34" s="15" t="s">
        <v>77</v>
      </c>
      <c r="D34" s="15" t="s">
        <v>78</v>
      </c>
      <c r="E34" s="15" t="s">
        <v>79</v>
      </c>
    </row>
    <row r="35" spans="1:11" customHeight="1" ht="12.75">
      <c r="A35" s="12" t="s">
        <v>560</v>
      </c>
      <c r="B35" s="5" t="s">
        <v>561</v>
      </c>
      <c r="C35" s="5" t="s">
        <v>34</v>
      </c>
      <c r="D35" s="5" t="s">
        <v>562</v>
      </c>
      <c r="E35" s="16" t="s">
        <v>563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3:K4"/>
    <mergeCell ref="A5:J5"/>
    <mergeCell ref="A9:J9"/>
    <mergeCell ref="A13:J13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0"/>
  <sheetViews>
    <sheetView tabSelected="0" workbookViewId="0" showGridLines="true" showRowColHeaders="1">
      <selection activeCell="E8" sqref="E8:F13"/>
    </sheetView>
  </sheetViews>
  <sheetFormatPr customHeight="true" defaultRowHeight="12.75" defaultColWidth="9.140625" outlineLevelRow="0" outlineLevelCol="0"/>
  <cols>
    <col min="1" max="1" width="26" customWidth="true" style="5"/>
    <col min="2" max="2" width="22.855468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14.28515625" customWidth="true" style="5"/>
  </cols>
  <sheetData>
    <row r="1" spans="1:13" customHeight="1" ht="29.1" s="3" customFormat="1">
      <c r="A1" s="34" t="s">
        <v>108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110</v>
      </c>
      <c r="B6" s="6" t="s">
        <v>111</v>
      </c>
      <c r="C6" s="6" t="s">
        <v>112</v>
      </c>
      <c r="D6" s="6" t="str">
        <f>"0,5575"</f>
        <v>0,5575</v>
      </c>
      <c r="E6" s="6" t="s">
        <v>16</v>
      </c>
      <c r="F6" s="6" t="s">
        <v>113</v>
      </c>
      <c r="G6" s="8" t="s">
        <v>114</v>
      </c>
      <c r="H6" s="7" t="s">
        <v>115</v>
      </c>
      <c r="I6" s="7" t="s">
        <v>115</v>
      </c>
      <c r="J6" s="7"/>
      <c r="K6" s="6" t="str">
        <f>"310,0"</f>
        <v>310,0</v>
      </c>
      <c r="L6" s="8" t="str">
        <f>"172,8250"</f>
        <v>172,8250</v>
      </c>
      <c r="M6" s="6" t="s">
        <v>116</v>
      </c>
    </row>
    <row r="8" spans="1:13" customHeight="1" ht="15">
      <c r="E8" s="9" t="s">
        <v>66</v>
      </c>
    </row>
    <row r="9" spans="1:13" customHeight="1" ht="15">
      <c r="E9" s="9" t="s">
        <v>67</v>
      </c>
    </row>
    <row r="10" spans="1:13" customHeight="1" ht="15">
      <c r="E10" s="9" t="s">
        <v>68</v>
      </c>
    </row>
    <row r="11" spans="1:13" customHeight="1" ht="15">
      <c r="E11" s="9" t="s">
        <v>69</v>
      </c>
    </row>
    <row r="12" spans="1:13" customHeight="1" ht="15">
      <c r="E12" s="9" t="s">
        <v>70</v>
      </c>
    </row>
    <row r="13" spans="1:13" customHeight="1" ht="15">
      <c r="E13" s="9" t="s">
        <v>71</v>
      </c>
    </row>
    <row r="14" spans="1:13" customHeight="1" ht="15">
      <c r="E14" s="9"/>
    </row>
    <row r="16" spans="1:13" customHeight="1" ht="18">
      <c r="A16" s="10" t="s">
        <v>72</v>
      </c>
      <c r="B16" s="10"/>
    </row>
    <row r="17" spans="1:13" customHeight="1" ht="15">
      <c r="A17" s="11" t="s">
        <v>88</v>
      </c>
      <c r="B17" s="11"/>
    </row>
    <row r="18" spans="1:13" customHeight="1" ht="14.25">
      <c r="A18" s="13"/>
      <c r="B18" s="14" t="s">
        <v>84</v>
      </c>
    </row>
    <row r="19" spans="1:13" customHeight="1" ht="15">
      <c r="A19" s="15" t="s">
        <v>75</v>
      </c>
      <c r="B19" s="15" t="s">
        <v>76</v>
      </c>
      <c r="C19" s="15" t="s">
        <v>77</v>
      </c>
      <c r="D19" s="15" t="s">
        <v>78</v>
      </c>
      <c r="E19" s="15" t="s">
        <v>79</v>
      </c>
    </row>
    <row r="20" spans="1:13" customHeight="1" ht="12.75">
      <c r="A20" s="12" t="s">
        <v>117</v>
      </c>
      <c r="B20" s="5" t="s">
        <v>84</v>
      </c>
      <c r="C20" s="5" t="s">
        <v>36</v>
      </c>
      <c r="D20" s="5" t="s">
        <v>114</v>
      </c>
      <c r="E20" s="16" t="s">
        <v>118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39"/>
  <sheetViews>
    <sheetView tabSelected="0" workbookViewId="0" showGridLines="true" showRowColHeaders="1">
      <selection activeCell="E18" sqref="E18:F23"/>
    </sheetView>
  </sheetViews>
  <sheetFormatPr customHeight="true" defaultRowHeight="12.75" defaultColWidth="9.140625" outlineLevelRow="0" outlineLevelCol="0"/>
  <cols>
    <col min="1" max="1" width="26" customWidth="true" style="5"/>
    <col min="2" max="2" width="29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8.2851562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8.85546875" customWidth="true" style="5"/>
  </cols>
  <sheetData>
    <row r="1" spans="1:13" customHeight="1" ht="29.1" s="3" customFormat="1">
      <c r="A1" s="34" t="s">
        <v>119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120</v>
      </c>
      <c r="B6" s="6" t="s">
        <v>121</v>
      </c>
      <c r="C6" s="6" t="s">
        <v>122</v>
      </c>
      <c r="D6" s="6" t="str">
        <f>"1,3437"</f>
        <v>1,3437</v>
      </c>
      <c r="E6" s="6" t="s">
        <v>16</v>
      </c>
      <c r="F6" s="6" t="s">
        <v>17</v>
      </c>
      <c r="G6" s="8" t="s">
        <v>123</v>
      </c>
      <c r="H6" s="8" t="s">
        <v>124</v>
      </c>
      <c r="I6" s="7" t="s">
        <v>125</v>
      </c>
      <c r="J6" s="7"/>
      <c r="K6" s="6" t="str">
        <f>"55,0"</f>
        <v>55,0</v>
      </c>
      <c r="L6" s="8" t="str">
        <f>"73,9035"</f>
        <v>73,9035</v>
      </c>
      <c r="M6" s="6" t="s">
        <v>21</v>
      </c>
    </row>
    <row r="8" spans="1:13" customHeight="1" ht="15">
      <c r="A8" s="26" t="s">
        <v>44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customHeight="1" ht="12.75">
      <c r="A9" s="6" t="s">
        <v>126</v>
      </c>
      <c r="B9" s="6" t="s">
        <v>127</v>
      </c>
      <c r="C9" s="6" t="s">
        <v>128</v>
      </c>
      <c r="D9" s="6" t="str">
        <f>"0,6145"</f>
        <v>0,6145</v>
      </c>
      <c r="E9" s="6" t="s">
        <v>16</v>
      </c>
      <c r="F9" s="6" t="s">
        <v>48</v>
      </c>
      <c r="G9" s="7" t="s">
        <v>129</v>
      </c>
      <c r="H9" s="8" t="s">
        <v>130</v>
      </c>
      <c r="I9" s="8" t="s">
        <v>55</v>
      </c>
      <c r="J9" s="7"/>
      <c r="K9" s="6" t="str">
        <f>"215,0"</f>
        <v>215,0</v>
      </c>
      <c r="L9" s="8" t="str">
        <f>"132,1282"</f>
        <v>132,1282</v>
      </c>
      <c r="M9" s="6" t="s">
        <v>21</v>
      </c>
    </row>
    <row r="11" spans="1:13" customHeight="1" ht="15">
      <c r="A11" s="26" t="s">
        <v>131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3" customHeight="1" ht="12.75">
      <c r="A12" s="17" t="s">
        <v>132</v>
      </c>
      <c r="B12" s="17" t="s">
        <v>133</v>
      </c>
      <c r="C12" s="17" t="s">
        <v>134</v>
      </c>
      <c r="D12" s="17" t="str">
        <f>"0,5977"</f>
        <v>0,5977</v>
      </c>
      <c r="E12" s="17" t="s">
        <v>135</v>
      </c>
      <c r="F12" s="17" t="s">
        <v>17</v>
      </c>
      <c r="G12" s="19" t="s">
        <v>136</v>
      </c>
      <c r="H12" s="19" t="s">
        <v>137</v>
      </c>
      <c r="I12" s="18"/>
      <c r="J12" s="18"/>
      <c r="K12" s="17" t="str">
        <f>"270,0"</f>
        <v>270,0</v>
      </c>
      <c r="L12" s="19" t="str">
        <f>"161,3790"</f>
        <v>161,3790</v>
      </c>
      <c r="M12" s="17" t="s">
        <v>21</v>
      </c>
    </row>
    <row r="13" spans="1:13" customHeight="1" ht="12.75">
      <c r="A13" s="20" t="s">
        <v>138</v>
      </c>
      <c r="B13" s="20" t="s">
        <v>139</v>
      </c>
      <c r="C13" s="20" t="s">
        <v>140</v>
      </c>
      <c r="D13" s="20" t="str">
        <f>"0,5878"</f>
        <v>0,5878</v>
      </c>
      <c r="E13" s="20" t="s">
        <v>141</v>
      </c>
      <c r="F13" s="20" t="s">
        <v>48</v>
      </c>
      <c r="G13" s="22" t="s">
        <v>142</v>
      </c>
      <c r="H13" s="21"/>
      <c r="I13" s="21"/>
      <c r="J13" s="21"/>
      <c r="K13" s="20" t="str">
        <f>"250,0"</f>
        <v>250,0</v>
      </c>
      <c r="L13" s="22" t="str">
        <f>"146,9375"</f>
        <v>146,9375</v>
      </c>
      <c r="M13" s="20" t="s">
        <v>21</v>
      </c>
    </row>
    <row r="15" spans="1:13" customHeight="1" ht="15">
      <c r="A15" s="26" t="s">
        <v>143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3" customHeight="1" ht="12.75">
      <c r="A16" s="6" t="s">
        <v>144</v>
      </c>
      <c r="B16" s="6" t="s">
        <v>145</v>
      </c>
      <c r="C16" s="6" t="s">
        <v>146</v>
      </c>
      <c r="D16" s="6" t="str">
        <f>"0,5436"</f>
        <v>0,5436</v>
      </c>
      <c r="E16" s="6" t="s">
        <v>141</v>
      </c>
      <c r="F16" s="6" t="s">
        <v>113</v>
      </c>
      <c r="G16" s="8" t="s">
        <v>137</v>
      </c>
      <c r="H16" s="8" t="s">
        <v>147</v>
      </c>
      <c r="I16" s="7"/>
      <c r="J16" s="7"/>
      <c r="K16" s="6" t="str">
        <f>"285,0"</f>
        <v>285,0</v>
      </c>
      <c r="L16" s="8" t="str">
        <f>"154,9402"</f>
        <v>154,9402</v>
      </c>
      <c r="M16" s="6" t="s">
        <v>21</v>
      </c>
    </row>
    <row r="18" spans="1:13" customHeight="1" ht="15">
      <c r="E18" s="9" t="s">
        <v>66</v>
      </c>
    </row>
    <row r="19" spans="1:13" customHeight="1" ht="15">
      <c r="E19" s="9" t="s">
        <v>67</v>
      </c>
    </row>
    <row r="20" spans="1:13" customHeight="1" ht="15">
      <c r="E20" s="9" t="s">
        <v>68</v>
      </c>
    </row>
    <row r="21" spans="1:13" customHeight="1" ht="15">
      <c r="E21" s="9" t="s">
        <v>69</v>
      </c>
    </row>
    <row r="22" spans="1:13" customHeight="1" ht="15">
      <c r="E22" s="9" t="s">
        <v>70</v>
      </c>
    </row>
    <row r="23" spans="1:13" customHeight="1" ht="15">
      <c r="E23" s="9" t="s">
        <v>71</v>
      </c>
    </row>
    <row r="24" spans="1:13" customHeight="1" ht="15">
      <c r="E24" s="9"/>
    </row>
    <row r="26" spans="1:13" customHeight="1" ht="18">
      <c r="A26" s="10" t="s">
        <v>72</v>
      </c>
      <c r="B26" s="10"/>
    </row>
    <row r="27" spans="1:13" customHeight="1" ht="15">
      <c r="A27" s="11" t="s">
        <v>73</v>
      </c>
      <c r="B27" s="11"/>
    </row>
    <row r="28" spans="1:13" customHeight="1" ht="14.25">
      <c r="A28" s="13"/>
      <c r="B28" s="14" t="s">
        <v>74</v>
      </c>
    </row>
    <row r="29" spans="1:13" customHeight="1" ht="15">
      <c r="A29" s="15" t="s">
        <v>75</v>
      </c>
      <c r="B29" s="15" t="s">
        <v>76</v>
      </c>
      <c r="C29" s="15" t="s">
        <v>77</v>
      </c>
      <c r="D29" s="15" t="s">
        <v>78</v>
      </c>
      <c r="E29" s="15" t="s">
        <v>79</v>
      </c>
    </row>
    <row r="30" spans="1:13" customHeight="1" ht="12.75">
      <c r="A30" s="12" t="s">
        <v>148</v>
      </c>
      <c r="B30" s="5" t="s">
        <v>149</v>
      </c>
      <c r="C30" s="5" t="s">
        <v>82</v>
      </c>
      <c r="D30" s="5" t="s">
        <v>124</v>
      </c>
      <c r="E30" s="16" t="s">
        <v>150</v>
      </c>
    </row>
    <row r="33" spans="1:13" customHeight="1" ht="15">
      <c r="A33" s="11" t="s">
        <v>88</v>
      </c>
      <c r="B33" s="11"/>
    </row>
    <row r="34" spans="1:13" customHeight="1" ht="14.25">
      <c r="A34" s="13"/>
      <c r="B34" s="14" t="s">
        <v>84</v>
      </c>
    </row>
    <row r="35" spans="1:13" customHeight="1" ht="15">
      <c r="A35" s="15" t="s">
        <v>75</v>
      </c>
      <c r="B35" s="15" t="s">
        <v>76</v>
      </c>
      <c r="C35" s="15" t="s">
        <v>77</v>
      </c>
      <c r="D35" s="15" t="s">
        <v>78</v>
      </c>
      <c r="E35" s="15" t="s">
        <v>79</v>
      </c>
    </row>
    <row r="36" spans="1:13" customHeight="1" ht="12.75">
      <c r="A36" s="12" t="s">
        <v>151</v>
      </c>
      <c r="B36" s="5" t="s">
        <v>84</v>
      </c>
      <c r="C36" s="5" t="s">
        <v>34</v>
      </c>
      <c r="D36" s="5" t="s">
        <v>137</v>
      </c>
      <c r="E36" s="16" t="s">
        <v>152</v>
      </c>
    </row>
    <row r="37" spans="1:13" customHeight="1" ht="12.75">
      <c r="A37" s="12" t="s">
        <v>153</v>
      </c>
      <c r="B37" s="5" t="s">
        <v>84</v>
      </c>
      <c r="C37" s="5" t="s">
        <v>28</v>
      </c>
      <c r="D37" s="5" t="s">
        <v>147</v>
      </c>
      <c r="E37" s="16" t="s">
        <v>154</v>
      </c>
    </row>
    <row r="38" spans="1:13" customHeight="1" ht="12.75">
      <c r="A38" s="12" t="s">
        <v>155</v>
      </c>
      <c r="B38" s="5" t="s">
        <v>84</v>
      </c>
      <c r="C38" s="5" t="s">
        <v>34</v>
      </c>
      <c r="D38" s="5" t="s">
        <v>142</v>
      </c>
      <c r="E38" s="16" t="s">
        <v>156</v>
      </c>
    </row>
    <row r="39" spans="1:13" customHeight="1" ht="12.75">
      <c r="A39" s="12" t="s">
        <v>157</v>
      </c>
      <c r="B39" s="5" t="s">
        <v>84</v>
      </c>
      <c r="C39" s="5" t="s">
        <v>94</v>
      </c>
      <c r="D39" s="5" t="s">
        <v>55</v>
      </c>
      <c r="E39" s="16" t="s">
        <v>158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K3:K4"/>
    <mergeCell ref="L3:L4"/>
    <mergeCell ref="M3:M4"/>
    <mergeCell ref="A5:L5"/>
    <mergeCell ref="A8:L8"/>
    <mergeCell ref="A11:L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79"/>
  <sheetViews>
    <sheetView tabSelected="0" workbookViewId="0" showGridLines="true" showRowColHeaders="1">
      <selection activeCell="E40" sqref="E40:F45"/>
    </sheetView>
  </sheetViews>
  <sheetFormatPr customHeight="true" defaultRowHeight="12.75" defaultColWidth="9.140625" outlineLevelRow="0" outlineLevelCol="0"/>
  <cols>
    <col min="1" max="1" width="26" customWidth="true" style="5"/>
    <col min="2" max="2" width="28.570312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33.2851562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16.28515625" customWidth="true" style="5"/>
  </cols>
  <sheetData>
    <row r="1" spans="1:13" customHeight="1" ht="29.1" s="3" customFormat="1">
      <c r="A1" s="34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160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161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162</v>
      </c>
      <c r="B6" s="6" t="s">
        <v>163</v>
      </c>
      <c r="C6" s="6" t="s">
        <v>164</v>
      </c>
      <c r="D6" s="6" t="str">
        <f>"0,9685"</f>
        <v>0,9685</v>
      </c>
      <c r="E6" s="6" t="s">
        <v>16</v>
      </c>
      <c r="F6" s="6" t="s">
        <v>165</v>
      </c>
      <c r="G6" s="7" t="s">
        <v>166</v>
      </c>
      <c r="H6" s="8" t="s">
        <v>166</v>
      </c>
      <c r="I6" s="7" t="s">
        <v>167</v>
      </c>
      <c r="J6" s="7"/>
      <c r="K6" s="6" t="str">
        <f>"42,5"</f>
        <v>42,5</v>
      </c>
      <c r="L6" s="8" t="str">
        <f>"41,1591"</f>
        <v>41,1591</v>
      </c>
      <c r="M6" s="6" t="s">
        <v>21</v>
      </c>
    </row>
    <row r="8" spans="1:13" customHeight="1" ht="15">
      <c r="A8" s="26" t="s">
        <v>168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customHeight="1" ht="12.75">
      <c r="A9" s="6" t="s">
        <v>169</v>
      </c>
      <c r="B9" s="6" t="s">
        <v>170</v>
      </c>
      <c r="C9" s="6" t="s">
        <v>171</v>
      </c>
      <c r="D9" s="6" t="str">
        <f>"0,9166"</f>
        <v>0,9166</v>
      </c>
      <c r="E9" s="6" t="s">
        <v>16</v>
      </c>
      <c r="F9" s="6" t="s">
        <v>165</v>
      </c>
      <c r="G9" s="8" t="s">
        <v>172</v>
      </c>
      <c r="H9" s="8" t="s">
        <v>173</v>
      </c>
      <c r="I9" s="8" t="s">
        <v>174</v>
      </c>
      <c r="J9" s="7"/>
      <c r="K9" s="6" t="str">
        <f>"67,5"</f>
        <v>67,5</v>
      </c>
      <c r="L9" s="8" t="str">
        <f>"61,8705"</f>
        <v>61,8705</v>
      </c>
      <c r="M9" s="6" t="s">
        <v>21</v>
      </c>
    </row>
    <row r="11" spans="1:13" customHeight="1" ht="15">
      <c r="A11" s="26" t="s">
        <v>175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3" customHeight="1" ht="12.75">
      <c r="A12" s="17" t="s">
        <v>176</v>
      </c>
      <c r="B12" s="17" t="s">
        <v>177</v>
      </c>
      <c r="C12" s="17" t="s">
        <v>178</v>
      </c>
      <c r="D12" s="17" t="str">
        <f>"0,7581"</f>
        <v>0,7581</v>
      </c>
      <c r="E12" s="17" t="s">
        <v>16</v>
      </c>
      <c r="F12" s="17" t="s">
        <v>165</v>
      </c>
      <c r="G12" s="19" t="s">
        <v>123</v>
      </c>
      <c r="H12" s="19" t="s">
        <v>124</v>
      </c>
      <c r="I12" s="19" t="s">
        <v>125</v>
      </c>
      <c r="J12" s="18"/>
      <c r="K12" s="17" t="str">
        <f>"60,0"</f>
        <v>60,0</v>
      </c>
      <c r="L12" s="19" t="str">
        <f>"45,4830"</f>
        <v>45,4830</v>
      </c>
      <c r="M12" s="17" t="s">
        <v>21</v>
      </c>
    </row>
    <row r="13" spans="1:13" customHeight="1" ht="12.75">
      <c r="A13" s="23" t="s">
        <v>179</v>
      </c>
      <c r="B13" s="23" t="s">
        <v>180</v>
      </c>
      <c r="C13" s="23" t="s">
        <v>181</v>
      </c>
      <c r="D13" s="23" t="str">
        <f>"0,7551"</f>
        <v>0,7551</v>
      </c>
      <c r="E13" s="23" t="s">
        <v>16</v>
      </c>
      <c r="F13" s="23" t="s">
        <v>17</v>
      </c>
      <c r="G13" s="25" t="s">
        <v>19</v>
      </c>
      <c r="H13" s="25" t="s">
        <v>86</v>
      </c>
      <c r="I13" s="24" t="s">
        <v>182</v>
      </c>
      <c r="J13" s="24"/>
      <c r="K13" s="23" t="str">
        <f>"82,5"</f>
        <v>82,5</v>
      </c>
      <c r="L13" s="25" t="str">
        <f>"62,2958"</f>
        <v>62,2958</v>
      </c>
      <c r="M13" s="23" t="s">
        <v>183</v>
      </c>
    </row>
    <row r="14" spans="1:13" customHeight="1" ht="12.75">
      <c r="A14" s="20" t="s">
        <v>184</v>
      </c>
      <c r="B14" s="20" t="s">
        <v>185</v>
      </c>
      <c r="C14" s="20" t="s">
        <v>186</v>
      </c>
      <c r="D14" s="20" t="str">
        <f>"0,7541"</f>
        <v>0,7541</v>
      </c>
      <c r="E14" s="20" t="s">
        <v>16</v>
      </c>
      <c r="F14" s="20" t="s">
        <v>26</v>
      </c>
      <c r="G14" s="22" t="s">
        <v>187</v>
      </c>
      <c r="H14" s="22" t="s">
        <v>188</v>
      </c>
      <c r="I14" s="22" t="s">
        <v>101</v>
      </c>
      <c r="J14" s="21"/>
      <c r="K14" s="20" t="str">
        <f>"110,0"</f>
        <v>110,0</v>
      </c>
      <c r="L14" s="22" t="str">
        <f>"82,9565"</f>
        <v>82,9565</v>
      </c>
      <c r="M14" s="20" t="s">
        <v>21</v>
      </c>
    </row>
    <row r="16" spans="1:13" customHeight="1" ht="15">
      <c r="A16" s="26" t="s">
        <v>30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3" customHeight="1" ht="12.75">
      <c r="A17" s="17" t="s">
        <v>189</v>
      </c>
      <c r="B17" s="17" t="s">
        <v>190</v>
      </c>
      <c r="C17" s="17" t="s">
        <v>191</v>
      </c>
      <c r="D17" s="17" t="str">
        <f>"0,6990"</f>
        <v>0,6990</v>
      </c>
      <c r="E17" s="17" t="s">
        <v>16</v>
      </c>
      <c r="F17" s="17" t="s">
        <v>17</v>
      </c>
      <c r="G17" s="19" t="s">
        <v>192</v>
      </c>
      <c r="H17" s="19" t="s">
        <v>36</v>
      </c>
      <c r="I17" s="18" t="s">
        <v>193</v>
      </c>
      <c r="J17" s="18"/>
      <c r="K17" s="17" t="str">
        <f>"125,0"</f>
        <v>125,0</v>
      </c>
      <c r="L17" s="19" t="str">
        <f>"87,3750"</f>
        <v>87,3750</v>
      </c>
      <c r="M17" s="17" t="s">
        <v>21</v>
      </c>
    </row>
    <row r="18" spans="1:13" customHeight="1" ht="12.75">
      <c r="A18" s="23" t="s">
        <v>194</v>
      </c>
      <c r="B18" s="23" t="s">
        <v>195</v>
      </c>
      <c r="C18" s="23" t="s">
        <v>196</v>
      </c>
      <c r="D18" s="23" t="str">
        <f>"0,7027"</f>
        <v>0,7027</v>
      </c>
      <c r="E18" s="23" t="s">
        <v>197</v>
      </c>
      <c r="F18" s="23" t="s">
        <v>26</v>
      </c>
      <c r="G18" s="25" t="s">
        <v>27</v>
      </c>
      <c r="H18" s="25" t="s">
        <v>193</v>
      </c>
      <c r="I18" s="25" t="s">
        <v>28</v>
      </c>
      <c r="J18" s="24"/>
      <c r="K18" s="23" t="str">
        <f>"140,0"</f>
        <v>140,0</v>
      </c>
      <c r="L18" s="25" t="str">
        <f>"98,3710"</f>
        <v>98,3710</v>
      </c>
      <c r="M18" s="23" t="s">
        <v>21</v>
      </c>
    </row>
    <row r="19" spans="1:13" customHeight="1" ht="12.75">
      <c r="A19" s="23" t="s">
        <v>198</v>
      </c>
      <c r="B19" s="23" t="s">
        <v>199</v>
      </c>
      <c r="C19" s="23" t="s">
        <v>191</v>
      </c>
      <c r="D19" s="23" t="str">
        <f>"0,6990"</f>
        <v>0,6990</v>
      </c>
      <c r="E19" s="23" t="s">
        <v>16</v>
      </c>
      <c r="F19" s="23" t="s">
        <v>17</v>
      </c>
      <c r="G19" s="25" t="s">
        <v>36</v>
      </c>
      <c r="H19" s="25" t="s">
        <v>27</v>
      </c>
      <c r="I19" s="24" t="s">
        <v>193</v>
      </c>
      <c r="J19" s="24"/>
      <c r="K19" s="23" t="str">
        <f>"130,0"</f>
        <v>130,0</v>
      </c>
      <c r="L19" s="25" t="str">
        <f>"90,8700"</f>
        <v>90,8700</v>
      </c>
      <c r="M19" s="23" t="s">
        <v>21</v>
      </c>
    </row>
    <row r="20" spans="1:13" customHeight="1" ht="12.75">
      <c r="A20" s="23" t="s">
        <v>200</v>
      </c>
      <c r="B20" s="23" t="s">
        <v>201</v>
      </c>
      <c r="C20" s="23" t="s">
        <v>202</v>
      </c>
      <c r="D20" s="23" t="str">
        <f>"0,6885"</f>
        <v>0,6885</v>
      </c>
      <c r="E20" s="23" t="s">
        <v>16</v>
      </c>
      <c r="F20" s="23" t="s">
        <v>203</v>
      </c>
      <c r="G20" s="25" t="s">
        <v>27</v>
      </c>
      <c r="H20" s="24" t="s">
        <v>193</v>
      </c>
      <c r="I20" s="24" t="s">
        <v>193</v>
      </c>
      <c r="J20" s="24"/>
      <c r="K20" s="23" t="str">
        <f>"130,0"</f>
        <v>130,0</v>
      </c>
      <c r="L20" s="25" t="str">
        <f>"89,5115"</f>
        <v>89,5115</v>
      </c>
      <c r="M20" s="23" t="s">
        <v>21</v>
      </c>
    </row>
    <row r="21" spans="1:13" customHeight="1" ht="12.75">
      <c r="A21" s="20" t="s">
        <v>204</v>
      </c>
      <c r="B21" s="20" t="s">
        <v>205</v>
      </c>
      <c r="C21" s="20" t="s">
        <v>33</v>
      </c>
      <c r="D21" s="20" t="str">
        <f>"0,6934"</f>
        <v>0,6934</v>
      </c>
      <c r="E21" s="20" t="s">
        <v>16</v>
      </c>
      <c r="F21" s="20" t="s">
        <v>26</v>
      </c>
      <c r="G21" s="21" t="s">
        <v>192</v>
      </c>
      <c r="H21" s="22" t="s">
        <v>192</v>
      </c>
      <c r="I21" s="21" t="s">
        <v>193</v>
      </c>
      <c r="J21" s="21"/>
      <c r="K21" s="20" t="str">
        <f>"117,5"</f>
        <v>117,5</v>
      </c>
      <c r="L21" s="22" t="str">
        <f>"81,4686"</f>
        <v>81,4686</v>
      </c>
      <c r="M21" s="20" t="s">
        <v>21</v>
      </c>
    </row>
    <row r="23" spans="1:13" customHeight="1" ht="15">
      <c r="A23" s="26" t="s">
        <v>22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3" customHeight="1" ht="12.75">
      <c r="A24" s="17" t="s">
        <v>206</v>
      </c>
      <c r="B24" s="17" t="s">
        <v>207</v>
      </c>
      <c r="C24" s="17" t="s">
        <v>208</v>
      </c>
      <c r="D24" s="17" t="str">
        <f>"0,6589"</f>
        <v>0,6589</v>
      </c>
      <c r="E24" s="17" t="s">
        <v>61</v>
      </c>
      <c r="F24" s="17" t="s">
        <v>17</v>
      </c>
      <c r="G24" s="18" t="s">
        <v>94</v>
      </c>
      <c r="H24" s="19" t="s">
        <v>34</v>
      </c>
      <c r="I24" s="19" t="s">
        <v>209</v>
      </c>
      <c r="J24" s="18"/>
      <c r="K24" s="17" t="str">
        <f>"105,0"</f>
        <v>105,0</v>
      </c>
      <c r="L24" s="19" t="str">
        <f>"69,1897"</f>
        <v>69,1897</v>
      </c>
      <c r="M24" s="17" t="s">
        <v>210</v>
      </c>
    </row>
    <row r="25" spans="1:13" customHeight="1" ht="12.75">
      <c r="A25" s="23" t="s">
        <v>211</v>
      </c>
      <c r="B25" s="23" t="s">
        <v>212</v>
      </c>
      <c r="C25" s="23" t="s">
        <v>213</v>
      </c>
      <c r="D25" s="23" t="str">
        <f>"0,6773"</f>
        <v>0,6773</v>
      </c>
      <c r="E25" s="23" t="s">
        <v>16</v>
      </c>
      <c r="F25" s="23" t="s">
        <v>113</v>
      </c>
      <c r="G25" s="25" t="s">
        <v>94</v>
      </c>
      <c r="H25" s="25" t="s">
        <v>34</v>
      </c>
      <c r="I25" s="25" t="s">
        <v>214</v>
      </c>
      <c r="J25" s="24"/>
      <c r="K25" s="23" t="str">
        <f>"102,5"</f>
        <v>102,5</v>
      </c>
      <c r="L25" s="25" t="str">
        <f>"69,4284"</f>
        <v>69,4284</v>
      </c>
      <c r="M25" s="23" t="s">
        <v>21</v>
      </c>
    </row>
    <row r="26" spans="1:13" customHeight="1" ht="12.75">
      <c r="A26" s="23" t="s">
        <v>215</v>
      </c>
      <c r="B26" s="23" t="s">
        <v>216</v>
      </c>
      <c r="C26" s="23" t="s">
        <v>217</v>
      </c>
      <c r="D26" s="23" t="str">
        <f>"0,6706"</f>
        <v>0,6706</v>
      </c>
      <c r="E26" s="23" t="s">
        <v>16</v>
      </c>
      <c r="F26" s="23" t="s">
        <v>17</v>
      </c>
      <c r="G26" s="25" t="s">
        <v>193</v>
      </c>
      <c r="H26" s="24" t="s">
        <v>218</v>
      </c>
      <c r="I26" s="24" t="s">
        <v>218</v>
      </c>
      <c r="J26" s="24"/>
      <c r="K26" s="23" t="str">
        <f>"135,0"</f>
        <v>135,0</v>
      </c>
      <c r="L26" s="25" t="str">
        <f>"90,5310"</f>
        <v>90,5310</v>
      </c>
      <c r="M26" s="23" t="s">
        <v>21</v>
      </c>
    </row>
    <row r="27" spans="1:13" customHeight="1" ht="12.75">
      <c r="A27" s="20" t="s">
        <v>219</v>
      </c>
      <c r="B27" s="20" t="s">
        <v>220</v>
      </c>
      <c r="C27" s="20" t="s">
        <v>221</v>
      </c>
      <c r="D27" s="20" t="str">
        <f>"0,6600"</f>
        <v>0,6600</v>
      </c>
      <c r="E27" s="20" t="s">
        <v>16</v>
      </c>
      <c r="F27" s="20" t="s">
        <v>113</v>
      </c>
      <c r="G27" s="22" t="s">
        <v>192</v>
      </c>
      <c r="H27" s="21" t="s">
        <v>36</v>
      </c>
      <c r="I27" s="22" t="s">
        <v>222</v>
      </c>
      <c r="J27" s="21"/>
      <c r="K27" s="20" t="str">
        <f>"127,5"</f>
        <v>127,5</v>
      </c>
      <c r="L27" s="22" t="str">
        <f>"84,1564"</f>
        <v>84,1564</v>
      </c>
      <c r="M27" s="20" t="s">
        <v>21</v>
      </c>
    </row>
    <row r="29" spans="1:13" customHeight="1" ht="15">
      <c r="A29" s="26" t="s">
        <v>44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3" customHeight="1" ht="12.75">
      <c r="A30" s="17" t="s">
        <v>52</v>
      </c>
      <c r="B30" s="17" t="s">
        <v>53</v>
      </c>
      <c r="C30" s="17" t="s">
        <v>54</v>
      </c>
      <c r="D30" s="17" t="str">
        <f>"0,6277"</f>
        <v>0,6277</v>
      </c>
      <c r="E30" s="17" t="s">
        <v>16</v>
      </c>
      <c r="F30" s="17" t="s">
        <v>48</v>
      </c>
      <c r="G30" s="19" t="s">
        <v>28</v>
      </c>
      <c r="H30" s="18" t="s">
        <v>223</v>
      </c>
      <c r="I30" s="18" t="s">
        <v>224</v>
      </c>
      <c r="J30" s="18"/>
      <c r="K30" s="17" t="str">
        <f>"140,0"</f>
        <v>140,0</v>
      </c>
      <c r="L30" s="19" t="str">
        <f>"87,8780"</f>
        <v>87,8780</v>
      </c>
      <c r="M30" s="17" t="s">
        <v>21</v>
      </c>
    </row>
    <row r="31" spans="1:13" customHeight="1" ht="12.75">
      <c r="A31" s="23" t="s">
        <v>225</v>
      </c>
      <c r="B31" s="23" t="s">
        <v>226</v>
      </c>
      <c r="C31" s="23" t="s">
        <v>227</v>
      </c>
      <c r="D31" s="23" t="str">
        <f>"0,6188"</f>
        <v>0,6188</v>
      </c>
      <c r="E31" s="23" t="s">
        <v>16</v>
      </c>
      <c r="F31" s="23" t="s">
        <v>26</v>
      </c>
      <c r="G31" s="25" t="s">
        <v>49</v>
      </c>
      <c r="H31" s="24" t="s">
        <v>228</v>
      </c>
      <c r="I31" s="25" t="s">
        <v>229</v>
      </c>
      <c r="J31" s="24"/>
      <c r="K31" s="23" t="str">
        <f>"170,0"</f>
        <v>170,0</v>
      </c>
      <c r="L31" s="25" t="str">
        <f>"105,2045"</f>
        <v>105,2045</v>
      </c>
      <c r="M31" s="23" t="s">
        <v>21</v>
      </c>
    </row>
    <row r="32" spans="1:13" customHeight="1" ht="12.75">
      <c r="A32" s="20" t="s">
        <v>230</v>
      </c>
      <c r="B32" s="20" t="s">
        <v>231</v>
      </c>
      <c r="C32" s="20" t="s">
        <v>232</v>
      </c>
      <c r="D32" s="20" t="str">
        <f>"0,6331"</f>
        <v>0,6331</v>
      </c>
      <c r="E32" s="20" t="s">
        <v>16</v>
      </c>
      <c r="F32" s="20" t="s">
        <v>17</v>
      </c>
      <c r="G32" s="21" t="s">
        <v>233</v>
      </c>
      <c r="H32" s="22" t="s">
        <v>233</v>
      </c>
      <c r="I32" s="21" t="s">
        <v>234</v>
      </c>
      <c r="J32" s="21"/>
      <c r="K32" s="20" t="str">
        <f>"115,0"</f>
        <v>115,0</v>
      </c>
      <c r="L32" s="22" t="str">
        <f>"83,5091"</f>
        <v>83,5091</v>
      </c>
      <c r="M32" s="20" t="s">
        <v>21</v>
      </c>
    </row>
    <row r="34" spans="1:13" customHeight="1" ht="15">
      <c r="A34" s="26" t="s">
        <v>57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3" customHeight="1" ht="12.75">
      <c r="A35" s="6" t="s">
        <v>235</v>
      </c>
      <c r="B35" s="6" t="s">
        <v>236</v>
      </c>
      <c r="C35" s="6" t="s">
        <v>237</v>
      </c>
      <c r="D35" s="6" t="str">
        <f>"0,5671"</f>
        <v>0,5671</v>
      </c>
      <c r="E35" s="6" t="s">
        <v>16</v>
      </c>
      <c r="F35" s="6" t="s">
        <v>113</v>
      </c>
      <c r="G35" s="8" t="s">
        <v>229</v>
      </c>
      <c r="H35" s="8" t="s">
        <v>129</v>
      </c>
      <c r="I35" s="7" t="s">
        <v>130</v>
      </c>
      <c r="J35" s="7"/>
      <c r="K35" s="6" t="str">
        <f>"180,0"</f>
        <v>180,0</v>
      </c>
      <c r="L35" s="8" t="str">
        <f>"102,0780"</f>
        <v>102,0780</v>
      </c>
      <c r="M35" s="6" t="s">
        <v>21</v>
      </c>
    </row>
    <row r="37" spans="1:13" customHeight="1" ht="15">
      <c r="A37" s="26" t="s">
        <v>109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3" customHeight="1" ht="12.75">
      <c r="A38" s="6" t="s">
        <v>238</v>
      </c>
      <c r="B38" s="6" t="s">
        <v>239</v>
      </c>
      <c r="C38" s="6" t="s">
        <v>240</v>
      </c>
      <c r="D38" s="6" t="str">
        <f>"0,5490"</f>
        <v>0,5490</v>
      </c>
      <c r="E38" s="6" t="s">
        <v>16</v>
      </c>
      <c r="F38" s="6" t="s">
        <v>17</v>
      </c>
      <c r="G38" s="8" t="s">
        <v>241</v>
      </c>
      <c r="H38" s="8" t="s">
        <v>224</v>
      </c>
      <c r="I38" s="7" t="s">
        <v>49</v>
      </c>
      <c r="J38" s="7"/>
      <c r="K38" s="6" t="str">
        <f>"152,5"</f>
        <v>152,5</v>
      </c>
      <c r="L38" s="8" t="str">
        <f>"83,7149"</f>
        <v>83,7149</v>
      </c>
      <c r="M38" s="6" t="s">
        <v>21</v>
      </c>
    </row>
    <row r="40" spans="1:13" customHeight="1" ht="15">
      <c r="E40" s="9" t="s">
        <v>66</v>
      </c>
    </row>
    <row r="41" spans="1:13" customHeight="1" ht="15">
      <c r="E41" s="9" t="s">
        <v>67</v>
      </c>
    </row>
    <row r="42" spans="1:13" customHeight="1" ht="15">
      <c r="E42" s="9" t="s">
        <v>68</v>
      </c>
    </row>
    <row r="43" spans="1:13" customHeight="1" ht="15">
      <c r="E43" s="9" t="s">
        <v>69</v>
      </c>
    </row>
    <row r="44" spans="1:13" customHeight="1" ht="15">
      <c r="E44" s="9" t="s">
        <v>70</v>
      </c>
    </row>
    <row r="45" spans="1:13" customHeight="1" ht="15">
      <c r="E45" s="9" t="s">
        <v>71</v>
      </c>
    </row>
    <row r="46" spans="1:13" customHeight="1" ht="15">
      <c r="E46" s="9"/>
    </row>
    <row r="48" spans="1:13" customHeight="1" ht="18">
      <c r="A48" s="10" t="s">
        <v>72</v>
      </c>
      <c r="B48" s="10"/>
    </row>
    <row r="49" spans="1:13" customHeight="1" ht="15">
      <c r="A49" s="11" t="s">
        <v>88</v>
      </c>
      <c r="B49" s="11"/>
    </row>
    <row r="50" spans="1:13" customHeight="1" ht="14.25">
      <c r="A50" s="13"/>
      <c r="B50" s="14" t="s">
        <v>89</v>
      </c>
    </row>
    <row r="51" spans="1:13" customHeight="1" ht="15">
      <c r="A51" s="15" t="s">
        <v>75</v>
      </c>
      <c r="B51" s="15" t="s">
        <v>76</v>
      </c>
      <c r="C51" s="15" t="s">
        <v>77</v>
      </c>
      <c r="D51" s="15" t="s">
        <v>78</v>
      </c>
      <c r="E51" s="15" t="s">
        <v>79</v>
      </c>
    </row>
    <row r="52" spans="1:13" customHeight="1" ht="12.75">
      <c r="A52" s="12" t="s">
        <v>242</v>
      </c>
      <c r="B52" s="5" t="s">
        <v>149</v>
      </c>
      <c r="C52" s="5" t="s">
        <v>86</v>
      </c>
      <c r="D52" s="5" t="s">
        <v>214</v>
      </c>
      <c r="E52" s="16" t="s">
        <v>243</v>
      </c>
    </row>
    <row r="53" spans="1:13" customHeight="1" ht="12.75">
      <c r="A53" s="12" t="s">
        <v>244</v>
      </c>
      <c r="B53" s="5" t="s">
        <v>149</v>
      </c>
      <c r="C53" s="5" t="s">
        <v>86</v>
      </c>
      <c r="D53" s="5" t="s">
        <v>209</v>
      </c>
      <c r="E53" s="16" t="s">
        <v>245</v>
      </c>
    </row>
    <row r="54" spans="1:13" customHeight="1" ht="12.75">
      <c r="A54" s="12" t="s">
        <v>246</v>
      </c>
      <c r="B54" s="5" t="s">
        <v>91</v>
      </c>
      <c r="C54" s="5" t="s">
        <v>174</v>
      </c>
      <c r="D54" s="5" t="s">
        <v>86</v>
      </c>
      <c r="E54" s="16" t="s">
        <v>247</v>
      </c>
    </row>
    <row r="55" spans="1:13" customHeight="1" ht="12.75">
      <c r="A55" s="12" t="s">
        <v>248</v>
      </c>
      <c r="B55" s="5" t="s">
        <v>149</v>
      </c>
      <c r="C55" s="5" t="s">
        <v>249</v>
      </c>
      <c r="D55" s="5" t="s">
        <v>174</v>
      </c>
      <c r="E55" s="16" t="s">
        <v>250</v>
      </c>
    </row>
    <row r="56" spans="1:13" customHeight="1" ht="12.75">
      <c r="A56" s="12" t="s">
        <v>251</v>
      </c>
      <c r="B56" s="5" t="s">
        <v>149</v>
      </c>
      <c r="C56" s="5" t="s">
        <v>174</v>
      </c>
      <c r="D56" s="5" t="s">
        <v>125</v>
      </c>
      <c r="E56" s="16" t="s">
        <v>252</v>
      </c>
    </row>
    <row r="57" spans="1:13" customHeight="1" ht="12.75">
      <c r="A57" s="12" t="s">
        <v>253</v>
      </c>
      <c r="B57" s="5" t="s">
        <v>149</v>
      </c>
      <c r="C57" s="5" t="s">
        <v>254</v>
      </c>
      <c r="D57" s="5" t="s">
        <v>166</v>
      </c>
      <c r="E57" s="16" t="s">
        <v>255</v>
      </c>
    </row>
    <row r="59" spans="1:13" customHeight="1" ht="14.25">
      <c r="A59" s="13"/>
      <c r="B59" s="14" t="s">
        <v>96</v>
      </c>
    </row>
    <row r="60" spans="1:13" customHeight="1" ht="15">
      <c r="A60" s="15" t="s">
        <v>75</v>
      </c>
      <c r="B60" s="15" t="s">
        <v>76</v>
      </c>
      <c r="C60" s="15" t="s">
        <v>77</v>
      </c>
      <c r="D60" s="15" t="s">
        <v>78</v>
      </c>
      <c r="E60" s="15" t="s">
        <v>79</v>
      </c>
    </row>
    <row r="61" spans="1:13" customHeight="1" ht="12.75">
      <c r="A61" s="12" t="s">
        <v>256</v>
      </c>
      <c r="B61" s="5" t="s">
        <v>98</v>
      </c>
      <c r="C61" s="5" t="s">
        <v>86</v>
      </c>
      <c r="D61" s="5" t="s">
        <v>193</v>
      </c>
      <c r="E61" s="16" t="s">
        <v>257</v>
      </c>
    </row>
    <row r="62" spans="1:13" customHeight="1" ht="12.75">
      <c r="A62" s="12" t="s">
        <v>97</v>
      </c>
      <c r="B62" s="5" t="s">
        <v>98</v>
      </c>
      <c r="C62" s="5" t="s">
        <v>94</v>
      </c>
      <c r="D62" s="5" t="s">
        <v>28</v>
      </c>
      <c r="E62" s="16" t="s">
        <v>258</v>
      </c>
    </row>
    <row r="63" spans="1:13" customHeight="1" ht="12.75">
      <c r="A63" s="12" t="s">
        <v>259</v>
      </c>
      <c r="B63" s="5" t="s">
        <v>98</v>
      </c>
      <c r="C63" s="5" t="s">
        <v>19</v>
      </c>
      <c r="D63" s="5" t="s">
        <v>36</v>
      </c>
      <c r="E63" s="16" t="s">
        <v>260</v>
      </c>
    </row>
    <row r="64" spans="1:13" customHeight="1" ht="12.75">
      <c r="A64" s="12" t="s">
        <v>261</v>
      </c>
      <c r="B64" s="5" t="s">
        <v>98</v>
      </c>
      <c r="C64" s="5" t="s">
        <v>86</v>
      </c>
      <c r="D64" s="5" t="s">
        <v>222</v>
      </c>
      <c r="E64" s="16" t="s">
        <v>262</v>
      </c>
    </row>
    <row r="66" spans="1:13" customHeight="1" ht="14.25">
      <c r="A66" s="13"/>
      <c r="B66" s="14" t="s">
        <v>84</v>
      </c>
    </row>
    <row r="67" spans="1:13" customHeight="1" ht="15">
      <c r="A67" s="15" t="s">
        <v>75</v>
      </c>
      <c r="B67" s="15" t="s">
        <v>76</v>
      </c>
      <c r="C67" s="15" t="s">
        <v>77</v>
      </c>
      <c r="D67" s="15" t="s">
        <v>78</v>
      </c>
      <c r="E67" s="15" t="s">
        <v>79</v>
      </c>
    </row>
    <row r="68" spans="1:13" customHeight="1" ht="12.75">
      <c r="A68" s="12" t="s">
        <v>263</v>
      </c>
      <c r="B68" s="5" t="s">
        <v>84</v>
      </c>
      <c r="C68" s="5" t="s">
        <v>94</v>
      </c>
      <c r="D68" s="5" t="s">
        <v>229</v>
      </c>
      <c r="E68" s="16" t="s">
        <v>264</v>
      </c>
    </row>
    <row r="69" spans="1:13" customHeight="1" ht="12.75">
      <c r="A69" s="12" t="s">
        <v>265</v>
      </c>
      <c r="B69" s="5" t="s">
        <v>84</v>
      </c>
      <c r="C69" s="5" t="s">
        <v>101</v>
      </c>
      <c r="D69" s="5" t="s">
        <v>129</v>
      </c>
      <c r="E69" s="16" t="s">
        <v>266</v>
      </c>
    </row>
    <row r="70" spans="1:13" customHeight="1" ht="12.75">
      <c r="A70" s="12" t="s">
        <v>267</v>
      </c>
      <c r="B70" s="5" t="s">
        <v>84</v>
      </c>
      <c r="C70" s="5" t="s">
        <v>19</v>
      </c>
      <c r="D70" s="5" t="s">
        <v>28</v>
      </c>
      <c r="E70" s="16" t="s">
        <v>268</v>
      </c>
    </row>
    <row r="71" spans="1:13" customHeight="1" ht="12.75">
      <c r="A71" s="12" t="s">
        <v>269</v>
      </c>
      <c r="B71" s="5" t="s">
        <v>84</v>
      </c>
      <c r="C71" s="5" t="s">
        <v>19</v>
      </c>
      <c r="D71" s="5" t="s">
        <v>27</v>
      </c>
      <c r="E71" s="16" t="s">
        <v>270</v>
      </c>
    </row>
    <row r="72" spans="1:13" customHeight="1" ht="12.75">
      <c r="A72" s="12" t="s">
        <v>271</v>
      </c>
      <c r="B72" s="5" t="s">
        <v>84</v>
      </c>
      <c r="C72" s="5" t="s">
        <v>19</v>
      </c>
      <c r="D72" s="5" t="s">
        <v>27</v>
      </c>
      <c r="E72" s="16" t="s">
        <v>272</v>
      </c>
    </row>
    <row r="73" spans="1:13" customHeight="1" ht="12.75">
      <c r="A73" s="12" t="s">
        <v>273</v>
      </c>
      <c r="B73" s="5" t="s">
        <v>84</v>
      </c>
      <c r="C73" s="5" t="s">
        <v>36</v>
      </c>
      <c r="D73" s="5" t="s">
        <v>224</v>
      </c>
      <c r="E73" s="16" t="s">
        <v>274</v>
      </c>
    </row>
    <row r="74" spans="1:13" customHeight="1" ht="12.75">
      <c r="A74" s="12" t="s">
        <v>275</v>
      </c>
      <c r="B74" s="5" t="s">
        <v>84</v>
      </c>
      <c r="C74" s="5" t="s">
        <v>174</v>
      </c>
      <c r="D74" s="5" t="s">
        <v>101</v>
      </c>
      <c r="E74" s="16" t="s">
        <v>276</v>
      </c>
    </row>
    <row r="75" spans="1:13" customHeight="1" ht="12.75">
      <c r="A75" s="12" t="s">
        <v>277</v>
      </c>
      <c r="B75" s="5" t="s">
        <v>84</v>
      </c>
      <c r="C75" s="5" t="s">
        <v>19</v>
      </c>
      <c r="D75" s="5" t="s">
        <v>192</v>
      </c>
      <c r="E75" s="16" t="s">
        <v>278</v>
      </c>
    </row>
    <row r="77" spans="1:13" customHeight="1" ht="14.25">
      <c r="A77" s="13"/>
      <c r="B77" s="14" t="s">
        <v>105</v>
      </c>
    </row>
    <row r="78" spans="1:13" customHeight="1" ht="15">
      <c r="A78" s="15" t="s">
        <v>75</v>
      </c>
      <c r="B78" s="15" t="s">
        <v>76</v>
      </c>
      <c r="C78" s="15" t="s">
        <v>77</v>
      </c>
      <c r="D78" s="15" t="s">
        <v>78</v>
      </c>
      <c r="E78" s="15" t="s">
        <v>79</v>
      </c>
    </row>
    <row r="79" spans="1:13" customHeight="1" ht="12.75">
      <c r="A79" s="12" t="s">
        <v>279</v>
      </c>
      <c r="B79" s="5" t="s">
        <v>280</v>
      </c>
      <c r="C79" s="5" t="s">
        <v>94</v>
      </c>
      <c r="D79" s="5" t="s">
        <v>233</v>
      </c>
      <c r="E79" s="16" t="s">
        <v>281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A16:L16"/>
    <mergeCell ref="A23:L23"/>
    <mergeCell ref="A29:L29"/>
    <mergeCell ref="A34:L34"/>
    <mergeCell ref="A37:L37"/>
    <mergeCell ref="K3:K4"/>
    <mergeCell ref="L3:L4"/>
    <mergeCell ref="F3:F4"/>
    <mergeCell ref="G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0"/>
  <sheetViews>
    <sheetView tabSelected="0" workbookViewId="0" showGridLines="true" showRowColHeaders="1">
      <selection activeCell="E8" sqref="E8:F13"/>
    </sheetView>
  </sheetViews>
  <sheetFormatPr customHeight="true" defaultRowHeight="12.75" defaultColWidth="9.140625" outlineLevelRow="0" outlineLevelCol="0"/>
  <cols>
    <col min="1" max="1" width="26" customWidth="true" style="5"/>
    <col min="2" max="2" width="22.855468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5.5703125" customWidth="true" style="4"/>
    <col min="12" max="12" width="5.5703125" customWidth="true" style="4"/>
    <col min="13" max="13" width="5.5703125" customWidth="true" style="4"/>
    <col min="14" max="14" width="4.85546875" customWidth="true" style="4"/>
    <col min="15" max="15" width="5.5703125" customWidth="true" style="4"/>
    <col min="16" max="16" width="5.5703125" customWidth="true" style="4"/>
    <col min="17" max="17" width="5.5703125" customWidth="true" style="4"/>
    <col min="18" max="18" width="4.85546875" customWidth="true" style="4"/>
    <col min="19" max="19" width="7.85546875" customWidth="true" style="5"/>
    <col min="20" max="20" width="8.5703125" customWidth="true" style="4"/>
    <col min="21" max="21" width="8.85546875" customWidth="true" style="5"/>
  </cols>
  <sheetData>
    <row r="1" spans="1:21" customHeight="1" ht="29.1" s="3" customFormat="1">
      <c r="A1" s="34" t="s">
        <v>282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283</v>
      </c>
      <c r="H3" s="28"/>
      <c r="I3" s="28"/>
      <c r="J3" s="28"/>
      <c r="K3" s="28" t="s">
        <v>160</v>
      </c>
      <c r="L3" s="28"/>
      <c r="M3" s="28"/>
      <c r="N3" s="28"/>
      <c r="O3" s="28" t="s">
        <v>7</v>
      </c>
      <c r="P3" s="28"/>
      <c r="Q3" s="28"/>
      <c r="R3" s="28"/>
      <c r="S3" s="28" t="s">
        <v>284</v>
      </c>
      <c r="T3" s="28" t="s">
        <v>9</v>
      </c>
      <c r="U3" s="30" t="s">
        <v>10</v>
      </c>
    </row>
    <row r="4" spans="1:21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">
        <v>1</v>
      </c>
      <c r="L4" s="2">
        <v>2</v>
      </c>
      <c r="M4" s="2">
        <v>3</v>
      </c>
      <c r="N4" s="2" t="s">
        <v>11</v>
      </c>
      <c r="O4" s="2">
        <v>1</v>
      </c>
      <c r="P4" s="2">
        <v>2</v>
      </c>
      <c r="Q4" s="2">
        <v>3</v>
      </c>
      <c r="R4" s="2" t="s">
        <v>11</v>
      </c>
      <c r="S4" s="29"/>
      <c r="T4" s="29"/>
      <c r="U4" s="31"/>
    </row>
    <row r="5" spans="1:21" customHeight="1" ht="15">
      <c r="A5" s="32" t="s">
        <v>44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customHeight="1" ht="12.75">
      <c r="A6" s="6" t="s">
        <v>285</v>
      </c>
      <c r="B6" s="6" t="s">
        <v>286</v>
      </c>
      <c r="C6" s="6" t="s">
        <v>287</v>
      </c>
      <c r="D6" s="6" t="str">
        <f>"0,6230"</f>
        <v>0,6230</v>
      </c>
      <c r="E6" s="6" t="s">
        <v>16</v>
      </c>
      <c r="F6" s="6" t="s">
        <v>17</v>
      </c>
      <c r="G6" s="8" t="s">
        <v>130</v>
      </c>
      <c r="H6" s="8" t="s">
        <v>288</v>
      </c>
      <c r="I6" s="8" t="s">
        <v>55</v>
      </c>
      <c r="J6" s="7"/>
      <c r="K6" s="8" t="s">
        <v>49</v>
      </c>
      <c r="L6" s="8" t="s">
        <v>229</v>
      </c>
      <c r="M6" s="7" t="s">
        <v>289</v>
      </c>
      <c r="N6" s="7"/>
      <c r="O6" s="8" t="s">
        <v>130</v>
      </c>
      <c r="P6" s="8" t="s">
        <v>290</v>
      </c>
      <c r="Q6" s="7" t="s">
        <v>41</v>
      </c>
      <c r="R6" s="7"/>
      <c r="S6" s="6" t="str">
        <f>"595,0"</f>
        <v>595,0</v>
      </c>
      <c r="T6" s="8" t="str">
        <f>"370,6850"</f>
        <v>370,6850</v>
      </c>
      <c r="U6" s="6" t="s">
        <v>21</v>
      </c>
    </row>
    <row r="8" spans="1:21" customHeight="1" ht="15">
      <c r="E8" s="9" t="s">
        <v>66</v>
      </c>
    </row>
    <row r="9" spans="1:21" customHeight="1" ht="15">
      <c r="E9" s="9" t="s">
        <v>67</v>
      </c>
    </row>
    <row r="10" spans="1:21" customHeight="1" ht="15">
      <c r="E10" s="9" t="s">
        <v>68</v>
      </c>
    </row>
    <row r="11" spans="1:21" customHeight="1" ht="15">
      <c r="E11" s="9" t="s">
        <v>69</v>
      </c>
    </row>
    <row r="12" spans="1:21" customHeight="1" ht="15">
      <c r="E12" s="9" t="s">
        <v>70</v>
      </c>
    </row>
    <row r="13" spans="1:21" customHeight="1" ht="15">
      <c r="E13" s="9" t="s">
        <v>71</v>
      </c>
    </row>
    <row r="14" spans="1:21" customHeight="1" ht="15">
      <c r="E14" s="9"/>
    </row>
    <row r="16" spans="1:21" customHeight="1" ht="18">
      <c r="A16" s="10" t="s">
        <v>72</v>
      </c>
      <c r="B16" s="10"/>
    </row>
    <row r="17" spans="1:21" customHeight="1" ht="15">
      <c r="A17" s="11" t="s">
        <v>88</v>
      </c>
      <c r="B17" s="11"/>
    </row>
    <row r="18" spans="1:21" customHeight="1" ht="14.25">
      <c r="A18" s="13"/>
      <c r="B18" s="14" t="s">
        <v>84</v>
      </c>
    </row>
    <row r="19" spans="1:21" customHeight="1" ht="15">
      <c r="A19" s="15" t="s">
        <v>75</v>
      </c>
      <c r="B19" s="15" t="s">
        <v>76</v>
      </c>
      <c r="C19" s="15" t="s">
        <v>77</v>
      </c>
      <c r="D19" s="15" t="s">
        <v>78</v>
      </c>
      <c r="E19" s="15" t="s">
        <v>79</v>
      </c>
    </row>
    <row r="20" spans="1:21" customHeight="1" ht="12.75">
      <c r="A20" s="12" t="s">
        <v>291</v>
      </c>
      <c r="B20" s="5" t="s">
        <v>84</v>
      </c>
      <c r="C20" s="5" t="s">
        <v>94</v>
      </c>
      <c r="D20" s="5" t="s">
        <v>292</v>
      </c>
      <c r="E20" s="16" t="s">
        <v>293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3:F4"/>
    <mergeCell ref="G3:J3"/>
    <mergeCell ref="K3:N3"/>
    <mergeCell ref="O3:R3"/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53"/>
  <sheetViews>
    <sheetView tabSelected="0" workbookViewId="0" showGridLines="true" showRowColHeaders="1">
      <selection activeCell="E24" sqref="E24:F29"/>
    </sheetView>
  </sheetViews>
  <sheetFormatPr customHeight="true" defaultRowHeight="12.75" defaultColWidth="9.140625" outlineLevelRow="0" outlineLevelCol="0"/>
  <cols>
    <col min="1" max="1" width="26" customWidth="true" style="5"/>
    <col min="2" max="2" width="28.570312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8.2851562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5.5703125" customWidth="true" style="4"/>
    <col min="12" max="12" width="5.5703125" customWidth="true" style="4"/>
    <col min="13" max="13" width="5.5703125" customWidth="true" style="4"/>
    <col min="14" max="14" width="4.85546875" customWidth="true" style="4"/>
    <col min="15" max="15" width="5.5703125" customWidth="true" style="4"/>
    <col min="16" max="16" width="5.5703125" customWidth="true" style="4"/>
    <col min="17" max="17" width="5.5703125" customWidth="true" style="4"/>
    <col min="18" max="18" width="4.85546875" customWidth="true" style="4"/>
    <col min="19" max="19" width="7.85546875" customWidth="true" style="5"/>
    <col min="20" max="20" width="8.5703125" customWidth="true" style="4"/>
    <col min="21" max="21" width="8.85546875" customWidth="true" style="5"/>
  </cols>
  <sheetData>
    <row r="1" spans="1:21" customHeight="1" ht="29.1" s="3" customFormat="1">
      <c r="A1" s="34" t="s">
        <v>294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283</v>
      </c>
      <c r="H3" s="28"/>
      <c r="I3" s="28"/>
      <c r="J3" s="28"/>
      <c r="K3" s="28" t="s">
        <v>160</v>
      </c>
      <c r="L3" s="28"/>
      <c r="M3" s="28"/>
      <c r="N3" s="28"/>
      <c r="O3" s="28" t="s">
        <v>7</v>
      </c>
      <c r="P3" s="28"/>
      <c r="Q3" s="28"/>
      <c r="R3" s="28"/>
      <c r="S3" s="28" t="s">
        <v>284</v>
      </c>
      <c r="T3" s="28" t="s">
        <v>9</v>
      </c>
      <c r="U3" s="30" t="s">
        <v>10</v>
      </c>
    </row>
    <row r="4" spans="1:21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">
        <v>1</v>
      </c>
      <c r="L4" s="2">
        <v>2</v>
      </c>
      <c r="M4" s="2">
        <v>3</v>
      </c>
      <c r="N4" s="2" t="s">
        <v>11</v>
      </c>
      <c r="O4" s="2">
        <v>1</v>
      </c>
      <c r="P4" s="2">
        <v>2</v>
      </c>
      <c r="Q4" s="2">
        <v>3</v>
      </c>
      <c r="R4" s="2" t="s">
        <v>11</v>
      </c>
      <c r="S4" s="29"/>
      <c r="T4" s="29"/>
      <c r="U4" s="31"/>
    </row>
    <row r="5" spans="1:21" customHeight="1" ht="15">
      <c r="A5" s="32" t="s">
        <v>168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customHeight="1" ht="12.75">
      <c r="A6" s="6" t="s">
        <v>295</v>
      </c>
      <c r="B6" s="6" t="s">
        <v>296</v>
      </c>
      <c r="C6" s="6" t="s">
        <v>297</v>
      </c>
      <c r="D6" s="6" t="str">
        <f>"1,0514"</f>
        <v>1,0514</v>
      </c>
      <c r="E6" s="6" t="s">
        <v>16</v>
      </c>
      <c r="F6" s="6" t="s">
        <v>26</v>
      </c>
      <c r="G6" s="8" t="s">
        <v>209</v>
      </c>
      <c r="H6" s="8" t="s">
        <v>101</v>
      </c>
      <c r="I6" s="8" t="s">
        <v>233</v>
      </c>
      <c r="J6" s="7"/>
      <c r="K6" s="8" t="s">
        <v>123</v>
      </c>
      <c r="L6" s="7" t="s">
        <v>124</v>
      </c>
      <c r="M6" s="7" t="s">
        <v>124</v>
      </c>
      <c r="N6" s="7"/>
      <c r="O6" s="8" t="s">
        <v>101</v>
      </c>
      <c r="P6" s="7" t="s">
        <v>234</v>
      </c>
      <c r="Q6" s="7" t="s">
        <v>234</v>
      </c>
      <c r="R6" s="7"/>
      <c r="S6" s="6" t="str">
        <f>"275,0"</f>
        <v>275,0</v>
      </c>
      <c r="T6" s="8" t="str">
        <f>"289,1350"</f>
        <v>289,1350</v>
      </c>
      <c r="U6" s="6" t="s">
        <v>21</v>
      </c>
    </row>
    <row r="8" spans="1:21" customHeight="1" ht="15">
      <c r="A8" s="26" t="s">
        <v>168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1" customHeight="1" ht="12.75">
      <c r="A9" s="6" t="s">
        <v>298</v>
      </c>
      <c r="B9" s="6" t="s">
        <v>299</v>
      </c>
      <c r="C9" s="6" t="s">
        <v>300</v>
      </c>
      <c r="D9" s="6" t="str">
        <f>"0,8959"</f>
        <v>0,8959</v>
      </c>
      <c r="E9" s="6" t="s">
        <v>16</v>
      </c>
      <c r="F9" s="6" t="s">
        <v>48</v>
      </c>
      <c r="G9" s="8" t="s">
        <v>18</v>
      </c>
      <c r="H9" s="8" t="s">
        <v>182</v>
      </c>
      <c r="I9" s="7" t="s">
        <v>34</v>
      </c>
      <c r="J9" s="7"/>
      <c r="K9" s="8" t="s">
        <v>301</v>
      </c>
      <c r="L9" s="8" t="s">
        <v>123</v>
      </c>
      <c r="M9" s="7" t="s">
        <v>124</v>
      </c>
      <c r="N9" s="7"/>
      <c r="O9" s="8" t="s">
        <v>302</v>
      </c>
      <c r="P9" s="8" t="s">
        <v>94</v>
      </c>
      <c r="Q9" s="7" t="s">
        <v>209</v>
      </c>
      <c r="R9" s="7"/>
      <c r="S9" s="6" t="str">
        <f>"225,0"</f>
        <v>225,0</v>
      </c>
      <c r="T9" s="8" t="str">
        <f>"201,5663"</f>
        <v>201,5663</v>
      </c>
      <c r="U9" s="6" t="s">
        <v>21</v>
      </c>
    </row>
    <row r="11" spans="1:21" customHeight="1" ht="15">
      <c r="A11" s="26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1" customHeight="1" ht="12.75">
      <c r="A12" s="6" t="s">
        <v>303</v>
      </c>
      <c r="B12" s="6" t="s">
        <v>304</v>
      </c>
      <c r="C12" s="6" t="s">
        <v>305</v>
      </c>
      <c r="D12" s="6" t="str">
        <f>"0,7197"</f>
        <v>0,7197</v>
      </c>
      <c r="E12" s="6" t="s">
        <v>16</v>
      </c>
      <c r="F12" s="6" t="s">
        <v>306</v>
      </c>
      <c r="G12" s="8" t="s">
        <v>193</v>
      </c>
      <c r="H12" s="8" t="s">
        <v>218</v>
      </c>
      <c r="I12" s="8" t="s">
        <v>307</v>
      </c>
      <c r="J12" s="7"/>
      <c r="K12" s="8" t="s">
        <v>233</v>
      </c>
      <c r="L12" s="8" t="s">
        <v>308</v>
      </c>
      <c r="M12" s="7" t="s">
        <v>27</v>
      </c>
      <c r="N12" s="7"/>
      <c r="O12" s="8" t="s">
        <v>218</v>
      </c>
      <c r="P12" s="8" t="s">
        <v>49</v>
      </c>
      <c r="Q12" s="8" t="s">
        <v>229</v>
      </c>
      <c r="R12" s="7"/>
      <c r="S12" s="6" t="str">
        <f>"447,5"</f>
        <v>447,5</v>
      </c>
      <c r="T12" s="8" t="str">
        <f>"322,0657"</f>
        <v>322,0657</v>
      </c>
      <c r="U12" s="6" t="s">
        <v>21</v>
      </c>
    </row>
    <row r="14" spans="1:21" customHeight="1" ht="15">
      <c r="A14" s="26" t="s">
        <v>22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1" customHeight="1" ht="12.75">
      <c r="A15" s="17" t="s">
        <v>309</v>
      </c>
      <c r="B15" s="17" t="s">
        <v>310</v>
      </c>
      <c r="C15" s="17" t="s">
        <v>311</v>
      </c>
      <c r="D15" s="17" t="str">
        <f>"0,6518"</f>
        <v>0,6518</v>
      </c>
      <c r="E15" s="17" t="s">
        <v>16</v>
      </c>
      <c r="F15" s="17" t="s">
        <v>26</v>
      </c>
      <c r="G15" s="19" t="s">
        <v>130</v>
      </c>
      <c r="H15" s="19" t="s">
        <v>312</v>
      </c>
      <c r="I15" s="18" t="s">
        <v>313</v>
      </c>
      <c r="J15" s="18"/>
      <c r="K15" s="18" t="s">
        <v>193</v>
      </c>
      <c r="L15" s="18" t="s">
        <v>193</v>
      </c>
      <c r="M15" s="19" t="s">
        <v>193</v>
      </c>
      <c r="N15" s="18"/>
      <c r="O15" s="19" t="s">
        <v>55</v>
      </c>
      <c r="P15" s="19" t="s">
        <v>314</v>
      </c>
      <c r="Q15" s="18" t="s">
        <v>315</v>
      </c>
      <c r="R15" s="18"/>
      <c r="S15" s="17" t="str">
        <f>"560,0"</f>
        <v>560,0</v>
      </c>
      <c r="T15" s="19" t="str">
        <f>"365,0360"</f>
        <v>365,0360</v>
      </c>
      <c r="U15" s="17" t="s">
        <v>21</v>
      </c>
    </row>
    <row r="16" spans="1:21" customHeight="1" ht="12.75">
      <c r="A16" s="20" t="s">
        <v>316</v>
      </c>
      <c r="B16" s="20" t="s">
        <v>317</v>
      </c>
      <c r="C16" s="20" t="s">
        <v>318</v>
      </c>
      <c r="D16" s="20" t="str">
        <f>"0,6503"</f>
        <v>0,6503</v>
      </c>
      <c r="E16" s="20" t="s">
        <v>16</v>
      </c>
      <c r="F16" s="20" t="s">
        <v>17</v>
      </c>
      <c r="G16" s="22" t="s">
        <v>28</v>
      </c>
      <c r="H16" s="22" t="s">
        <v>29</v>
      </c>
      <c r="I16" s="22" t="s">
        <v>49</v>
      </c>
      <c r="J16" s="21"/>
      <c r="K16" s="22" t="s">
        <v>34</v>
      </c>
      <c r="L16" s="22" t="s">
        <v>101</v>
      </c>
      <c r="M16" s="22" t="s">
        <v>234</v>
      </c>
      <c r="N16" s="21"/>
      <c r="O16" s="22" t="s">
        <v>49</v>
      </c>
      <c r="P16" s="22" t="s">
        <v>289</v>
      </c>
      <c r="Q16" s="22" t="s">
        <v>319</v>
      </c>
      <c r="R16" s="21"/>
      <c r="S16" s="20" t="str">
        <f>"467,5"</f>
        <v>467,5</v>
      </c>
      <c r="T16" s="22" t="str">
        <f>"303,9919"</f>
        <v>303,9919</v>
      </c>
      <c r="U16" s="20" t="s">
        <v>21</v>
      </c>
    </row>
    <row r="18" spans="1:21" customHeight="1" ht="15">
      <c r="A18" s="26" t="s">
        <v>131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1" customHeight="1" ht="12.75">
      <c r="A19" s="6" t="s">
        <v>320</v>
      </c>
      <c r="B19" s="6" t="s">
        <v>321</v>
      </c>
      <c r="C19" s="6" t="s">
        <v>140</v>
      </c>
      <c r="D19" s="6" t="str">
        <f>"0,5878"</f>
        <v>0,5878</v>
      </c>
      <c r="E19" s="6" t="s">
        <v>16</v>
      </c>
      <c r="F19" s="6" t="s">
        <v>322</v>
      </c>
      <c r="G19" s="7" t="s">
        <v>28</v>
      </c>
      <c r="H19" s="8" t="s">
        <v>28</v>
      </c>
      <c r="I19" s="8" t="s">
        <v>29</v>
      </c>
      <c r="J19" s="7"/>
      <c r="K19" s="8" t="s">
        <v>101</v>
      </c>
      <c r="L19" s="7" t="s">
        <v>233</v>
      </c>
      <c r="M19" s="7" t="s">
        <v>233</v>
      </c>
      <c r="N19" s="7"/>
      <c r="O19" s="8" t="s">
        <v>49</v>
      </c>
      <c r="P19" s="8" t="s">
        <v>323</v>
      </c>
      <c r="Q19" s="8" t="s">
        <v>129</v>
      </c>
      <c r="R19" s="7"/>
      <c r="S19" s="6" t="str">
        <f>"440,0"</f>
        <v>440,0</v>
      </c>
      <c r="T19" s="8" t="str">
        <f>"269,7302"</f>
        <v>269,7302</v>
      </c>
      <c r="U19" s="6" t="s">
        <v>21</v>
      </c>
    </row>
    <row r="21" spans="1:21" customHeight="1" ht="15">
      <c r="A21" s="26" t="s">
        <v>143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1" customHeight="1" ht="12.75">
      <c r="A22" s="6" t="s">
        <v>324</v>
      </c>
      <c r="B22" s="6" t="s">
        <v>325</v>
      </c>
      <c r="C22" s="6" t="s">
        <v>326</v>
      </c>
      <c r="D22" s="6" t="str">
        <f>"0,5376"</f>
        <v>0,5376</v>
      </c>
      <c r="E22" s="6" t="s">
        <v>16</v>
      </c>
      <c r="F22" s="6" t="s">
        <v>17</v>
      </c>
      <c r="G22" s="8" t="s">
        <v>229</v>
      </c>
      <c r="H22" s="8" t="s">
        <v>129</v>
      </c>
      <c r="I22" s="8" t="s">
        <v>50</v>
      </c>
      <c r="J22" s="7"/>
      <c r="K22" s="8" t="s">
        <v>193</v>
      </c>
      <c r="L22" s="8" t="s">
        <v>327</v>
      </c>
      <c r="M22" s="7" t="s">
        <v>28</v>
      </c>
      <c r="N22" s="7"/>
      <c r="O22" s="8" t="s">
        <v>229</v>
      </c>
      <c r="P22" s="8" t="s">
        <v>129</v>
      </c>
      <c r="Q22" s="8" t="s">
        <v>130</v>
      </c>
      <c r="R22" s="7"/>
      <c r="S22" s="6" t="str">
        <f>"512,5"</f>
        <v>512,5</v>
      </c>
      <c r="T22" s="8" t="str">
        <f>"311,3318"</f>
        <v>311,3318</v>
      </c>
      <c r="U22" s="6" t="s">
        <v>21</v>
      </c>
    </row>
    <row r="24" spans="1:21" customHeight="1" ht="15">
      <c r="E24" s="9" t="s">
        <v>66</v>
      </c>
    </row>
    <row r="25" spans="1:21" customHeight="1" ht="15">
      <c r="E25" s="9" t="s">
        <v>67</v>
      </c>
    </row>
    <row r="26" spans="1:21" customHeight="1" ht="15">
      <c r="E26" s="9" t="s">
        <v>68</v>
      </c>
    </row>
    <row r="27" spans="1:21" customHeight="1" ht="15">
      <c r="E27" s="9" t="s">
        <v>69</v>
      </c>
    </row>
    <row r="28" spans="1:21" customHeight="1" ht="15">
      <c r="E28" s="9" t="s">
        <v>70</v>
      </c>
    </row>
    <row r="29" spans="1:21" customHeight="1" ht="15">
      <c r="E29" s="9" t="s">
        <v>71</v>
      </c>
    </row>
    <row r="30" spans="1:21" customHeight="1" ht="15">
      <c r="E30" s="9"/>
    </row>
    <row r="32" spans="1:21" customHeight="1" ht="18">
      <c r="A32" s="10" t="s">
        <v>72</v>
      </c>
      <c r="B32" s="10"/>
    </row>
    <row r="33" spans="1:21" customHeight="1" ht="15">
      <c r="A33" s="11" t="s">
        <v>73</v>
      </c>
      <c r="B33" s="11"/>
    </row>
    <row r="34" spans="1:21" customHeight="1" ht="14.25">
      <c r="A34" s="13"/>
      <c r="B34" s="14" t="s">
        <v>84</v>
      </c>
    </row>
    <row r="35" spans="1:21" customHeight="1" ht="15">
      <c r="A35" s="15" t="s">
        <v>75</v>
      </c>
      <c r="B35" s="15" t="s">
        <v>76</v>
      </c>
      <c r="C35" s="15" t="s">
        <v>77</v>
      </c>
      <c r="D35" s="15" t="s">
        <v>78</v>
      </c>
      <c r="E35" s="15" t="s">
        <v>79</v>
      </c>
    </row>
    <row r="36" spans="1:21" customHeight="1" ht="12.75">
      <c r="A36" s="12" t="s">
        <v>328</v>
      </c>
      <c r="B36" s="5" t="s">
        <v>84</v>
      </c>
      <c r="C36" s="5" t="s">
        <v>249</v>
      </c>
      <c r="D36" s="5" t="s">
        <v>329</v>
      </c>
      <c r="E36" s="16" t="s">
        <v>330</v>
      </c>
    </row>
    <row r="39" spans="1:21" customHeight="1" ht="15">
      <c r="A39" s="11" t="s">
        <v>88</v>
      </c>
      <c r="B39" s="11"/>
    </row>
    <row r="40" spans="1:21" customHeight="1" ht="14.25">
      <c r="A40" s="13"/>
      <c r="B40" s="14" t="s">
        <v>89</v>
      </c>
    </row>
    <row r="41" spans="1:21" customHeight="1" ht="15">
      <c r="A41" s="15" t="s">
        <v>75</v>
      </c>
      <c r="B41" s="15" t="s">
        <v>76</v>
      </c>
      <c r="C41" s="15" t="s">
        <v>77</v>
      </c>
      <c r="D41" s="15" t="s">
        <v>78</v>
      </c>
      <c r="E41" s="15" t="s">
        <v>79</v>
      </c>
    </row>
    <row r="42" spans="1:21" customHeight="1" ht="12.75">
      <c r="A42" s="12" t="s">
        <v>331</v>
      </c>
      <c r="B42" s="5" t="s">
        <v>149</v>
      </c>
      <c r="C42" s="5" t="s">
        <v>249</v>
      </c>
      <c r="D42" s="5" t="s">
        <v>314</v>
      </c>
      <c r="E42" s="16" t="s">
        <v>332</v>
      </c>
    </row>
    <row r="44" spans="1:21" customHeight="1" ht="14.25">
      <c r="A44" s="13"/>
      <c r="B44" s="14" t="s">
        <v>84</v>
      </c>
    </row>
    <row r="45" spans="1:21" customHeight="1" ht="15">
      <c r="A45" s="15" t="s">
        <v>75</v>
      </c>
      <c r="B45" s="15" t="s">
        <v>76</v>
      </c>
      <c r="C45" s="15" t="s">
        <v>77</v>
      </c>
      <c r="D45" s="15" t="s">
        <v>78</v>
      </c>
      <c r="E45" s="15" t="s">
        <v>79</v>
      </c>
    </row>
    <row r="46" spans="1:21" customHeight="1" ht="12.75">
      <c r="A46" s="12" t="s">
        <v>333</v>
      </c>
      <c r="B46" s="5" t="s">
        <v>84</v>
      </c>
      <c r="C46" s="5" t="s">
        <v>86</v>
      </c>
      <c r="D46" s="5" t="s">
        <v>334</v>
      </c>
      <c r="E46" s="16" t="s">
        <v>335</v>
      </c>
    </row>
    <row r="47" spans="1:21" customHeight="1" ht="12.75">
      <c r="A47" s="12" t="s">
        <v>336</v>
      </c>
      <c r="B47" s="5" t="s">
        <v>84</v>
      </c>
      <c r="C47" s="5" t="s">
        <v>19</v>
      </c>
      <c r="D47" s="5" t="s">
        <v>337</v>
      </c>
      <c r="E47" s="16" t="s">
        <v>338</v>
      </c>
    </row>
    <row r="48" spans="1:21" customHeight="1" ht="12.75">
      <c r="A48" s="12" t="s">
        <v>339</v>
      </c>
      <c r="B48" s="5" t="s">
        <v>84</v>
      </c>
      <c r="C48" s="5" t="s">
        <v>86</v>
      </c>
      <c r="D48" s="5" t="s">
        <v>340</v>
      </c>
      <c r="E48" s="16" t="s">
        <v>341</v>
      </c>
    </row>
    <row r="50" spans="1:21" customHeight="1" ht="14.25">
      <c r="A50" s="13"/>
      <c r="B50" s="14" t="s">
        <v>105</v>
      </c>
    </row>
    <row r="51" spans="1:21" customHeight="1" ht="15">
      <c r="A51" s="15" t="s">
        <v>75</v>
      </c>
      <c r="B51" s="15" t="s">
        <v>76</v>
      </c>
      <c r="C51" s="15" t="s">
        <v>77</v>
      </c>
      <c r="D51" s="15" t="s">
        <v>78</v>
      </c>
      <c r="E51" s="15" t="s">
        <v>79</v>
      </c>
    </row>
    <row r="52" spans="1:21" customHeight="1" ht="12.75">
      <c r="A52" s="12" t="s">
        <v>342</v>
      </c>
      <c r="B52" s="5" t="s">
        <v>280</v>
      </c>
      <c r="C52" s="5" t="s">
        <v>28</v>
      </c>
      <c r="D52" s="5" t="s">
        <v>343</v>
      </c>
      <c r="E52" s="16" t="s">
        <v>344</v>
      </c>
    </row>
    <row r="53" spans="1:21" customHeight="1" ht="12.75">
      <c r="A53" s="12" t="s">
        <v>345</v>
      </c>
      <c r="B53" s="5" t="s">
        <v>106</v>
      </c>
      <c r="C53" s="5" t="s">
        <v>34</v>
      </c>
      <c r="D53" s="5" t="s">
        <v>346</v>
      </c>
      <c r="E53" s="16" t="s">
        <v>347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14:T14"/>
    <mergeCell ref="A18:T18"/>
    <mergeCell ref="A21:T21"/>
    <mergeCell ref="S3:S4"/>
    <mergeCell ref="T3:T4"/>
    <mergeCell ref="U3:U4"/>
    <mergeCell ref="A5:T5"/>
    <mergeCell ref="A8:T8"/>
    <mergeCell ref="A11:T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0"/>
  <sheetViews>
    <sheetView tabSelected="0" workbookViewId="0" showGridLines="true" showRowColHeaders="1">
      <selection activeCell="E9" sqref="E9"/>
    </sheetView>
  </sheetViews>
  <sheetFormatPr customHeight="true" defaultRowHeight="12.75" defaultColWidth="9.140625" outlineLevelRow="0" outlineLevelCol="0"/>
  <cols>
    <col min="1" max="1" width="26" customWidth="true" style="5"/>
    <col min="2" max="2" width="28.570312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6.8554687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8.85546875" customWidth="true" style="5"/>
  </cols>
  <sheetData>
    <row r="1" spans="1:13" customHeight="1" ht="29.1" s="3" customFormat="1">
      <c r="A1" s="34" t="s">
        <v>348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160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44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6" t="s">
        <v>349</v>
      </c>
      <c r="B6" s="6" t="s">
        <v>350</v>
      </c>
      <c r="C6" s="6" t="s">
        <v>351</v>
      </c>
      <c r="D6" s="6" t="str">
        <f>"0,6149"</f>
        <v>0,6149</v>
      </c>
      <c r="E6" s="6" t="s">
        <v>61</v>
      </c>
      <c r="F6" s="6" t="s">
        <v>17</v>
      </c>
      <c r="G6" s="8" t="s">
        <v>312</v>
      </c>
      <c r="H6" s="8" t="s">
        <v>290</v>
      </c>
      <c r="I6" s="7" t="s">
        <v>41</v>
      </c>
      <c r="J6" s="7"/>
      <c r="K6" s="6" t="str">
        <f>"210,0"</f>
        <v>210,0</v>
      </c>
      <c r="L6" s="8" t="str">
        <f>"143,7206"</f>
        <v>143,7206</v>
      </c>
      <c r="M6" s="6" t="s">
        <v>21</v>
      </c>
    </row>
    <row r="8" spans="1:13" customHeight="1" ht="15">
      <c r="E8" s="9" t="s">
        <v>66</v>
      </c>
    </row>
    <row r="9" spans="1:13" customHeight="1" ht="15">
      <c r="E9" s="9" t="s">
        <v>67</v>
      </c>
    </row>
    <row r="10" spans="1:13" customHeight="1" ht="15">
      <c r="E10" s="9" t="s">
        <v>68</v>
      </c>
    </row>
    <row r="11" spans="1:13" customHeight="1" ht="15">
      <c r="E11" s="9" t="s">
        <v>69</v>
      </c>
    </row>
    <row r="12" spans="1:13" customHeight="1" ht="15">
      <c r="E12" s="9" t="s">
        <v>70</v>
      </c>
    </row>
    <row r="13" spans="1:13" customHeight="1" ht="15">
      <c r="E13" s="9" t="s">
        <v>71</v>
      </c>
    </row>
    <row r="14" spans="1:13" customHeight="1" ht="15">
      <c r="E14" s="9"/>
    </row>
    <row r="16" spans="1:13" customHeight="1" ht="18">
      <c r="A16" s="10" t="s">
        <v>72</v>
      </c>
      <c r="B16" s="10"/>
    </row>
    <row r="17" spans="1:13" customHeight="1" ht="15">
      <c r="A17" s="11" t="s">
        <v>88</v>
      </c>
      <c r="B17" s="11"/>
    </row>
    <row r="18" spans="1:13" customHeight="1" ht="14.25">
      <c r="A18" s="13"/>
      <c r="B18" s="14" t="s">
        <v>105</v>
      </c>
    </row>
    <row r="19" spans="1:13" customHeight="1" ht="15">
      <c r="A19" s="15" t="s">
        <v>75</v>
      </c>
      <c r="B19" s="15" t="s">
        <v>76</v>
      </c>
      <c r="C19" s="15" t="s">
        <v>77</v>
      </c>
      <c r="D19" s="15" t="s">
        <v>78</v>
      </c>
      <c r="E19" s="15" t="s">
        <v>79</v>
      </c>
    </row>
    <row r="20" spans="1:13" customHeight="1" ht="12.75">
      <c r="A20" s="12" t="s">
        <v>352</v>
      </c>
      <c r="B20" s="5" t="s">
        <v>353</v>
      </c>
      <c r="C20" s="5" t="s">
        <v>94</v>
      </c>
      <c r="D20" s="5" t="s">
        <v>290</v>
      </c>
      <c r="E20" s="16" t="s">
        <v>354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3:F4"/>
    <mergeCell ref="G3:J3"/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61"/>
  <sheetViews>
    <sheetView tabSelected="0" workbookViewId="0" showGridLines="true" showRowColHeaders="1">
      <selection activeCell="E29" sqref="E29:F34"/>
    </sheetView>
  </sheetViews>
  <sheetFormatPr customHeight="true" defaultRowHeight="12.75" defaultColWidth="9.140625" outlineLevelRow="0" outlineLevelCol="0"/>
  <cols>
    <col min="1" max="1" width="26" customWidth="true" style="5"/>
    <col min="2" max="2" width="28.570312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33.2851562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7.85546875" customWidth="true" style="5"/>
    <col min="12" max="12" width="8.5703125" customWidth="true" style="4"/>
    <col min="13" max="13" width="14.85546875" customWidth="true" style="5"/>
  </cols>
  <sheetData>
    <row r="1" spans="1:13" customHeight="1" ht="29.1" s="3" customFormat="1">
      <c r="A1" s="34" t="s">
        <v>355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160</v>
      </c>
      <c r="H3" s="28"/>
      <c r="I3" s="28"/>
      <c r="J3" s="28"/>
      <c r="K3" s="28" t="s">
        <v>8</v>
      </c>
      <c r="L3" s="28" t="s">
        <v>9</v>
      </c>
      <c r="M3" s="30" t="s">
        <v>10</v>
      </c>
    </row>
    <row r="4" spans="1:13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9"/>
      <c r="L4" s="29"/>
      <c r="M4" s="31"/>
    </row>
    <row r="5" spans="1:13" customHeight="1" ht="15">
      <c r="A5" s="32" t="s">
        <v>161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customHeight="1" ht="12.75">
      <c r="A6" s="17" t="s">
        <v>356</v>
      </c>
      <c r="B6" s="17" t="s">
        <v>357</v>
      </c>
      <c r="C6" s="17" t="s">
        <v>358</v>
      </c>
      <c r="D6" s="17" t="str">
        <f>"1,3243"</f>
        <v>1,3243</v>
      </c>
      <c r="E6" s="17" t="s">
        <v>16</v>
      </c>
      <c r="F6" s="17" t="s">
        <v>17</v>
      </c>
      <c r="G6" s="19" t="s">
        <v>359</v>
      </c>
      <c r="H6" s="19" t="s">
        <v>360</v>
      </c>
      <c r="I6" s="18" t="s">
        <v>361</v>
      </c>
      <c r="J6" s="18"/>
      <c r="K6" s="17" t="str">
        <f>"25,0"</f>
        <v>25,0</v>
      </c>
      <c r="L6" s="19" t="str">
        <f>"67,8729"</f>
        <v>67,8729</v>
      </c>
      <c r="M6" s="17" t="s">
        <v>362</v>
      </c>
    </row>
    <row r="7" spans="1:13" customHeight="1" ht="12.75">
      <c r="A7" s="20" t="s">
        <v>363</v>
      </c>
      <c r="B7" s="20" t="s">
        <v>364</v>
      </c>
      <c r="C7" s="20" t="s">
        <v>365</v>
      </c>
      <c r="D7" s="20" t="str">
        <f>"1,3243"</f>
        <v>1,3243</v>
      </c>
      <c r="E7" s="20" t="s">
        <v>61</v>
      </c>
      <c r="F7" s="20" t="s">
        <v>17</v>
      </c>
      <c r="G7" s="22" t="s">
        <v>360</v>
      </c>
      <c r="H7" s="21" t="s">
        <v>361</v>
      </c>
      <c r="I7" s="21" t="s">
        <v>361</v>
      </c>
      <c r="J7" s="21"/>
      <c r="K7" s="20" t="str">
        <f>"25,0"</f>
        <v>25,0</v>
      </c>
      <c r="L7" s="22" t="str">
        <f>"33,1087"</f>
        <v>33,1087</v>
      </c>
      <c r="M7" s="20" t="s">
        <v>366</v>
      </c>
    </row>
    <row r="9" spans="1:13" customHeight="1" ht="15">
      <c r="A9" s="26" t="s">
        <v>168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 customHeight="1" ht="12.75">
      <c r="A10" s="6" t="s">
        <v>367</v>
      </c>
      <c r="B10" s="6" t="s">
        <v>368</v>
      </c>
      <c r="C10" s="6" t="s">
        <v>369</v>
      </c>
      <c r="D10" s="6" t="str">
        <f>"0,9275"</f>
        <v>0,9275</v>
      </c>
      <c r="E10" s="6" t="s">
        <v>61</v>
      </c>
      <c r="F10" s="6" t="s">
        <v>17</v>
      </c>
      <c r="G10" s="8" t="s">
        <v>302</v>
      </c>
      <c r="H10" s="7" t="s">
        <v>370</v>
      </c>
      <c r="I10" s="8" t="s">
        <v>19</v>
      </c>
      <c r="J10" s="7"/>
      <c r="K10" s="6" t="str">
        <f>"75,0"</f>
        <v>75,0</v>
      </c>
      <c r="L10" s="8" t="str">
        <f>"69,5625"</f>
        <v>69,5625</v>
      </c>
      <c r="M10" s="6" t="s">
        <v>371</v>
      </c>
    </row>
    <row r="12" spans="1:13" customHeight="1" ht="15">
      <c r="A12" s="26" t="s">
        <v>30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3" customHeight="1" ht="12.75">
      <c r="A13" s="17" t="s">
        <v>372</v>
      </c>
      <c r="B13" s="17" t="s">
        <v>373</v>
      </c>
      <c r="C13" s="17" t="s">
        <v>374</v>
      </c>
      <c r="D13" s="17" t="str">
        <f>"0,6998"</f>
        <v>0,6998</v>
      </c>
      <c r="E13" s="17" t="s">
        <v>16</v>
      </c>
      <c r="F13" s="17" t="s">
        <v>17</v>
      </c>
      <c r="G13" s="19" t="s">
        <v>233</v>
      </c>
      <c r="H13" s="19" t="s">
        <v>308</v>
      </c>
      <c r="I13" s="19" t="s">
        <v>375</v>
      </c>
      <c r="J13" s="18"/>
      <c r="K13" s="17" t="str">
        <f>"132,5"</f>
        <v>132,5</v>
      </c>
      <c r="L13" s="19" t="str">
        <f>"92,7169"</f>
        <v>92,7169</v>
      </c>
      <c r="M13" s="17" t="s">
        <v>21</v>
      </c>
    </row>
    <row r="14" spans="1:13" customHeight="1" ht="12.75">
      <c r="A14" s="20" t="s">
        <v>376</v>
      </c>
      <c r="B14" s="20" t="s">
        <v>377</v>
      </c>
      <c r="C14" s="20" t="s">
        <v>378</v>
      </c>
      <c r="D14" s="20" t="str">
        <f>"0,7288"</f>
        <v>0,7288</v>
      </c>
      <c r="E14" s="20" t="s">
        <v>16</v>
      </c>
      <c r="F14" s="20" t="s">
        <v>26</v>
      </c>
      <c r="G14" s="22" t="s">
        <v>209</v>
      </c>
      <c r="H14" s="21" t="s">
        <v>233</v>
      </c>
      <c r="I14" s="21" t="s">
        <v>192</v>
      </c>
      <c r="J14" s="21"/>
      <c r="K14" s="20" t="str">
        <f>"105,0"</f>
        <v>105,0</v>
      </c>
      <c r="L14" s="22" t="str">
        <f>"76,5240"</f>
        <v>76,5240</v>
      </c>
      <c r="M14" s="20" t="s">
        <v>21</v>
      </c>
    </row>
    <row r="16" spans="1:13" customHeight="1" ht="15">
      <c r="A16" s="26" t="s">
        <v>44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3" customHeight="1" ht="12.75">
      <c r="A17" s="17" t="s">
        <v>379</v>
      </c>
      <c r="B17" s="17" t="s">
        <v>380</v>
      </c>
      <c r="C17" s="17" t="s">
        <v>381</v>
      </c>
      <c r="D17" s="17" t="str">
        <f>"0,6192"</f>
        <v>0,6192</v>
      </c>
      <c r="E17" s="17" t="s">
        <v>16</v>
      </c>
      <c r="F17" s="17" t="s">
        <v>48</v>
      </c>
      <c r="G17" s="19" t="s">
        <v>29</v>
      </c>
      <c r="H17" s="19" t="s">
        <v>382</v>
      </c>
      <c r="I17" s="19" t="s">
        <v>383</v>
      </c>
      <c r="J17" s="18"/>
      <c r="K17" s="17" t="str">
        <f>"165,0"</f>
        <v>165,0</v>
      </c>
      <c r="L17" s="19" t="str">
        <f>"102,1762"</f>
        <v>102,1762</v>
      </c>
      <c r="M17" s="17" t="s">
        <v>21</v>
      </c>
    </row>
    <row r="18" spans="1:13" customHeight="1" ht="12.75">
      <c r="A18" s="23" t="s">
        <v>384</v>
      </c>
      <c r="B18" s="23" t="s">
        <v>385</v>
      </c>
      <c r="C18" s="23" t="s">
        <v>386</v>
      </c>
      <c r="D18" s="23" t="str">
        <f>"0,6161"</f>
        <v>0,6161</v>
      </c>
      <c r="E18" s="23" t="s">
        <v>16</v>
      </c>
      <c r="F18" s="23" t="s">
        <v>113</v>
      </c>
      <c r="G18" s="25" t="s">
        <v>49</v>
      </c>
      <c r="H18" s="24" t="s">
        <v>383</v>
      </c>
      <c r="I18" s="24" t="s">
        <v>383</v>
      </c>
      <c r="J18" s="24"/>
      <c r="K18" s="23" t="str">
        <f>"160,0"</f>
        <v>160,0</v>
      </c>
      <c r="L18" s="25" t="str">
        <f>"98,5680"</f>
        <v>98,5680</v>
      </c>
      <c r="M18" s="23" t="s">
        <v>21</v>
      </c>
    </row>
    <row r="19" spans="1:13" customHeight="1" ht="12.75">
      <c r="A19" s="20" t="s">
        <v>387</v>
      </c>
      <c r="B19" s="20" t="s">
        <v>388</v>
      </c>
      <c r="C19" s="20" t="s">
        <v>227</v>
      </c>
      <c r="D19" s="20" t="str">
        <f>"0,6188"</f>
        <v>0,6188</v>
      </c>
      <c r="E19" s="20" t="s">
        <v>389</v>
      </c>
      <c r="F19" s="20" t="s">
        <v>165</v>
      </c>
      <c r="G19" s="22" t="s">
        <v>49</v>
      </c>
      <c r="H19" s="21" t="s">
        <v>229</v>
      </c>
      <c r="I19" s="22" t="s">
        <v>229</v>
      </c>
      <c r="J19" s="21"/>
      <c r="K19" s="20" t="str">
        <f>"170,0"</f>
        <v>170,0</v>
      </c>
      <c r="L19" s="22" t="str">
        <f>"115,4093"</f>
        <v>115,4093</v>
      </c>
      <c r="M19" s="20" t="s">
        <v>21</v>
      </c>
    </row>
    <row r="21" spans="1:13" customHeight="1" ht="15">
      <c r="A21" s="26" t="s">
        <v>131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3" customHeight="1" ht="12.75">
      <c r="A22" s="17" t="s">
        <v>390</v>
      </c>
      <c r="B22" s="17" t="s">
        <v>391</v>
      </c>
      <c r="C22" s="17" t="s">
        <v>392</v>
      </c>
      <c r="D22" s="17" t="str">
        <f>"0,5825"</f>
        <v>0,5825</v>
      </c>
      <c r="E22" s="17" t="s">
        <v>16</v>
      </c>
      <c r="F22" s="17" t="s">
        <v>26</v>
      </c>
      <c r="G22" s="19" t="s">
        <v>28</v>
      </c>
      <c r="H22" s="19" t="s">
        <v>29</v>
      </c>
      <c r="I22" s="18" t="s">
        <v>383</v>
      </c>
      <c r="J22" s="18"/>
      <c r="K22" s="17" t="str">
        <f>"150,0"</f>
        <v>150,0</v>
      </c>
      <c r="L22" s="19" t="str">
        <f>"87,3825"</f>
        <v>87,3825</v>
      </c>
      <c r="M22" s="17" t="s">
        <v>21</v>
      </c>
    </row>
    <row r="23" spans="1:13" customHeight="1" ht="12.75">
      <c r="A23" s="20" t="s">
        <v>393</v>
      </c>
      <c r="B23" s="20" t="s">
        <v>139</v>
      </c>
      <c r="C23" s="20" t="s">
        <v>140</v>
      </c>
      <c r="D23" s="20" t="str">
        <f>"0,5878"</f>
        <v>0,5878</v>
      </c>
      <c r="E23" s="20" t="s">
        <v>141</v>
      </c>
      <c r="F23" s="20" t="s">
        <v>48</v>
      </c>
      <c r="G23" s="22" t="s">
        <v>229</v>
      </c>
      <c r="H23" s="22" t="s">
        <v>129</v>
      </c>
      <c r="I23" s="21" t="s">
        <v>394</v>
      </c>
      <c r="J23" s="21"/>
      <c r="K23" s="20" t="str">
        <f>"180,0"</f>
        <v>180,0</v>
      </c>
      <c r="L23" s="22" t="str">
        <f>"105,7950"</f>
        <v>105,7950</v>
      </c>
      <c r="M23" s="20" t="s">
        <v>21</v>
      </c>
    </row>
    <row r="25" spans="1:13" customHeight="1" ht="15">
      <c r="A25" s="26" t="s">
        <v>57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3" customHeight="1" ht="12.75">
      <c r="A26" s="17" t="s">
        <v>395</v>
      </c>
      <c r="B26" s="17" t="s">
        <v>396</v>
      </c>
      <c r="C26" s="17" t="s">
        <v>397</v>
      </c>
      <c r="D26" s="17" t="str">
        <f>"0,5778"</f>
        <v>0,5778</v>
      </c>
      <c r="E26" s="17" t="s">
        <v>16</v>
      </c>
      <c r="F26" s="17" t="s">
        <v>17</v>
      </c>
      <c r="G26" s="19" t="s">
        <v>218</v>
      </c>
      <c r="H26" s="19" t="s">
        <v>307</v>
      </c>
      <c r="I26" s="18" t="s">
        <v>228</v>
      </c>
      <c r="J26" s="18"/>
      <c r="K26" s="17" t="str">
        <f>"155,0"</f>
        <v>155,0</v>
      </c>
      <c r="L26" s="19" t="str">
        <f>"89,5590"</f>
        <v>89,5590</v>
      </c>
      <c r="M26" s="17" t="s">
        <v>21</v>
      </c>
    </row>
    <row r="27" spans="1:13" customHeight="1" ht="12.75">
      <c r="A27" s="20" t="s">
        <v>398</v>
      </c>
      <c r="B27" s="20" t="s">
        <v>399</v>
      </c>
      <c r="C27" s="20" t="s">
        <v>400</v>
      </c>
      <c r="D27" s="20" t="str">
        <f>"0,5640"</f>
        <v>0,5640</v>
      </c>
      <c r="E27" s="20" t="s">
        <v>401</v>
      </c>
      <c r="F27" s="20" t="s">
        <v>48</v>
      </c>
      <c r="G27" s="22" t="s">
        <v>29</v>
      </c>
      <c r="H27" s="22" t="s">
        <v>49</v>
      </c>
      <c r="I27" s="21" t="s">
        <v>382</v>
      </c>
      <c r="J27" s="21"/>
      <c r="K27" s="20" t="str">
        <f>"160,0"</f>
        <v>160,0</v>
      </c>
      <c r="L27" s="22" t="str">
        <f>"103,4961"</f>
        <v>103,4961</v>
      </c>
      <c r="M27" s="20" t="s">
        <v>21</v>
      </c>
    </row>
    <row r="29" spans="1:13" customHeight="1" ht="15">
      <c r="E29" s="9" t="s">
        <v>66</v>
      </c>
    </row>
    <row r="30" spans="1:13" customHeight="1" ht="15">
      <c r="E30" s="9" t="s">
        <v>67</v>
      </c>
    </row>
    <row r="31" spans="1:13" customHeight="1" ht="15">
      <c r="E31" s="9" t="s">
        <v>68</v>
      </c>
    </row>
    <row r="32" spans="1:13" customHeight="1" ht="15">
      <c r="E32" s="9" t="s">
        <v>69</v>
      </c>
    </row>
    <row r="33" spans="1:13" customHeight="1" ht="15">
      <c r="E33" s="9" t="s">
        <v>70</v>
      </c>
    </row>
    <row r="34" spans="1:13" customHeight="1" ht="15">
      <c r="E34" s="9" t="s">
        <v>71</v>
      </c>
    </row>
    <row r="35" spans="1:13" customHeight="1" ht="15">
      <c r="E35" s="9"/>
    </row>
    <row r="37" spans="1:13" customHeight="1" ht="18">
      <c r="A37" s="10" t="s">
        <v>72</v>
      </c>
      <c r="B37" s="10"/>
    </row>
    <row r="38" spans="1:13" customHeight="1" ht="15">
      <c r="A38" s="11" t="s">
        <v>88</v>
      </c>
      <c r="B38" s="11"/>
    </row>
    <row r="39" spans="1:13" customHeight="1" ht="14.25">
      <c r="A39" s="13"/>
      <c r="B39" s="14" t="s">
        <v>89</v>
      </c>
    </row>
    <row r="40" spans="1:13" customHeight="1" ht="15">
      <c r="A40" s="15" t="s">
        <v>75</v>
      </c>
      <c r="B40" s="15" t="s">
        <v>76</v>
      </c>
      <c r="C40" s="15" t="s">
        <v>77</v>
      </c>
      <c r="D40" s="15" t="s">
        <v>78</v>
      </c>
      <c r="E40" s="15" t="s">
        <v>79</v>
      </c>
    </row>
    <row r="41" spans="1:13" customHeight="1" ht="12.75">
      <c r="A41" s="12" t="s">
        <v>402</v>
      </c>
      <c r="B41" s="5" t="s">
        <v>149</v>
      </c>
      <c r="C41" s="5" t="s">
        <v>254</v>
      </c>
      <c r="D41" s="5" t="s">
        <v>360</v>
      </c>
      <c r="E41" s="16" t="s">
        <v>403</v>
      </c>
    </row>
    <row r="42" spans="1:13" customHeight="1" ht="12.75">
      <c r="A42" s="12" t="s">
        <v>404</v>
      </c>
      <c r="B42" s="5" t="s">
        <v>149</v>
      </c>
      <c r="C42" s="5" t="s">
        <v>254</v>
      </c>
      <c r="D42" s="5" t="s">
        <v>360</v>
      </c>
      <c r="E42" s="16" t="s">
        <v>405</v>
      </c>
    </row>
    <row r="44" spans="1:13" customHeight="1" ht="14.25">
      <c r="A44" s="13"/>
      <c r="B44" s="14" t="s">
        <v>96</v>
      </c>
    </row>
    <row r="45" spans="1:13" customHeight="1" ht="15">
      <c r="A45" s="15" t="s">
        <v>75</v>
      </c>
      <c r="B45" s="15" t="s">
        <v>76</v>
      </c>
      <c r="C45" s="15" t="s">
        <v>77</v>
      </c>
      <c r="D45" s="15" t="s">
        <v>78</v>
      </c>
      <c r="E45" s="15" t="s">
        <v>79</v>
      </c>
    </row>
    <row r="46" spans="1:13" customHeight="1" ht="12.75">
      <c r="A46" s="12" t="s">
        <v>406</v>
      </c>
      <c r="B46" s="5" t="s">
        <v>98</v>
      </c>
      <c r="C46" s="5" t="s">
        <v>101</v>
      </c>
      <c r="D46" s="5" t="s">
        <v>307</v>
      </c>
      <c r="E46" s="16" t="s">
        <v>407</v>
      </c>
    </row>
    <row r="47" spans="1:13" customHeight="1" ht="12.75">
      <c r="A47" s="12" t="s">
        <v>408</v>
      </c>
      <c r="B47" s="5" t="s">
        <v>98</v>
      </c>
      <c r="C47" s="5" t="s">
        <v>34</v>
      </c>
      <c r="D47" s="5" t="s">
        <v>29</v>
      </c>
      <c r="E47" s="16" t="s">
        <v>409</v>
      </c>
    </row>
    <row r="49" spans="1:13" customHeight="1" ht="14.25">
      <c r="A49" s="13"/>
      <c r="B49" s="14" t="s">
        <v>84</v>
      </c>
    </row>
    <row r="50" spans="1:13" customHeight="1" ht="15">
      <c r="A50" s="15" t="s">
        <v>75</v>
      </c>
      <c r="B50" s="15" t="s">
        <v>76</v>
      </c>
      <c r="C50" s="15" t="s">
        <v>77</v>
      </c>
      <c r="D50" s="15" t="s">
        <v>78</v>
      </c>
      <c r="E50" s="15" t="s">
        <v>79</v>
      </c>
    </row>
    <row r="51" spans="1:13" customHeight="1" ht="12.75">
      <c r="A51" s="12" t="s">
        <v>155</v>
      </c>
      <c r="B51" s="5" t="s">
        <v>84</v>
      </c>
      <c r="C51" s="5" t="s">
        <v>34</v>
      </c>
      <c r="D51" s="5" t="s">
        <v>129</v>
      </c>
      <c r="E51" s="16" t="s">
        <v>410</v>
      </c>
    </row>
    <row r="52" spans="1:13" customHeight="1" ht="12.75">
      <c r="A52" s="12" t="s">
        <v>411</v>
      </c>
      <c r="B52" s="5" t="s">
        <v>84</v>
      </c>
      <c r="C52" s="5" t="s">
        <v>94</v>
      </c>
      <c r="D52" s="5" t="s">
        <v>383</v>
      </c>
      <c r="E52" s="16" t="s">
        <v>412</v>
      </c>
    </row>
    <row r="53" spans="1:13" customHeight="1" ht="12.75">
      <c r="A53" s="12" t="s">
        <v>413</v>
      </c>
      <c r="B53" s="5" t="s">
        <v>84</v>
      </c>
      <c r="C53" s="5" t="s">
        <v>94</v>
      </c>
      <c r="D53" s="5" t="s">
        <v>49</v>
      </c>
      <c r="E53" s="16" t="s">
        <v>414</v>
      </c>
    </row>
    <row r="54" spans="1:13" customHeight="1" ht="12.75">
      <c r="A54" s="12" t="s">
        <v>415</v>
      </c>
      <c r="B54" s="5" t="s">
        <v>84</v>
      </c>
      <c r="C54" s="5" t="s">
        <v>19</v>
      </c>
      <c r="D54" s="5" t="s">
        <v>375</v>
      </c>
      <c r="E54" s="16" t="s">
        <v>416</v>
      </c>
    </row>
    <row r="55" spans="1:13" customHeight="1" ht="12.75">
      <c r="A55" s="12" t="s">
        <v>417</v>
      </c>
      <c r="B55" s="5" t="s">
        <v>84</v>
      </c>
      <c r="C55" s="5" t="s">
        <v>19</v>
      </c>
      <c r="D55" s="5" t="s">
        <v>209</v>
      </c>
      <c r="E55" s="16" t="s">
        <v>418</v>
      </c>
    </row>
    <row r="56" spans="1:13" customHeight="1" ht="12.75">
      <c r="A56" s="12" t="s">
        <v>419</v>
      </c>
      <c r="B56" s="5" t="s">
        <v>84</v>
      </c>
      <c r="C56" s="5" t="s">
        <v>249</v>
      </c>
      <c r="D56" s="5" t="s">
        <v>19</v>
      </c>
      <c r="E56" s="16" t="s">
        <v>420</v>
      </c>
    </row>
    <row r="58" spans="1:13" customHeight="1" ht="14.25">
      <c r="A58" s="13"/>
      <c r="B58" s="14" t="s">
        <v>105</v>
      </c>
    </row>
    <row r="59" spans="1:13" customHeight="1" ht="15">
      <c r="A59" s="15" t="s">
        <v>75</v>
      </c>
      <c r="B59" s="15" t="s">
        <v>76</v>
      </c>
      <c r="C59" s="15" t="s">
        <v>77</v>
      </c>
      <c r="D59" s="15" t="s">
        <v>78</v>
      </c>
      <c r="E59" s="15" t="s">
        <v>79</v>
      </c>
    </row>
    <row r="60" spans="1:13" customHeight="1" ht="12.75">
      <c r="A60" s="12" t="s">
        <v>421</v>
      </c>
      <c r="B60" s="5" t="s">
        <v>353</v>
      </c>
      <c r="C60" s="5" t="s">
        <v>94</v>
      </c>
      <c r="D60" s="5" t="s">
        <v>229</v>
      </c>
      <c r="E60" s="16" t="s">
        <v>422</v>
      </c>
    </row>
    <row r="61" spans="1:13" customHeight="1" ht="12.75">
      <c r="A61" s="12" t="s">
        <v>423</v>
      </c>
      <c r="B61" s="5" t="s">
        <v>280</v>
      </c>
      <c r="C61" s="5" t="s">
        <v>101</v>
      </c>
      <c r="D61" s="5" t="s">
        <v>49</v>
      </c>
      <c r="E61" s="16" t="s">
        <v>424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M2"/>
    <mergeCell ref="A3:A4"/>
    <mergeCell ref="B3:B4"/>
    <mergeCell ref="C3:C4"/>
    <mergeCell ref="D3:D4"/>
    <mergeCell ref="E3:E4"/>
    <mergeCell ref="F3:F4"/>
    <mergeCell ref="G3:J3"/>
    <mergeCell ref="A16:L16"/>
    <mergeCell ref="A21:L21"/>
    <mergeCell ref="A25:L25"/>
    <mergeCell ref="K3:K4"/>
    <mergeCell ref="L3:L4"/>
    <mergeCell ref="M3:M4"/>
    <mergeCell ref="A5:L5"/>
    <mergeCell ref="A9:L9"/>
    <mergeCell ref="A12:L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4"/>
  <sheetViews>
    <sheetView tabSelected="0" workbookViewId="0" showGridLines="true" showRowColHeaders="1">
      <selection activeCell="E11" sqref="E11:F16"/>
    </sheetView>
  </sheetViews>
  <sheetFormatPr customHeight="true" defaultRowHeight="12.75" defaultColWidth="9.140625" outlineLevelRow="0" outlineLevelCol="0"/>
  <cols>
    <col min="1" max="1" width="26" customWidth="true" style="5"/>
    <col min="2" max="2" width="22.85546875" customWidth="true" style="5"/>
    <col min="3" max="3" width="10.5703125" customWidth="true" style="5"/>
    <col min="4" max="4" width="8.42578125" customWidth="true" style="5"/>
    <col min="5" max="5" width="22.7109375" customWidth="true" style="5"/>
    <col min="6" max="6" width="28.5703125" customWidth="true" style="5"/>
    <col min="7" max="7" width="5.5703125" customWidth="true" style="4"/>
    <col min="8" max="8" width="5.5703125" customWidth="true" style="4"/>
    <col min="9" max="9" width="5.5703125" customWidth="true" style="4"/>
    <col min="10" max="10" width="4.85546875" customWidth="true" style="4"/>
    <col min="11" max="11" width="5.5703125" customWidth="true" style="4"/>
    <col min="12" max="12" width="5.5703125" customWidth="true" style="4"/>
    <col min="13" max="13" width="5.5703125" customWidth="true" style="4"/>
    <col min="14" max="14" width="4.85546875" customWidth="true" style="4"/>
    <col min="15" max="15" width="5.5703125" customWidth="true" style="4"/>
    <col min="16" max="16" width="5.5703125" customWidth="true" style="4"/>
    <col min="17" max="17" width="5.5703125" customWidth="true" style="4"/>
    <col min="18" max="18" width="4.85546875" customWidth="true" style="4"/>
    <col min="19" max="19" width="7.85546875" customWidth="true" style="5"/>
    <col min="20" max="20" width="8.5703125" customWidth="true" style="4"/>
    <col min="21" max="21" width="11.7109375" customWidth="true" style="5"/>
  </cols>
  <sheetData>
    <row r="1" spans="1:21" customHeight="1" ht="29.1" s="3" customFormat="1">
      <c r="A1" s="34" t="s">
        <v>425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customHeight="1" ht="62.1" s="3" customForma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customHeight="1" ht="12.75" s="1" customFormat="1">
      <c r="A3" s="40" t="s">
        <v>1</v>
      </c>
      <c r="B3" s="42" t="s">
        <v>2</v>
      </c>
      <c r="C3" s="42" t="s">
        <v>3</v>
      </c>
      <c r="D3" s="28" t="s">
        <v>4</v>
      </c>
      <c r="E3" s="28" t="s">
        <v>5</v>
      </c>
      <c r="F3" s="28" t="s">
        <v>6</v>
      </c>
      <c r="G3" s="28" t="s">
        <v>283</v>
      </c>
      <c r="H3" s="28"/>
      <c r="I3" s="28"/>
      <c r="J3" s="28"/>
      <c r="K3" s="28" t="s">
        <v>160</v>
      </c>
      <c r="L3" s="28"/>
      <c r="M3" s="28"/>
      <c r="N3" s="28"/>
      <c r="O3" s="28" t="s">
        <v>7</v>
      </c>
      <c r="P3" s="28"/>
      <c r="Q3" s="28"/>
      <c r="R3" s="28"/>
      <c r="S3" s="28" t="s">
        <v>284</v>
      </c>
      <c r="T3" s="28" t="s">
        <v>9</v>
      </c>
      <c r="U3" s="30" t="s">
        <v>10</v>
      </c>
    </row>
    <row r="4" spans="1:21" customHeight="1" ht="21" s="1" customFormat="1">
      <c r="A4" s="41"/>
      <c r="B4" s="29"/>
      <c r="C4" s="29"/>
      <c r="D4" s="29"/>
      <c r="E4" s="29"/>
      <c r="F4" s="29"/>
      <c r="G4" s="2">
        <v>1</v>
      </c>
      <c r="H4" s="2">
        <v>2</v>
      </c>
      <c r="I4" s="2">
        <v>3</v>
      </c>
      <c r="J4" s="2" t="s">
        <v>11</v>
      </c>
      <c r="K4" s="2">
        <v>1</v>
      </c>
      <c r="L4" s="2">
        <v>2</v>
      </c>
      <c r="M4" s="2">
        <v>3</v>
      </c>
      <c r="N4" s="2" t="s">
        <v>11</v>
      </c>
      <c r="O4" s="2">
        <v>1</v>
      </c>
      <c r="P4" s="2">
        <v>2</v>
      </c>
      <c r="Q4" s="2">
        <v>3</v>
      </c>
      <c r="R4" s="2" t="s">
        <v>11</v>
      </c>
      <c r="S4" s="29"/>
      <c r="T4" s="29"/>
      <c r="U4" s="31"/>
    </row>
    <row r="5" spans="1:21" customHeight="1" ht="15">
      <c r="A5" s="32" t="s">
        <v>57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customHeight="1" ht="12.75">
      <c r="A6" s="6" t="s">
        <v>426</v>
      </c>
      <c r="B6" s="6" t="s">
        <v>427</v>
      </c>
      <c r="C6" s="6" t="s">
        <v>428</v>
      </c>
      <c r="D6" s="6" t="str">
        <f>"0,5746"</f>
        <v>0,5746</v>
      </c>
      <c r="E6" s="6" t="s">
        <v>429</v>
      </c>
      <c r="F6" s="6" t="s">
        <v>430</v>
      </c>
      <c r="G6" s="7" t="s">
        <v>290</v>
      </c>
      <c r="H6" s="8" t="s">
        <v>290</v>
      </c>
      <c r="I6" s="8" t="s">
        <v>41</v>
      </c>
      <c r="J6" s="7"/>
      <c r="K6" s="8" t="s">
        <v>383</v>
      </c>
      <c r="L6" s="8" t="s">
        <v>323</v>
      </c>
      <c r="M6" s="7" t="s">
        <v>431</v>
      </c>
      <c r="N6" s="7"/>
      <c r="O6" s="8" t="s">
        <v>62</v>
      </c>
      <c r="P6" s="8" t="s">
        <v>432</v>
      </c>
      <c r="Q6" s="8" t="s">
        <v>433</v>
      </c>
      <c r="R6" s="7"/>
      <c r="S6" s="6" t="str">
        <f>"645,0"</f>
        <v>645,0</v>
      </c>
      <c r="T6" s="8" t="str">
        <f>"370,6170"</f>
        <v>370,6170</v>
      </c>
      <c r="U6" s="6" t="s">
        <v>434</v>
      </c>
    </row>
    <row r="8" spans="1:21" customHeight="1" ht="15">
      <c r="A8" s="26" t="s">
        <v>435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1" customHeight="1" ht="12.75">
      <c r="A9" s="6" t="s">
        <v>436</v>
      </c>
      <c r="B9" s="6" t="s">
        <v>437</v>
      </c>
      <c r="C9" s="6" t="s">
        <v>438</v>
      </c>
      <c r="D9" s="6" t="str">
        <f>"0,5309"</f>
        <v>0,5309</v>
      </c>
      <c r="E9" s="6" t="s">
        <v>16</v>
      </c>
      <c r="F9" s="6" t="s">
        <v>439</v>
      </c>
      <c r="G9" s="7" t="s">
        <v>440</v>
      </c>
      <c r="H9" s="8" t="s">
        <v>441</v>
      </c>
      <c r="I9" s="7" t="s">
        <v>442</v>
      </c>
      <c r="J9" s="7"/>
      <c r="K9" s="8" t="s">
        <v>29</v>
      </c>
      <c r="L9" s="8" t="s">
        <v>49</v>
      </c>
      <c r="M9" s="8" t="s">
        <v>229</v>
      </c>
      <c r="N9" s="7"/>
      <c r="O9" s="8" t="s">
        <v>443</v>
      </c>
      <c r="P9" s="8" t="s">
        <v>444</v>
      </c>
      <c r="Q9" s="7" t="s">
        <v>445</v>
      </c>
      <c r="R9" s="7"/>
      <c r="S9" s="6" t="str">
        <f>"770,0"</f>
        <v>770,0</v>
      </c>
      <c r="T9" s="8" t="str">
        <f>"408,7969"</f>
        <v>408,7969</v>
      </c>
      <c r="U9" s="6" t="s">
        <v>21</v>
      </c>
    </row>
    <row r="11" spans="1:21" customHeight="1" ht="15">
      <c r="E11" s="9" t="s">
        <v>66</v>
      </c>
    </row>
    <row r="12" spans="1:21" customHeight="1" ht="15">
      <c r="E12" s="9" t="s">
        <v>67</v>
      </c>
    </row>
    <row r="13" spans="1:21" customHeight="1" ht="15">
      <c r="E13" s="9" t="s">
        <v>68</v>
      </c>
    </row>
    <row r="14" spans="1:21" customHeight="1" ht="15">
      <c r="E14" s="9" t="s">
        <v>69</v>
      </c>
    </row>
    <row r="15" spans="1:21" customHeight="1" ht="15">
      <c r="E15" s="9" t="s">
        <v>70</v>
      </c>
    </row>
    <row r="16" spans="1:21" customHeight="1" ht="15">
      <c r="E16" s="9" t="s">
        <v>71</v>
      </c>
    </row>
    <row r="17" spans="1:21" customHeight="1" ht="15">
      <c r="E17" s="9"/>
    </row>
    <row r="19" spans="1:21" customHeight="1" ht="18">
      <c r="A19" s="10" t="s">
        <v>72</v>
      </c>
      <c r="B19" s="10"/>
    </row>
    <row r="20" spans="1:21" customHeight="1" ht="15">
      <c r="A20" s="11" t="s">
        <v>88</v>
      </c>
      <c r="B20" s="11"/>
    </row>
    <row r="21" spans="1:21" customHeight="1" ht="14.25">
      <c r="A21" s="13"/>
      <c r="B21" s="14" t="s">
        <v>84</v>
      </c>
    </row>
    <row r="22" spans="1:21" customHeight="1" ht="15">
      <c r="A22" s="15" t="s">
        <v>75</v>
      </c>
      <c r="B22" s="15" t="s">
        <v>76</v>
      </c>
      <c r="C22" s="15" t="s">
        <v>77</v>
      </c>
      <c r="D22" s="15" t="s">
        <v>78</v>
      </c>
      <c r="E22" s="15" t="s">
        <v>79</v>
      </c>
    </row>
    <row r="23" spans="1:21" customHeight="1" ht="12.75">
      <c r="A23" s="12" t="s">
        <v>446</v>
      </c>
      <c r="B23" s="5" t="s">
        <v>84</v>
      </c>
      <c r="C23" s="5" t="s">
        <v>447</v>
      </c>
      <c r="D23" s="5" t="s">
        <v>448</v>
      </c>
      <c r="E23" s="16" t="s">
        <v>449</v>
      </c>
    </row>
    <row r="24" spans="1:21" customHeight="1" ht="12.75">
      <c r="A24" s="12" t="s">
        <v>450</v>
      </c>
      <c r="B24" s="5" t="s">
        <v>84</v>
      </c>
      <c r="C24" s="5" t="s">
        <v>101</v>
      </c>
      <c r="D24" s="5" t="s">
        <v>451</v>
      </c>
      <c r="E24" s="16" t="s">
        <v>452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1:U2"/>
    <mergeCell ref="A3:A4"/>
    <mergeCell ref="B3:B4"/>
    <mergeCell ref="C3:C4"/>
    <mergeCell ref="D3:D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AWPC б_э тяга</vt:lpstr>
      <vt:lpstr>WPC 1 слой тяга</vt:lpstr>
      <vt:lpstr>WPC б_э тяга</vt:lpstr>
      <vt:lpstr>AWPC б_э жим</vt:lpstr>
      <vt:lpstr>AWPC 1 слой ПЛ</vt:lpstr>
      <vt:lpstr>AWPC б_э ПЛ</vt:lpstr>
      <vt:lpstr>WPC 1 слой жим</vt:lpstr>
      <vt:lpstr>WPC б_э жим</vt:lpstr>
      <vt:lpstr>WPC б_э ПЛ</vt:lpstr>
      <vt:lpstr>AWPC Класс. ПЛ RAW</vt:lpstr>
      <vt:lpstr>WPC класс. ПЛ RAW</vt:lpstr>
      <vt:lpstr>AWPC софт эк. жим</vt:lpstr>
      <vt:lpstr>WPC софт эк. жим</vt:lpstr>
      <vt:lpstr>AWPC НЖ 1_2 вес</vt:lpstr>
      <vt:lpstr>AWPC НЖ 1 вес</vt:lpstr>
      <vt:lpstr>WPC НЖ 1_2 вес</vt:lpstr>
      <vt:lpstr>WPC НЖ 1 вес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Franz Rode</cp:lastModifiedBy>
  <dcterms:created xsi:type="dcterms:W3CDTF">2002-06-16T16:36:44+03:00</dcterms:created>
  <dcterms:modified xsi:type="dcterms:W3CDTF">2018-03-18T20:41:10+02:00</dcterms:modified>
  <dc:title>Untitled Spreadsheet</dc:title>
  <dc:description/>
  <dc:subject/>
  <cp:keywords/>
  <cp:category/>
</cp:coreProperties>
</file>