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0/Октябрь/"/>
    </mc:Choice>
  </mc:AlternateContent>
  <xr:revisionPtr revIDLastSave="0" documentId="13_ncr:1_{C045DE29-D546-3946-90FF-C4D7452A2AA4}" xr6:coauthVersionLast="45" xr6:coauthVersionMax="45" xr10:uidLastSave="{00000000-0000-0000-0000-000000000000}"/>
  <bookViews>
    <workbookView xWindow="0" yWindow="460" windowWidth="28800" windowHeight="15780" tabRatio="909" firstSheet="17" activeTab="23" xr2:uid="{00000000-000D-0000-FFFF-FFFF00000000}"/>
  </bookViews>
  <sheets>
    <sheet name="GPA ПЛ без экипировки ДК" sheetId="5" r:id="rId1"/>
    <sheet name="GPA ПЛ без экипировки" sheetId="8" r:id="rId2"/>
    <sheet name="GPA ПЛ в бинтах ДК" sheetId="7" r:id="rId3"/>
    <sheet name="GPA ПЛ в бинтах" sheetId="6" r:id="rId4"/>
    <sheet name="GPA Двоеборье без экип ДК" sheetId="21" r:id="rId5"/>
    <sheet name="GPA Двоеборье без экип" sheetId="20" r:id="rId6"/>
    <sheet name="GPA Присед без экипировки" sheetId="17" r:id="rId7"/>
    <sheet name="GPA Жим без экипировки ДК" sheetId="11" r:id="rId8"/>
    <sheet name="GPA Жим без экипировки" sheetId="9" r:id="rId9"/>
    <sheet name="IPO Жим однослой ДК" sheetId="13" r:id="rId10"/>
    <sheet name="IPO Жим однослой" sheetId="12" r:id="rId11"/>
    <sheet name="СПР Жим софт однопетельная ДК" sheetId="23" r:id="rId12"/>
    <sheet name="СПР Жим софт однопетельная" sheetId="22" r:id="rId13"/>
    <sheet name="СПР Жим софт многопетельная" sheetId="24" r:id="rId14"/>
    <sheet name="СПР Жим СФО" sheetId="30" r:id="rId15"/>
    <sheet name="GPA Тяга без экипировки ДК" sheetId="15" r:id="rId16"/>
    <sheet name="GPA Тяга без экипировки" sheetId="14" r:id="rId17"/>
    <sheet name="IPO Тяга в экипировке" sheetId="16" r:id="rId18"/>
    <sheet name="СПР Пауэрспорт ДК" sheetId="36" r:id="rId19"/>
    <sheet name="СПР Пауэрспорт" sheetId="35" r:id="rId20"/>
    <sheet name="СПР Жим стоя ДК" sheetId="32" r:id="rId21"/>
    <sheet name="СПР Жим стоя" sheetId="31" r:id="rId22"/>
    <sheet name="СПР Подъем на бицепс ДК" sheetId="34" r:id="rId23"/>
    <sheet name="СПР Подъем на бицепс" sheetId="33" r:id="rId24"/>
  </sheets>
  <definedNames>
    <definedName name="_FilterDatabase" localSheetId="0" hidden="1">'GPA ПЛ без экипировки ДК'!$A$1:$S$3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5" i="36" l="1"/>
  <c r="O25" i="36"/>
  <c r="P22" i="36"/>
  <c r="O22" i="36"/>
  <c r="P19" i="36"/>
  <c r="O19" i="36"/>
  <c r="P18" i="36"/>
  <c r="O18" i="36"/>
  <c r="P17" i="36"/>
  <c r="O17" i="36"/>
  <c r="P16" i="36"/>
  <c r="O16" i="36"/>
  <c r="P13" i="36"/>
  <c r="P10" i="36"/>
  <c r="O10" i="36"/>
  <c r="P7" i="36"/>
  <c r="O7" i="36"/>
  <c r="P6" i="36"/>
  <c r="O6" i="36"/>
  <c r="P17" i="35"/>
  <c r="O17" i="35"/>
  <c r="P16" i="35"/>
  <c r="O16" i="35"/>
  <c r="P13" i="35"/>
  <c r="O13" i="35"/>
  <c r="P10" i="35"/>
  <c r="O10" i="35"/>
  <c r="P9" i="35"/>
  <c r="O9" i="35"/>
  <c r="P6" i="35"/>
  <c r="O6" i="35"/>
  <c r="L33" i="34"/>
  <c r="K33" i="34"/>
  <c r="L30" i="34"/>
  <c r="K30" i="34"/>
  <c r="L27" i="34"/>
  <c r="K27" i="34"/>
  <c r="L26" i="34"/>
  <c r="K26" i="34"/>
  <c r="L23" i="34"/>
  <c r="K23" i="34"/>
  <c r="L22" i="34"/>
  <c r="K22" i="34"/>
  <c r="L19" i="34"/>
  <c r="K19" i="34"/>
  <c r="L18" i="34"/>
  <c r="K18" i="34"/>
  <c r="L17" i="34"/>
  <c r="K17" i="34"/>
  <c r="L16" i="34"/>
  <c r="K16" i="34"/>
  <c r="L15" i="34"/>
  <c r="K15" i="34"/>
  <c r="L14" i="34"/>
  <c r="K14" i="34"/>
  <c r="L11" i="34"/>
  <c r="K11" i="34"/>
  <c r="L10" i="34"/>
  <c r="K10" i="34"/>
  <c r="L9" i="34"/>
  <c r="K9" i="34"/>
  <c r="L6" i="34"/>
  <c r="K6" i="34"/>
  <c r="L29" i="33"/>
  <c r="K29" i="33"/>
  <c r="L28" i="33"/>
  <c r="K28" i="33"/>
  <c r="L25" i="33"/>
  <c r="K25" i="33"/>
  <c r="L22" i="33"/>
  <c r="K22" i="33"/>
  <c r="L21" i="33"/>
  <c r="K21" i="33"/>
  <c r="L20" i="33"/>
  <c r="K20" i="33"/>
  <c r="L19" i="33"/>
  <c r="K19" i="33"/>
  <c r="L16" i="33"/>
  <c r="K16" i="33"/>
  <c r="L15" i="33"/>
  <c r="K15" i="33"/>
  <c r="L12" i="33"/>
  <c r="K12" i="33"/>
  <c r="L9" i="33"/>
  <c r="K9" i="33"/>
  <c r="L6" i="33"/>
  <c r="K6" i="33"/>
  <c r="L6" i="32"/>
  <c r="K6" i="32"/>
  <c r="L13" i="31"/>
  <c r="K13" i="31"/>
  <c r="L12" i="31"/>
  <c r="K12" i="31"/>
  <c r="L9" i="31"/>
  <c r="K9" i="31"/>
  <c r="L6" i="31"/>
  <c r="K6" i="31"/>
  <c r="L35" i="30"/>
  <c r="K35" i="30"/>
  <c r="L34" i="30"/>
  <c r="K34" i="30"/>
  <c r="L33" i="30"/>
  <c r="K33" i="30"/>
  <c r="L30" i="30"/>
  <c r="K30" i="30"/>
  <c r="L29" i="30"/>
  <c r="K29" i="30"/>
  <c r="L26" i="30"/>
  <c r="K26" i="30"/>
  <c r="L23" i="30"/>
  <c r="K23" i="30"/>
  <c r="L22" i="30"/>
  <c r="K22" i="30"/>
  <c r="L19" i="30"/>
  <c r="K19" i="30"/>
  <c r="L16" i="30"/>
  <c r="K16" i="30"/>
  <c r="L15" i="30"/>
  <c r="K15" i="30"/>
  <c r="L12" i="30"/>
  <c r="K12" i="30"/>
  <c r="L9" i="30"/>
  <c r="K9" i="30"/>
  <c r="L6" i="30"/>
  <c r="K6" i="30"/>
  <c r="L14" i="24"/>
  <c r="K14" i="24"/>
  <c r="L13" i="24"/>
  <c r="K13" i="24"/>
  <c r="L10" i="24"/>
  <c r="K10" i="24"/>
  <c r="L9" i="24"/>
  <c r="K9" i="24"/>
  <c r="L6" i="24"/>
  <c r="K6" i="24"/>
  <c r="L19" i="23"/>
  <c r="K19" i="23"/>
  <c r="L18" i="23"/>
  <c r="K18" i="23"/>
  <c r="L15" i="23"/>
  <c r="K15" i="23"/>
  <c r="L14" i="23"/>
  <c r="K14" i="23"/>
  <c r="L11" i="23"/>
  <c r="K11" i="23"/>
  <c r="L8" i="23"/>
  <c r="K8" i="23"/>
  <c r="L7" i="23"/>
  <c r="K7" i="23"/>
  <c r="L6" i="23"/>
  <c r="K6" i="23"/>
  <c r="L34" i="22"/>
  <c r="K34" i="22"/>
  <c r="L31" i="22"/>
  <c r="K31" i="22"/>
  <c r="L30" i="22"/>
  <c r="K30" i="22"/>
  <c r="L27" i="22"/>
  <c r="K27" i="22"/>
  <c r="L26" i="22"/>
  <c r="K26" i="22"/>
  <c r="L25" i="22"/>
  <c r="K25" i="22"/>
  <c r="L24" i="22"/>
  <c r="K24" i="22"/>
  <c r="L23" i="22"/>
  <c r="K23" i="22"/>
  <c r="L20" i="22"/>
  <c r="K20" i="22"/>
  <c r="L19" i="22"/>
  <c r="K19" i="22"/>
  <c r="L16" i="22"/>
  <c r="K16" i="22"/>
  <c r="L15" i="22"/>
  <c r="K15" i="22"/>
  <c r="L12" i="22"/>
  <c r="K12" i="22"/>
  <c r="L11" i="22"/>
  <c r="K11" i="22"/>
  <c r="L8" i="22"/>
  <c r="L7" i="22"/>
  <c r="K7" i="22"/>
  <c r="L6" i="22"/>
  <c r="K6" i="22"/>
  <c r="P13" i="21"/>
  <c r="O13" i="21"/>
  <c r="P10" i="21"/>
  <c r="O10" i="21"/>
  <c r="P9" i="21"/>
  <c r="O9" i="21"/>
  <c r="P6" i="21"/>
  <c r="O6" i="21"/>
  <c r="P6" i="20"/>
  <c r="O6" i="20"/>
  <c r="L6" i="17"/>
  <c r="K6" i="17"/>
  <c r="L7" i="16"/>
  <c r="K7" i="16"/>
  <c r="L6" i="16"/>
  <c r="K6" i="16"/>
  <c r="L29" i="15"/>
  <c r="K29" i="15"/>
  <c r="L26" i="15"/>
  <c r="K26" i="15"/>
  <c r="L23" i="15"/>
  <c r="K23" i="15"/>
  <c r="L22" i="15"/>
  <c r="K22" i="15"/>
  <c r="L19" i="15"/>
  <c r="K19" i="15"/>
  <c r="L18" i="15"/>
  <c r="K18" i="15"/>
  <c r="L17" i="15"/>
  <c r="K17" i="15"/>
  <c r="L16" i="15"/>
  <c r="K16" i="15"/>
  <c r="L13" i="15"/>
  <c r="K13" i="15"/>
  <c r="L10" i="15"/>
  <c r="K10" i="15"/>
  <c r="L9" i="15"/>
  <c r="K9" i="15"/>
  <c r="L6" i="15"/>
  <c r="K6" i="15"/>
  <c r="L14" i="14"/>
  <c r="K14" i="14"/>
  <c r="L13" i="14"/>
  <c r="L10" i="14"/>
  <c r="K10" i="14"/>
  <c r="L7" i="14"/>
  <c r="K7" i="14"/>
  <c r="L6" i="14"/>
  <c r="K6" i="14"/>
  <c r="L6" i="13"/>
  <c r="K6" i="13"/>
  <c r="L11" i="12"/>
  <c r="K11" i="12"/>
  <c r="L10" i="12"/>
  <c r="K10" i="12"/>
  <c r="L9" i="12"/>
  <c r="K9" i="12"/>
  <c r="L6" i="12"/>
  <c r="K6" i="12"/>
  <c r="L76" i="11"/>
  <c r="K76" i="11"/>
  <c r="L73" i="11"/>
  <c r="K73" i="11"/>
  <c r="L70" i="11"/>
  <c r="K70" i="11"/>
  <c r="L69" i="11"/>
  <c r="K69" i="11"/>
  <c r="L68" i="11"/>
  <c r="K68" i="11"/>
  <c r="L67" i="11"/>
  <c r="K67" i="11"/>
  <c r="L64" i="11"/>
  <c r="K64" i="11"/>
  <c r="L63" i="11"/>
  <c r="K63" i="11"/>
  <c r="L62" i="11"/>
  <c r="K62" i="11"/>
  <c r="L61" i="11"/>
  <c r="K61" i="11"/>
  <c r="L60" i="11"/>
  <c r="K60" i="11"/>
  <c r="L59" i="11"/>
  <c r="K59" i="11"/>
  <c r="L56" i="11"/>
  <c r="K56" i="11"/>
  <c r="L55" i="11"/>
  <c r="L54" i="11"/>
  <c r="L53" i="11"/>
  <c r="L52" i="11"/>
  <c r="K52" i="11"/>
  <c r="L51" i="11"/>
  <c r="K51" i="11"/>
  <c r="L48" i="11"/>
  <c r="K48" i="11"/>
  <c r="L47" i="11"/>
  <c r="K47" i="11"/>
  <c r="L46" i="11"/>
  <c r="K46" i="11"/>
  <c r="L45" i="11"/>
  <c r="K45" i="11"/>
  <c r="L44" i="11"/>
  <c r="K44" i="11"/>
  <c r="L43" i="11"/>
  <c r="K43" i="11"/>
  <c r="L42" i="11"/>
  <c r="K42" i="11"/>
  <c r="L39" i="11"/>
  <c r="K39" i="11"/>
  <c r="L38" i="11"/>
  <c r="K38" i="11"/>
  <c r="L37" i="11"/>
  <c r="K37" i="11"/>
  <c r="L36" i="11"/>
  <c r="K36" i="11"/>
  <c r="L35" i="11"/>
  <c r="K35" i="11"/>
  <c r="L34" i="11"/>
  <c r="K34" i="11"/>
  <c r="L33" i="11"/>
  <c r="K33" i="11"/>
  <c r="L30" i="11"/>
  <c r="K30" i="11"/>
  <c r="L29" i="11"/>
  <c r="K29" i="11"/>
  <c r="L26" i="11"/>
  <c r="K26" i="11"/>
  <c r="L23" i="11"/>
  <c r="L20" i="11"/>
  <c r="K20" i="11"/>
  <c r="L19" i="11"/>
  <c r="K19" i="11"/>
  <c r="L16" i="11"/>
  <c r="K16" i="11"/>
  <c r="L15" i="11"/>
  <c r="K15" i="11"/>
  <c r="L14" i="11"/>
  <c r="K14" i="11"/>
  <c r="L11" i="11"/>
  <c r="K11" i="11"/>
  <c r="L8" i="11"/>
  <c r="K8" i="11"/>
  <c r="L7" i="11"/>
  <c r="K7" i="11"/>
  <c r="L6" i="11"/>
  <c r="K6" i="11"/>
  <c r="L26" i="9"/>
  <c r="K26" i="9"/>
  <c r="L25" i="9"/>
  <c r="K25" i="9"/>
  <c r="L24" i="9"/>
  <c r="K24" i="9"/>
  <c r="L23" i="9"/>
  <c r="K23" i="9"/>
  <c r="L22" i="9"/>
  <c r="K22" i="9"/>
  <c r="L19" i="9"/>
  <c r="K19" i="9"/>
  <c r="L16" i="9"/>
  <c r="K16" i="9"/>
  <c r="L15" i="9"/>
  <c r="K15" i="9"/>
  <c r="L14" i="9"/>
  <c r="K14" i="9"/>
  <c r="L13" i="9"/>
  <c r="K13" i="9"/>
  <c r="L10" i="9"/>
  <c r="K10" i="9"/>
  <c r="L9" i="9"/>
  <c r="K9" i="9"/>
  <c r="L6" i="9"/>
  <c r="K6" i="9"/>
  <c r="T15" i="8"/>
  <c r="S15" i="8"/>
  <c r="T12" i="8"/>
  <c r="S12" i="8"/>
  <c r="T9" i="8"/>
  <c r="S9" i="8"/>
  <c r="T6" i="8"/>
  <c r="S6" i="8"/>
  <c r="T6" i="7"/>
  <c r="S6" i="7"/>
  <c r="T24" i="6"/>
  <c r="S24" i="6"/>
  <c r="T21" i="6"/>
  <c r="S21" i="6"/>
  <c r="T18" i="6"/>
  <c r="T17" i="6"/>
  <c r="S17" i="6"/>
  <c r="T14" i="6"/>
  <c r="S14" i="6"/>
  <c r="T13" i="6"/>
  <c r="S13" i="6"/>
  <c r="T12" i="6"/>
  <c r="S12" i="6"/>
  <c r="T11" i="6"/>
  <c r="S11" i="6"/>
  <c r="T10" i="6"/>
  <c r="S10" i="6"/>
  <c r="T9" i="6"/>
  <c r="S9" i="6"/>
  <c r="T6" i="6"/>
  <c r="S6" i="6"/>
  <c r="T40" i="5"/>
  <c r="S40" i="5"/>
  <c r="T39" i="5"/>
  <c r="T38" i="5"/>
  <c r="S38" i="5"/>
  <c r="T37" i="5"/>
  <c r="S37" i="5"/>
  <c r="T34" i="5"/>
  <c r="S34" i="5"/>
  <c r="T33" i="5"/>
  <c r="S33" i="5"/>
  <c r="T32" i="5"/>
  <c r="S32" i="5"/>
  <c r="T31" i="5"/>
  <c r="S31" i="5"/>
  <c r="T28" i="5"/>
  <c r="S28" i="5"/>
  <c r="T27" i="5"/>
  <c r="S27" i="5"/>
  <c r="T26" i="5"/>
  <c r="S26" i="5"/>
  <c r="T23" i="5"/>
  <c r="S23" i="5"/>
  <c r="T20" i="5"/>
  <c r="S20" i="5"/>
  <c r="T19" i="5"/>
  <c r="S19" i="5"/>
  <c r="T16" i="5"/>
  <c r="S16" i="5"/>
  <c r="T15" i="5"/>
  <c r="S15" i="5"/>
  <c r="T14" i="5"/>
  <c r="S14" i="5"/>
  <c r="T11" i="5"/>
  <c r="T10" i="5"/>
  <c r="S10" i="5"/>
  <c r="T7" i="5"/>
  <c r="S7" i="5"/>
  <c r="T6" i="5"/>
  <c r="S6" i="5"/>
</calcChain>
</file>

<file path=xl/sharedStrings.xml><?xml version="1.0" encoding="utf-8"?>
<sst xmlns="http://schemas.openxmlformats.org/spreadsheetml/2006/main" count="3055" uniqueCount="885">
  <si>
    <t>ФИО</t>
  </si>
  <si>
    <t>Сумма</t>
  </si>
  <si>
    <t>Тренер</t>
  </si>
  <si>
    <t>Очки</t>
  </si>
  <si>
    <t>Рек</t>
  </si>
  <si>
    <t>Собственный 
вес</t>
  </si>
  <si>
    <t>Приседание</t>
  </si>
  <si>
    <t>Жим лёжа</t>
  </si>
  <si>
    <t>Становая тяга</t>
  </si>
  <si>
    <t>ВЕСОВАЯ КАТЕГОРИЯ   48</t>
  </si>
  <si>
    <t>Дегтярева Юлия</t>
  </si>
  <si>
    <t>Открытая (08.09.1990)/30</t>
  </si>
  <si>
    <t>47,70</t>
  </si>
  <si>
    <t>100,0</t>
  </si>
  <si>
    <t>105,0</t>
  </si>
  <si>
    <t>110,0</t>
  </si>
  <si>
    <t>60,0</t>
  </si>
  <si>
    <t>65,0</t>
  </si>
  <si>
    <t>135,0</t>
  </si>
  <si>
    <t>140,0</t>
  </si>
  <si>
    <t>145,0</t>
  </si>
  <si>
    <t>150,0</t>
  </si>
  <si>
    <t xml:space="preserve">Сакович О. </t>
  </si>
  <si>
    <t>Кочеткова Елена</t>
  </si>
  <si>
    <t>Открытая (20.10.1991)/29</t>
  </si>
  <si>
    <t>46,80</t>
  </si>
  <si>
    <t>85,0</t>
  </si>
  <si>
    <t>90,0</t>
  </si>
  <si>
    <t>55,0</t>
  </si>
  <si>
    <t>57,5</t>
  </si>
  <si>
    <t>ВЕСОВАЯ КАТЕГОРИЯ   56</t>
  </si>
  <si>
    <t>Юдина Елена</t>
  </si>
  <si>
    <t>Открытая (03.05.1985)/35</t>
  </si>
  <si>
    <t>55,60</t>
  </si>
  <si>
    <t>70,0</t>
  </si>
  <si>
    <t>37,5</t>
  </si>
  <si>
    <t>42,5</t>
  </si>
  <si>
    <t>45,0</t>
  </si>
  <si>
    <t>72,5</t>
  </si>
  <si>
    <t xml:space="preserve">Юдин Г. </t>
  </si>
  <si>
    <t>Балякина Евгения</t>
  </si>
  <si>
    <t>Открытая (15.12.1990)/29</t>
  </si>
  <si>
    <t>54,45</t>
  </si>
  <si>
    <t>95,0</t>
  </si>
  <si>
    <t>130,0</t>
  </si>
  <si>
    <t xml:space="preserve">Штрекова К. </t>
  </si>
  <si>
    <t>ВЕСОВАЯ КАТЕГОРИЯ   60</t>
  </si>
  <si>
    <t>Корчагина Оксана</t>
  </si>
  <si>
    <t>Открытая (22.08.1984)/36</t>
  </si>
  <si>
    <t>59,50</t>
  </si>
  <si>
    <t>82,5</t>
  </si>
  <si>
    <t>87,5</t>
  </si>
  <si>
    <t>92,5</t>
  </si>
  <si>
    <t>50,0</t>
  </si>
  <si>
    <t>102,5</t>
  </si>
  <si>
    <t>Ревегук Юлия</t>
  </si>
  <si>
    <t>Открытая (27.05.1985)/35</t>
  </si>
  <si>
    <t>60,00</t>
  </si>
  <si>
    <t>80,0</t>
  </si>
  <si>
    <t>47,5</t>
  </si>
  <si>
    <t>120,0</t>
  </si>
  <si>
    <t>Сосновская Анастасия</t>
  </si>
  <si>
    <t>Открытая (09.08.1994)/26</t>
  </si>
  <si>
    <t>58,90</t>
  </si>
  <si>
    <t>75,0</t>
  </si>
  <si>
    <t>77,5</t>
  </si>
  <si>
    <t>40,0</t>
  </si>
  <si>
    <t>ВЕСОВАЯ КАТЕГОРИЯ   67.5</t>
  </si>
  <si>
    <t>Иванова Жанна</t>
  </si>
  <si>
    <t>Открытая (04.06.1982)/38</t>
  </si>
  <si>
    <t>63,90</t>
  </si>
  <si>
    <t>115,0</t>
  </si>
  <si>
    <t xml:space="preserve">Гарбузов К. </t>
  </si>
  <si>
    <t>Мясина Наталья</t>
  </si>
  <si>
    <t>Открытая (12.02.1985)/35</t>
  </si>
  <si>
    <t>66,10</t>
  </si>
  <si>
    <t>67,5</t>
  </si>
  <si>
    <t>ВЕСОВАЯ КАТЕГОРИЯ   75</t>
  </si>
  <si>
    <t>Рысина Ольга</t>
  </si>
  <si>
    <t>Открытая (27.04.1981)/39</t>
  </si>
  <si>
    <t>67,70</t>
  </si>
  <si>
    <t>Ходкин Дмитрий</t>
  </si>
  <si>
    <t>74,95</t>
  </si>
  <si>
    <t>152,5</t>
  </si>
  <si>
    <t>170,0</t>
  </si>
  <si>
    <t>182,5</t>
  </si>
  <si>
    <t xml:space="preserve">Лазарев В., Маркин Н. </t>
  </si>
  <si>
    <t>Малютин Семен</t>
  </si>
  <si>
    <t>Открытая (28.10.1993)/27</t>
  </si>
  <si>
    <t>74,10</t>
  </si>
  <si>
    <t>155,0</t>
  </si>
  <si>
    <t>160,0</t>
  </si>
  <si>
    <t>127,5</t>
  </si>
  <si>
    <t>165,0</t>
  </si>
  <si>
    <t xml:space="preserve">Моргулец Д. </t>
  </si>
  <si>
    <t>Мастера 60-69 (15.09.1952)/68</t>
  </si>
  <si>
    <t>74,75</t>
  </si>
  <si>
    <t>125,0</t>
  </si>
  <si>
    <t>137,5</t>
  </si>
  <si>
    <t>140,5</t>
  </si>
  <si>
    <t>ВЕСОВАЯ КАТЕГОРИЯ   90</t>
  </si>
  <si>
    <t>Балабин Денис</t>
  </si>
  <si>
    <t>Открытая (06.11.1978)/41</t>
  </si>
  <si>
    <t>90,00</t>
  </si>
  <si>
    <t>200,0</t>
  </si>
  <si>
    <t>210,0</t>
  </si>
  <si>
    <t>142,5</t>
  </si>
  <si>
    <t>240,0</t>
  </si>
  <si>
    <t>257,5</t>
  </si>
  <si>
    <t>262,5</t>
  </si>
  <si>
    <t xml:space="preserve">Смирнов Д. </t>
  </si>
  <si>
    <t>Супрунов Дмитрий</t>
  </si>
  <si>
    <t>Открытая (08.06.1989)/31</t>
  </si>
  <si>
    <t>89,20</t>
  </si>
  <si>
    <t>190,0</t>
  </si>
  <si>
    <t>205,0</t>
  </si>
  <si>
    <t>215,0</t>
  </si>
  <si>
    <t>227,5</t>
  </si>
  <si>
    <t>Вострокнутов Артем</t>
  </si>
  <si>
    <t>Открытая (10.09.1985)/35</t>
  </si>
  <si>
    <t>85,65</t>
  </si>
  <si>
    <t>180,0</t>
  </si>
  <si>
    <t>132,5</t>
  </si>
  <si>
    <t>225,0</t>
  </si>
  <si>
    <t>Мастера 40-49 (06.11.1978)/41</t>
  </si>
  <si>
    <t>ВЕСОВАЯ КАТЕГОРИЯ   100</t>
  </si>
  <si>
    <t>Осипенко Артём</t>
  </si>
  <si>
    <t>92,60</t>
  </si>
  <si>
    <t>Павликов Денис</t>
  </si>
  <si>
    <t>97,40</t>
  </si>
  <si>
    <t>Зубаков Глеб</t>
  </si>
  <si>
    <t>Открытая (06.06.1991)/29</t>
  </si>
  <si>
    <t>97,20</t>
  </si>
  <si>
    <t>Ильин Александр</t>
  </si>
  <si>
    <t>Мастера 50-59 (20.11.1964)/55</t>
  </si>
  <si>
    <t>99,80</t>
  </si>
  <si>
    <t>220,0</t>
  </si>
  <si>
    <t>255,0</t>
  </si>
  <si>
    <t>265,0</t>
  </si>
  <si>
    <t>275,0</t>
  </si>
  <si>
    <t xml:space="preserve">Абсолютный зачёт </t>
  </si>
  <si>
    <t xml:space="preserve">Женщины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</si>
  <si>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</si>
  <si>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</si>
  <si>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</si>
  <si>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</si>
  <si>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</si>
  <si>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Reshel </t>
  </si>
  <si>
    <t>48</t>
  </si>
  <si>
    <t>315,0</t>
  </si>
  <si>
    <t>735,2730</t>
  </si>
  <si>
    <t>618,1545</t>
  </si>
  <si>
    <t>67.5</t>
  </si>
  <si>
    <t>335,0</t>
  </si>
  <si>
    <t>569,5000</t>
  </si>
  <si>
    <t xml:space="preserve">Мужчины </t>
  </si>
  <si>
    <t>75</t>
  </si>
  <si>
    <t>100</t>
  </si>
  <si>
    <t>327,5</t>
  </si>
  <si>
    <t>90</t>
  </si>
  <si>
    <t xml:space="preserve">Мастера </t>
  </si>
  <si>
    <t xml:space="preserve">Мастера 50-59 </t>
  </si>
  <si>
    <t xml:space="preserve">Мастера 60-69 </t>
  </si>
  <si>
    <t xml:space="preserve">Мастера 40-49 </t>
  </si>
  <si>
    <t>1</t>
  </si>
  <si>
    <t>2</t>
  </si>
  <si>
    <t/>
  </si>
  <si>
    <t>-</t>
  </si>
  <si>
    <t>3</t>
  </si>
  <si>
    <t>Место</t>
  </si>
  <si>
    <t>Батинова Ольга</t>
  </si>
  <si>
    <t>Мастера 40-49 (22.09.1974)/46</t>
  </si>
  <si>
    <t>72,45</t>
  </si>
  <si>
    <t>52,5</t>
  </si>
  <si>
    <t xml:space="preserve">Григорьев И. </t>
  </si>
  <si>
    <t>ВЕСОВАЯ КАТЕГОРИЯ   82.5</t>
  </si>
  <si>
    <t>Лазарев Артём</t>
  </si>
  <si>
    <t>80,70</t>
  </si>
  <si>
    <t>230,0</t>
  </si>
  <si>
    <t>245,0</t>
  </si>
  <si>
    <t>Жданов Илья</t>
  </si>
  <si>
    <t>80,60</t>
  </si>
  <si>
    <t>175,0</t>
  </si>
  <si>
    <t>195,0</t>
  </si>
  <si>
    <t>207,5</t>
  </si>
  <si>
    <t>Фомин Владимр</t>
  </si>
  <si>
    <t>Открытая (01.06.1989)/31</t>
  </si>
  <si>
    <t>82,45</t>
  </si>
  <si>
    <t>250,0</t>
  </si>
  <si>
    <t>260,0</t>
  </si>
  <si>
    <t>Открытая (09.12.1997)/22</t>
  </si>
  <si>
    <t>Медведников Антон</t>
  </si>
  <si>
    <t>Открытая (24.01.1988)/32</t>
  </si>
  <si>
    <t>76,00</t>
  </si>
  <si>
    <t>217,5</t>
  </si>
  <si>
    <t>Бурдинский Никита</t>
  </si>
  <si>
    <t>Открытая (07.10.1994)/26</t>
  </si>
  <si>
    <t>78,00</t>
  </si>
  <si>
    <t>Максимов Сергей</t>
  </si>
  <si>
    <t>Открытая (26.07.1989)/31</t>
  </si>
  <si>
    <t>89,75</t>
  </si>
  <si>
    <t>285,0</t>
  </si>
  <si>
    <t>300,0</t>
  </si>
  <si>
    <t>185,0</t>
  </si>
  <si>
    <t>290,0</t>
  </si>
  <si>
    <t>305,0</t>
  </si>
  <si>
    <t>310,0</t>
  </si>
  <si>
    <t>Савичев Денис</t>
  </si>
  <si>
    <t>Открытая (28.08.1993)/27</t>
  </si>
  <si>
    <t>85,20</t>
  </si>
  <si>
    <t>Юдаев Александр</t>
  </si>
  <si>
    <t>Открытая (10.02.1994)/26</t>
  </si>
  <si>
    <t>96,50</t>
  </si>
  <si>
    <t>325,0</t>
  </si>
  <si>
    <t>202,5</t>
  </si>
  <si>
    <t>ВЕСОВАЯ КАТЕГОРИЯ   125</t>
  </si>
  <si>
    <t>Вершинин Федор</t>
  </si>
  <si>
    <t>Открытая (03.12.1992)/27</t>
  </si>
  <si>
    <t>112,50</t>
  </si>
  <si>
    <t>280,0</t>
  </si>
  <si>
    <t>222,5</t>
  </si>
  <si>
    <t>320,0</t>
  </si>
  <si>
    <t>82.5</t>
  </si>
  <si>
    <t>125</t>
  </si>
  <si>
    <t>4</t>
  </si>
  <si>
    <t>Карпов Евгений</t>
  </si>
  <si>
    <t>Мастера 40-49 (26.10.1979)/41</t>
  </si>
  <si>
    <t>73,80</t>
  </si>
  <si>
    <t>205,5</t>
  </si>
  <si>
    <t>210,5</t>
  </si>
  <si>
    <t>Самойлова Светлана</t>
  </si>
  <si>
    <t>Открытая (28.07.1973)/47</t>
  </si>
  <si>
    <t>59,95</t>
  </si>
  <si>
    <t>62,5</t>
  </si>
  <si>
    <t xml:space="preserve">Кострова О. </t>
  </si>
  <si>
    <t>Ярошенко Ирина</t>
  </si>
  <si>
    <t>Открытая (04.12.1986)/33</t>
  </si>
  <si>
    <t>98,80</t>
  </si>
  <si>
    <t xml:space="preserve">Постнов Д. </t>
  </si>
  <si>
    <t>Кузнецов Сергей</t>
  </si>
  <si>
    <t>Открытая (31.08.1982)/38</t>
  </si>
  <si>
    <t>54,65</t>
  </si>
  <si>
    <t>107,5</t>
  </si>
  <si>
    <t>ВЕСОВАЯ КАТЕГОРИЯ   140+</t>
  </si>
  <si>
    <t>Акулов Владислав</t>
  </si>
  <si>
    <t>147,20</t>
  </si>
  <si>
    <t>140+</t>
  </si>
  <si>
    <t>272,5</t>
  </si>
  <si>
    <t>Мазуренко Станислав</t>
  </si>
  <si>
    <t>Открытая (20.06.1987)/33</t>
  </si>
  <si>
    <t>74,60</t>
  </si>
  <si>
    <t>Шахбазян Давид</t>
  </si>
  <si>
    <t>Открытая (30.08.1994)/26</t>
  </si>
  <si>
    <t>82,40</t>
  </si>
  <si>
    <t>172,5</t>
  </si>
  <si>
    <t>177,5</t>
  </si>
  <si>
    <t xml:space="preserve">Андреев В. </t>
  </si>
  <si>
    <t>Плешков Владимир</t>
  </si>
  <si>
    <t>Мастера 70-79 (29.08.1944)/76</t>
  </si>
  <si>
    <t>81,90</t>
  </si>
  <si>
    <t>111,0</t>
  </si>
  <si>
    <t>117,5</t>
  </si>
  <si>
    <t>122,5</t>
  </si>
  <si>
    <t>Собцов Дмитрий</t>
  </si>
  <si>
    <t>Открытая (04.06.1991)/29</t>
  </si>
  <si>
    <t>88,50</t>
  </si>
  <si>
    <t xml:space="preserve">Беловал Е. </t>
  </si>
  <si>
    <t>Мазур Евгений</t>
  </si>
  <si>
    <t>Открытая (30.11.1990)/29</t>
  </si>
  <si>
    <t>89,90</t>
  </si>
  <si>
    <t xml:space="preserve">Якименко В. </t>
  </si>
  <si>
    <t>Костев Николай</t>
  </si>
  <si>
    <t>Мастера 60-69 (17.12.1959)/60</t>
  </si>
  <si>
    <t>84,50</t>
  </si>
  <si>
    <t>Лузин Сергей</t>
  </si>
  <si>
    <t>Мастера 60-69 (30.04.1954)/66</t>
  </si>
  <si>
    <t>89,00</t>
  </si>
  <si>
    <t>ВЕСОВАЯ КАТЕГОРИЯ   110</t>
  </si>
  <si>
    <t>Исаев Еагений</t>
  </si>
  <si>
    <t>Мастера 40-49 (12.04.1971)/49</t>
  </si>
  <si>
    <t>104,40</t>
  </si>
  <si>
    <t>Жемаркин Дмитрий</t>
  </si>
  <si>
    <t>124,00</t>
  </si>
  <si>
    <t>Попов Александр</t>
  </si>
  <si>
    <t>Открытая (14.05.1983)/37</t>
  </si>
  <si>
    <t>114,90</t>
  </si>
  <si>
    <t xml:space="preserve">Фотин А. </t>
  </si>
  <si>
    <t>Хупсароков Аскер</t>
  </si>
  <si>
    <t>Открытая (26.04.1987)/33</t>
  </si>
  <si>
    <t>120,20</t>
  </si>
  <si>
    <t>Открытая (29.01.1997)/23</t>
  </si>
  <si>
    <t>Пешко Владимир</t>
  </si>
  <si>
    <t>Мастера 50-59 (12.02.1970)/50</t>
  </si>
  <si>
    <t>117,30</t>
  </si>
  <si>
    <t>187,5</t>
  </si>
  <si>
    <t xml:space="preserve">Результат </t>
  </si>
  <si>
    <t xml:space="preserve">Мастера 70-79 </t>
  </si>
  <si>
    <t>245,9202</t>
  </si>
  <si>
    <t>Результат</t>
  </si>
  <si>
    <t>Балясина Евгения</t>
  </si>
  <si>
    <t>Открытая (21.05.1989)/31</t>
  </si>
  <si>
    <t>46,50</t>
  </si>
  <si>
    <t>Бондарь Татьяна</t>
  </si>
  <si>
    <t>Открытая (30.10.1995)/25</t>
  </si>
  <si>
    <t xml:space="preserve">Харитонов А. </t>
  </si>
  <si>
    <t>ВЕСОВАЯ КАТЕГОРИЯ   52</t>
  </si>
  <si>
    <t>Яхина Алёна</t>
  </si>
  <si>
    <t>Открытая (26.12.1991)/28</t>
  </si>
  <si>
    <t>51,10</t>
  </si>
  <si>
    <t xml:space="preserve">Орешин И. </t>
  </si>
  <si>
    <t>Филиппова Анна</t>
  </si>
  <si>
    <t>Открытая (05.10.1979)/41</t>
  </si>
  <si>
    <t>58,70</t>
  </si>
  <si>
    <t xml:space="preserve">Ушаков А. </t>
  </si>
  <si>
    <t>Мастера 40-49 (05.10.1979)/41</t>
  </si>
  <si>
    <t>Жуманиязова Наталия</t>
  </si>
  <si>
    <t>Мастера 40-49 (19.03.1974)/46</t>
  </si>
  <si>
    <t>59,40</t>
  </si>
  <si>
    <t>Тографулина Татьяна</t>
  </si>
  <si>
    <t>65,90</t>
  </si>
  <si>
    <t xml:space="preserve">Пиньковская Б. </t>
  </si>
  <si>
    <t>Остренко Елена</t>
  </si>
  <si>
    <t>Открытая (14.06.1986)/34</t>
  </si>
  <si>
    <t>66,70</t>
  </si>
  <si>
    <t>ВЕСОВАЯ КАТЕГОРИЯ   100+</t>
  </si>
  <si>
    <t>Орлова Александра</t>
  </si>
  <si>
    <t>Мастера 40-49 (15.09.1980)/40</t>
  </si>
  <si>
    <t>101,00</t>
  </si>
  <si>
    <t>Митрофанов Андрей</t>
  </si>
  <si>
    <t>59,30</t>
  </si>
  <si>
    <t xml:space="preserve">Фролов Е. </t>
  </si>
  <si>
    <t>Гайда Кирилл</t>
  </si>
  <si>
    <t>67,50</t>
  </si>
  <si>
    <t>Морозов Алексей</t>
  </si>
  <si>
    <t>Открытая (15.01.1982)/38</t>
  </si>
  <si>
    <t>66,85</t>
  </si>
  <si>
    <t xml:space="preserve">Богданов К. </t>
  </si>
  <si>
    <t>Хусаинов Артем</t>
  </si>
  <si>
    <t>68,00</t>
  </si>
  <si>
    <t>157,5</t>
  </si>
  <si>
    <t>Карпов Иван</t>
  </si>
  <si>
    <t>Открытая (09.12.1987)/32</t>
  </si>
  <si>
    <t>74,30</t>
  </si>
  <si>
    <t>Сушков Даниил</t>
  </si>
  <si>
    <t>Открытая (11.05.1988)/32</t>
  </si>
  <si>
    <t>112,5</t>
  </si>
  <si>
    <t>Фролов Евгений</t>
  </si>
  <si>
    <t>Открытая (11.05.1983)/37</t>
  </si>
  <si>
    <t>73,40</t>
  </si>
  <si>
    <t>Васильев Роман</t>
  </si>
  <si>
    <t>Мастера 40-49 (10.02.1973)/47</t>
  </si>
  <si>
    <t>73,90</t>
  </si>
  <si>
    <t>Сидоровский Сергей</t>
  </si>
  <si>
    <t>Мастера 40-49 (12.05.1971)/49</t>
  </si>
  <si>
    <t xml:space="preserve">Силушин П. </t>
  </si>
  <si>
    <t>Бондаревский Александр</t>
  </si>
  <si>
    <t>81,40</t>
  </si>
  <si>
    <t xml:space="preserve">Фролов Евгений </t>
  </si>
  <si>
    <t>Кочетков Александр</t>
  </si>
  <si>
    <t>Открытая (19.09.1988)/32</t>
  </si>
  <si>
    <t>82,20</t>
  </si>
  <si>
    <t>Мурашко Илья</t>
  </si>
  <si>
    <t>Открытая (01.08.1988)/32</t>
  </si>
  <si>
    <t>80,40</t>
  </si>
  <si>
    <t xml:space="preserve">Сайфудинов А. </t>
  </si>
  <si>
    <t>Пайзулаев Расул</t>
  </si>
  <si>
    <t>Открытая (07.09.1988)/32</t>
  </si>
  <si>
    <t>80,50</t>
  </si>
  <si>
    <t>Кафаш Михаил</t>
  </si>
  <si>
    <t>Открытая (25.02.1996)/24</t>
  </si>
  <si>
    <t>76,70</t>
  </si>
  <si>
    <t>Карезин Дмитрий</t>
  </si>
  <si>
    <t>Мастера 50-59 (07.01.1970)/50</t>
  </si>
  <si>
    <t>81,80</t>
  </si>
  <si>
    <t>Мищенко Артем</t>
  </si>
  <si>
    <t>Открытая (26.06.1984)/36</t>
  </si>
  <si>
    <t>87,10</t>
  </si>
  <si>
    <t>192,5</t>
  </si>
  <si>
    <t xml:space="preserve">Чокаев У. </t>
  </si>
  <si>
    <t>Фролов Станислав</t>
  </si>
  <si>
    <t>Открытая (15.09.1991)/29</t>
  </si>
  <si>
    <t>89,65</t>
  </si>
  <si>
    <t>Зык Виталий</t>
  </si>
  <si>
    <t>Открытая (17.04.1986)/34</t>
  </si>
  <si>
    <t>Коршиков Алексей</t>
  </si>
  <si>
    <t>Мастера 40-49 (28.04.1979)/41</t>
  </si>
  <si>
    <t xml:space="preserve">Дроздов С. </t>
  </si>
  <si>
    <t>Смирнов Леонид</t>
  </si>
  <si>
    <t>Мастера 60-69 (26.09.1957)/63</t>
  </si>
  <si>
    <t>89,80</t>
  </si>
  <si>
    <t>Богачев Андрей</t>
  </si>
  <si>
    <t>Открытая (29.04.1994)/26</t>
  </si>
  <si>
    <t>99,50</t>
  </si>
  <si>
    <t xml:space="preserve">Белкин Ю. </t>
  </si>
  <si>
    <t>Трубин Сергей</t>
  </si>
  <si>
    <t>Открытая (16.04.1969)/51</t>
  </si>
  <si>
    <t>Петров Дмитрий</t>
  </si>
  <si>
    <t>Открытая (29.01.1986)/34</t>
  </si>
  <si>
    <t>98,95</t>
  </si>
  <si>
    <t>Ашихин Виталий</t>
  </si>
  <si>
    <t>Мастера 40-49 (22.04.1978)/42</t>
  </si>
  <si>
    <t>97,30</t>
  </si>
  <si>
    <t>162,5</t>
  </si>
  <si>
    <t xml:space="preserve">Моркин А. </t>
  </si>
  <si>
    <t>Мастера 50-59 (16.04.1969)/51</t>
  </si>
  <si>
    <t>Васильев Виктор</t>
  </si>
  <si>
    <t>Мастера 60-69 (09.02.1954)/66</t>
  </si>
  <si>
    <t>99,30</t>
  </si>
  <si>
    <t>146,0</t>
  </si>
  <si>
    <t>Прудников Алексей</t>
  </si>
  <si>
    <t>Открытая (24.12.1982)/37</t>
  </si>
  <si>
    <t>107,70</t>
  </si>
  <si>
    <t>Швецов Сергей</t>
  </si>
  <si>
    <t>Открытая (02.03.1987)/33</t>
  </si>
  <si>
    <t>108,60</t>
  </si>
  <si>
    <t>Дорин Владимир</t>
  </si>
  <si>
    <t>Открытая (02.06.1990)/30</t>
  </si>
  <si>
    <t>106,00</t>
  </si>
  <si>
    <t>Яковенко Владимир</t>
  </si>
  <si>
    <t>Мастера 60-69 (27.03.1959)/61</t>
  </si>
  <si>
    <t>109,90</t>
  </si>
  <si>
    <t>148,0</t>
  </si>
  <si>
    <t xml:space="preserve">Савин К. </t>
  </si>
  <si>
    <t>ВЕСОВАЯ КАТЕГОРИЯ   140</t>
  </si>
  <si>
    <t>Чубаров Владимир</t>
  </si>
  <si>
    <t>Мастера 50-59 (03.04.1964)/56</t>
  </si>
  <si>
    <t>132,00</t>
  </si>
  <si>
    <t>Трофимов Борис</t>
  </si>
  <si>
    <t>Мастера 40-49 (21.03.1972)/48</t>
  </si>
  <si>
    <t>150,00</t>
  </si>
  <si>
    <t>232,5</t>
  </si>
  <si>
    <t>169,4700</t>
  </si>
  <si>
    <t>138,0345</t>
  </si>
  <si>
    <t>132,1440</t>
  </si>
  <si>
    <t>190,4210</t>
  </si>
  <si>
    <t>183,4000</t>
  </si>
  <si>
    <t>169,8900</t>
  </si>
  <si>
    <t>215,2331</t>
  </si>
  <si>
    <t>201,0900</t>
  </si>
  <si>
    <t>Самардин Алексей</t>
  </si>
  <si>
    <t>Открытая (08.09.1983)/37</t>
  </si>
  <si>
    <t>197,5</t>
  </si>
  <si>
    <t xml:space="preserve">Банников Д. </t>
  </si>
  <si>
    <t>Кончаков Владимир</t>
  </si>
  <si>
    <t>Открытая (25.05.1973)/47</t>
  </si>
  <si>
    <t>99,00</t>
  </si>
  <si>
    <t>297,5</t>
  </si>
  <si>
    <t>Мастера 40-49 (25.05.1973)/47</t>
  </si>
  <si>
    <t>Лазарев Владимир</t>
  </si>
  <si>
    <t>Мастера 40-49 (06.11.1979)/40</t>
  </si>
  <si>
    <t>Кокорев Илья</t>
  </si>
  <si>
    <t>Мастера 40-49 (19.01.1973)/47</t>
  </si>
  <si>
    <t>80,80</t>
  </si>
  <si>
    <t>212,5</t>
  </si>
  <si>
    <t>Корниленко Александр</t>
  </si>
  <si>
    <t>Мастера 40-49 (27.09.1975)/45</t>
  </si>
  <si>
    <t>87,60</t>
  </si>
  <si>
    <t>Немчинов Александр</t>
  </si>
  <si>
    <t>Мастера 60-69 (10.11.1951)/68</t>
  </si>
  <si>
    <t>Астахов Андрей</t>
  </si>
  <si>
    <t>97,50</t>
  </si>
  <si>
    <t>Павлов Дмитрий</t>
  </si>
  <si>
    <t>Открытая (15.11.1991)/28</t>
  </si>
  <si>
    <t>108,40</t>
  </si>
  <si>
    <t>365,0</t>
  </si>
  <si>
    <t xml:space="preserve">Боронахин Ю. </t>
  </si>
  <si>
    <t>110,00</t>
  </si>
  <si>
    <t>Сытников Валерий</t>
  </si>
  <si>
    <t>Мастера 50-59 (28.02.1970)/50</t>
  </si>
  <si>
    <t>109,00</t>
  </si>
  <si>
    <t xml:space="preserve">Тарасов Э. </t>
  </si>
  <si>
    <t>110</t>
  </si>
  <si>
    <t>55,00</t>
  </si>
  <si>
    <t>Сердюченко Елена</t>
  </si>
  <si>
    <t>Мастера 40-49 (17.01.1972)/48</t>
  </si>
  <si>
    <t>62,80</t>
  </si>
  <si>
    <t xml:space="preserve">Петрокович Н. </t>
  </si>
  <si>
    <t>Щербаков Дмитрий</t>
  </si>
  <si>
    <t>Открытая (27.04.1984)/36</t>
  </si>
  <si>
    <t>64,40</t>
  </si>
  <si>
    <t>Белобородов Григорий</t>
  </si>
  <si>
    <t>Открытая (05.03.1989)/31</t>
  </si>
  <si>
    <t>72,65</t>
  </si>
  <si>
    <t xml:space="preserve">Мынка Э. </t>
  </si>
  <si>
    <t>Стариков Максим</t>
  </si>
  <si>
    <t>76,90</t>
  </si>
  <si>
    <t>Данин Глеб</t>
  </si>
  <si>
    <t>107,85</t>
  </si>
  <si>
    <t>Патрин Олег</t>
  </si>
  <si>
    <t>Открытая (31.10.1989)/31</t>
  </si>
  <si>
    <t>123,20</t>
  </si>
  <si>
    <t>270,0</t>
  </si>
  <si>
    <t>Гореликов Дмитрий</t>
  </si>
  <si>
    <t>Открытая (23.06.1968)/52</t>
  </si>
  <si>
    <t>84,40</t>
  </si>
  <si>
    <t>256,0</t>
  </si>
  <si>
    <t>Мастера 50-59 (23.06.1968)/52</t>
  </si>
  <si>
    <t>89,95</t>
  </si>
  <si>
    <t>Фомин Андрей</t>
  </si>
  <si>
    <t>Открытая (02.04.1982)/38</t>
  </si>
  <si>
    <t>89,60</t>
  </si>
  <si>
    <t>Подольская Кристина</t>
  </si>
  <si>
    <t>Открытая (09.05.1990)/30</t>
  </si>
  <si>
    <t>59,00</t>
  </si>
  <si>
    <t>Василенко Иван</t>
  </si>
  <si>
    <t>Открытая (20.06.1985)/35</t>
  </si>
  <si>
    <t>85,75</t>
  </si>
  <si>
    <t>Шустров Алексей</t>
  </si>
  <si>
    <t>Мастера 40-49 (01.09.1976)/44</t>
  </si>
  <si>
    <t>96,45</t>
  </si>
  <si>
    <t>Лазуренко Ольга</t>
  </si>
  <si>
    <t>Открытая (05.09.1971)/49</t>
  </si>
  <si>
    <t>66,50</t>
  </si>
  <si>
    <t>Макарова Елена</t>
  </si>
  <si>
    <t>66,80</t>
  </si>
  <si>
    <t>Волков Алексей</t>
  </si>
  <si>
    <t>81,00</t>
  </si>
  <si>
    <t>Якупов Радмир</t>
  </si>
  <si>
    <t>Открытая (18.04.1993)/27</t>
  </si>
  <si>
    <t>81,10</t>
  </si>
  <si>
    <t>Илюшин Руслан</t>
  </si>
  <si>
    <t>Открытая (25.02.1991)/29</t>
  </si>
  <si>
    <t xml:space="preserve">Ушков И. </t>
  </si>
  <si>
    <t>Силушин Павел</t>
  </si>
  <si>
    <t>Открытая (17.09.1989)/31</t>
  </si>
  <si>
    <t xml:space="preserve">Силушин А. </t>
  </si>
  <si>
    <t>Свидин Андрей</t>
  </si>
  <si>
    <t>Открытая (01.02.1980)/40</t>
  </si>
  <si>
    <t>91,20</t>
  </si>
  <si>
    <t>235,0</t>
  </si>
  <si>
    <t>Плотников Алексей</t>
  </si>
  <si>
    <t>Открытая (16.06.1975)/45</t>
  </si>
  <si>
    <t>109,40</t>
  </si>
  <si>
    <t>Пузырев Денис</t>
  </si>
  <si>
    <t>Открытая (31.03.1974)/46</t>
  </si>
  <si>
    <t xml:space="preserve">Грудев А. </t>
  </si>
  <si>
    <t>Самитов Александр</t>
  </si>
  <si>
    <t>Куротченко Игорь</t>
  </si>
  <si>
    <t>Емельянов Николай</t>
  </si>
  <si>
    <t>Открытая (30.04.1979)/41</t>
  </si>
  <si>
    <t>Черствов Алексей</t>
  </si>
  <si>
    <t>Открытая (16.04.1981)/39</t>
  </si>
  <si>
    <t>120,80</t>
  </si>
  <si>
    <t>Шлепин Олег</t>
  </si>
  <si>
    <t>Открытая (08.07.1975)/45</t>
  </si>
  <si>
    <t>125,30</t>
  </si>
  <si>
    <t xml:space="preserve">Gloss </t>
  </si>
  <si>
    <t>181,3531</t>
  </si>
  <si>
    <t>161,0044</t>
  </si>
  <si>
    <t>159,5290</t>
  </si>
  <si>
    <t>Открытая (30.08.2001)/19</t>
  </si>
  <si>
    <t>Ермолаева Анна</t>
  </si>
  <si>
    <t>67,15</t>
  </si>
  <si>
    <t xml:space="preserve">Беляев Р. </t>
  </si>
  <si>
    <t>Матвеев Александр</t>
  </si>
  <si>
    <t>Открытая (14.03.1974)/46</t>
  </si>
  <si>
    <t>75,00</t>
  </si>
  <si>
    <t xml:space="preserve">Жинкин В. </t>
  </si>
  <si>
    <t>Бардаков Матвей</t>
  </si>
  <si>
    <t>82,10</t>
  </si>
  <si>
    <t>Жигулин Константин</t>
  </si>
  <si>
    <t>Открытая (03.10.1987)/33</t>
  </si>
  <si>
    <t>79,50</t>
  </si>
  <si>
    <t xml:space="preserve">Василенко Д. </t>
  </si>
  <si>
    <t>340,0</t>
  </si>
  <si>
    <t>Акулич Александр</t>
  </si>
  <si>
    <t>Открытая (17.11.1981)/38</t>
  </si>
  <si>
    <t>96,90</t>
  </si>
  <si>
    <t>355,0</t>
  </si>
  <si>
    <t>Семёнов Роман</t>
  </si>
  <si>
    <t>97,80</t>
  </si>
  <si>
    <t>330,0</t>
  </si>
  <si>
    <t>352,5</t>
  </si>
  <si>
    <t>35,0</t>
  </si>
  <si>
    <t>27,5</t>
  </si>
  <si>
    <t xml:space="preserve">Ковалев С. </t>
  </si>
  <si>
    <t>30,0</t>
  </si>
  <si>
    <t>Зайцева Таисья</t>
  </si>
  <si>
    <t>Мастера 70-79 (30.08.1947)/73</t>
  </si>
  <si>
    <t>ВЕСОВАЯ КАТЕГОРИЯ   90+</t>
  </si>
  <si>
    <t>Маева Татьяна</t>
  </si>
  <si>
    <t>Мастера 60-69 (05.07.1958)/62</t>
  </si>
  <si>
    <t>90,50</t>
  </si>
  <si>
    <t>Михайлов Дмитрий</t>
  </si>
  <si>
    <t>Косарев Евгений</t>
  </si>
  <si>
    <t>Мастера 50-59 (29.03.1961)/59</t>
  </si>
  <si>
    <t>63,20</t>
  </si>
  <si>
    <t>97,5</t>
  </si>
  <si>
    <t>Горев Николай</t>
  </si>
  <si>
    <t>Мастера 70-79 (15.03.1950)/70</t>
  </si>
  <si>
    <t>67,00</t>
  </si>
  <si>
    <t>Пачин Алексей</t>
  </si>
  <si>
    <t>Мастера 40-49 (02.03.1979)/41</t>
  </si>
  <si>
    <t>70,40</t>
  </si>
  <si>
    <t xml:space="preserve">Ковалёв С. </t>
  </si>
  <si>
    <t>Гвоздев Георгий</t>
  </si>
  <si>
    <t>Мастера 60-69 (26.04.1959)/61</t>
  </si>
  <si>
    <t>Груничев Вячеслав</t>
  </si>
  <si>
    <t>Мастера 80+ (16.06.1939)/81</t>
  </si>
  <si>
    <t>78,20</t>
  </si>
  <si>
    <t>25,0</t>
  </si>
  <si>
    <t>Петрокович Николай</t>
  </si>
  <si>
    <t>Мастера 40-49 (17.08.1979)/41</t>
  </si>
  <si>
    <t>87,30</t>
  </si>
  <si>
    <t>Аристов Олег</t>
  </si>
  <si>
    <t>Мастера 60-69 (08.03.1955)/65</t>
  </si>
  <si>
    <t>Кузнецов Владимир</t>
  </si>
  <si>
    <t>Мастера 70-79 (04.03.1945)/75</t>
  </si>
  <si>
    <t>94,50</t>
  </si>
  <si>
    <t>Пурышев Иван</t>
  </si>
  <si>
    <t>Мастера 40-49 (03.05.1980)/40</t>
  </si>
  <si>
    <t>100,80</t>
  </si>
  <si>
    <t>Ковалев Сергей</t>
  </si>
  <si>
    <t>Мастера 50-59 (22.05.1969)/51</t>
  </si>
  <si>
    <t>101,50</t>
  </si>
  <si>
    <t>Дмитричев Евгений</t>
  </si>
  <si>
    <t>Мастера 50-59 (18.12.1969)/50</t>
  </si>
  <si>
    <t>100,90</t>
  </si>
  <si>
    <t xml:space="preserve">Горев Н. </t>
  </si>
  <si>
    <t>104,2861</t>
  </si>
  <si>
    <t>102,9018</t>
  </si>
  <si>
    <t>102,6879</t>
  </si>
  <si>
    <t>Жим стоя</t>
  </si>
  <si>
    <t>Мельяновский Александр</t>
  </si>
  <si>
    <t>Открытая (05.04.1978)/42</t>
  </si>
  <si>
    <t>93,00</t>
  </si>
  <si>
    <t>Макаренко Алексей</t>
  </si>
  <si>
    <t>Открытая (22.02.1981)/39</t>
  </si>
  <si>
    <t xml:space="preserve">Крылов В. </t>
  </si>
  <si>
    <t>131,0</t>
  </si>
  <si>
    <t>103,0</t>
  </si>
  <si>
    <t>Щербаков Иван</t>
  </si>
  <si>
    <t>Открытая (26.09.2002)/18</t>
  </si>
  <si>
    <t>59,90</t>
  </si>
  <si>
    <t>54,0</t>
  </si>
  <si>
    <t xml:space="preserve">Щербаков Е. </t>
  </si>
  <si>
    <t>Люднов Иван</t>
  </si>
  <si>
    <t>Открытая (07.07.1991)/29</t>
  </si>
  <si>
    <t>64,50</t>
  </si>
  <si>
    <t>Сакович Олег</t>
  </si>
  <si>
    <t>Открытая (21.08.1992)/28</t>
  </si>
  <si>
    <t>Пенько Константин</t>
  </si>
  <si>
    <t>Волков Максим</t>
  </si>
  <si>
    <t>Открытая (17.10.1973)/47</t>
  </si>
  <si>
    <t>88,70</t>
  </si>
  <si>
    <t>76,0</t>
  </si>
  <si>
    <t>Петриченко Максим</t>
  </si>
  <si>
    <t>Открытая (31.05.1987)/33</t>
  </si>
  <si>
    <t>Антипов Владислав</t>
  </si>
  <si>
    <t>Открытая (28.03.1996)/24</t>
  </si>
  <si>
    <t>89,50</t>
  </si>
  <si>
    <t>Рыков Владимир</t>
  </si>
  <si>
    <t>Открытая (05.02.1989)/31</t>
  </si>
  <si>
    <t>108,20</t>
  </si>
  <si>
    <t>54,6600</t>
  </si>
  <si>
    <t>61,9695</t>
  </si>
  <si>
    <t>53,6940</t>
  </si>
  <si>
    <t>Бескадаров Игорь</t>
  </si>
  <si>
    <t>Открытая (09.06.1987)/33</t>
  </si>
  <si>
    <t>Кирилюк Дмитрий</t>
  </si>
  <si>
    <t>Открытая (25.02.1967)/53</t>
  </si>
  <si>
    <t>Осипов Андрей</t>
  </si>
  <si>
    <t>Открытая (07.05.1989)/31</t>
  </si>
  <si>
    <t>67,35</t>
  </si>
  <si>
    <t>Андреев Ярослав</t>
  </si>
  <si>
    <t>73,70</t>
  </si>
  <si>
    <t>Агхйурли Мухамед</t>
  </si>
  <si>
    <t xml:space="preserve">Кирилюк Д. </t>
  </si>
  <si>
    <t>Пономаренко Алексей</t>
  </si>
  <si>
    <t>Открытая (15.12.1991)/28</t>
  </si>
  <si>
    <t>72,90</t>
  </si>
  <si>
    <t>Гайфутдинов Алексей</t>
  </si>
  <si>
    <t>Открытая (24.08.1984)/36</t>
  </si>
  <si>
    <t>74,40</t>
  </si>
  <si>
    <t>Никитченко Сергей</t>
  </si>
  <si>
    <t>71,10</t>
  </si>
  <si>
    <t>Хорев Артур</t>
  </si>
  <si>
    <t>Открытая (14.10.1986)/34</t>
  </si>
  <si>
    <t>81,30</t>
  </si>
  <si>
    <t>Бабыкин Юрий</t>
  </si>
  <si>
    <t>Открытая (11.08.1986)/34</t>
  </si>
  <si>
    <t>80,10</t>
  </si>
  <si>
    <t>Темиров Хуршед</t>
  </si>
  <si>
    <t xml:space="preserve">Гредягин А. </t>
  </si>
  <si>
    <t>Тихов Сергей</t>
  </si>
  <si>
    <t>Открытая (06.07.1981)/39</t>
  </si>
  <si>
    <t>51,4305</t>
  </si>
  <si>
    <t>50,9731</t>
  </si>
  <si>
    <t>47,1830</t>
  </si>
  <si>
    <t>Васильев Алексей</t>
  </si>
  <si>
    <t>Открытая (18.01.1982)/38</t>
  </si>
  <si>
    <t>88,80</t>
  </si>
  <si>
    <t xml:space="preserve">Васильев А. </t>
  </si>
  <si>
    <t>Чугунов Дмитрий</t>
  </si>
  <si>
    <t>Открытая (07.09.1991)/29</t>
  </si>
  <si>
    <t>83,00</t>
  </si>
  <si>
    <t>Шишко Михаил</t>
  </si>
  <si>
    <t>98,90</t>
  </si>
  <si>
    <t xml:space="preserve">BLR/Бобруйск </t>
  </si>
  <si>
    <t>Степанкина Марина</t>
  </si>
  <si>
    <t>51,60</t>
  </si>
  <si>
    <t>32,5</t>
  </si>
  <si>
    <t>30,5</t>
  </si>
  <si>
    <t>32,0</t>
  </si>
  <si>
    <t>Открытая (19.03.1974)/46</t>
  </si>
  <si>
    <t>Селезнёв Денис</t>
  </si>
  <si>
    <t>73,10</t>
  </si>
  <si>
    <t>Кочнев Валерий</t>
  </si>
  <si>
    <t>Касумов Ариф</t>
  </si>
  <si>
    <t xml:space="preserve">Шишко М. </t>
  </si>
  <si>
    <t>Открытая (19.12.1978)/41</t>
  </si>
  <si>
    <t>Горев Н.</t>
  </si>
  <si>
    <t>Ковалев С.</t>
  </si>
  <si>
    <t>Зайцев С.</t>
  </si>
  <si>
    <t xml:space="preserve">Эрнандес-Ортега А. </t>
  </si>
  <si>
    <t>Клюшев А.</t>
  </si>
  <si>
    <t>Смирнов Д.</t>
  </si>
  <si>
    <t>XI Чемпионат мира по версиям GPA/GPA-D/IPO-D/IPO/СПР
СПР Жим штанги стоя
Долгопрудный/Московская область 31 октября 2020 года</t>
  </si>
  <si>
    <t>XI Чемпионат мира по версиям GPA/GPA-D/IPO-D/IPO/СПР
GPA Пауэрлифтинг без экипировки ДК
Долгопрудный/Московская область 31 октября 2020 года</t>
  </si>
  <si>
    <t>XI Чемпионат мира по версиям GPA/GPA-D/IPO-D/IPO/СПР
GPA Пауэрлифтинг без экипировки
Долгопрудный/Московская область 31 октября 2020 года</t>
  </si>
  <si>
    <t>XI Чемпионат мира по версиям GPA/GPA-D/IPO-D/IPO/СПР
GPA Пауэрлифтинг в бинтах ДК
Долгопрудный/Московская область 31 октября 2020 года</t>
  </si>
  <si>
    <t>XI Чемпионат мира по версиям GPA/GPA-D/IPO-D/IPO/СПР
GPA Пауэрлифтинг в бинтах
Долгопрудный/Московская область 31 октября 2020 года</t>
  </si>
  <si>
    <t>XI Чемпионат мира по версиям GPA/GPA-D/IPO-D/IPO/СПР
GPA Силовое двоеборье без экипировки ДК
Долгопрудный/Московская область 31 октября 2020 года</t>
  </si>
  <si>
    <t>XI Чемпионат мира по версиям GPA/GPA-D/IPO-D/IPO/СПР
GPA Силовое двоеборье без экипировки
Долгопрудный/Московская область 31 октября 2020 года</t>
  </si>
  <si>
    <t>XI Чемпионат мира по версиям GPA/GPA-D/IPO-D/IPO/СПР
GPA Присед без экипировки
Долгопрудный/Московская область 31 октября 2020 года</t>
  </si>
  <si>
    <t>XI Чемпионат мира по версиям GPA/GPA-D/IPO-D/IPO/СПР
GPA Жим лежа без экипировки ДК
Долгопрудный/Московская область 31 октября 2020 года</t>
  </si>
  <si>
    <t>XI Чемпионат мира по версиям GPA/GPA-D/IPO-D/IPO/СПР
GPA Жим лежа без экипировки
Долгопрудный/Московская область 31 октября 2020 года</t>
  </si>
  <si>
    <t>XI Чемпионат мира по версиям GPA/GPA-D/IPO-D/IPO/СПР
IPO Жим лежа в однослойной экипировке ДК
Долгопрудный/Московская область 31 октября 2020 года</t>
  </si>
  <si>
    <t>XI Чемпионат мира по версиям GPA/GPA-D/IPO-D/IPO/СПР
IPO Жим лежа в однослойной экипировке
Долгопрудный/Московская область 31 октября 2020 года</t>
  </si>
  <si>
    <t>XI Чемпионат мира по версиям GPA/GPA-D/IPO-D/IPO/СПР
СПР Жим лежа в однопетельной софт экипировке ДК
Долгопрудный/Московская область 31 октября 2020 года</t>
  </si>
  <si>
    <t>XI Чемпионат мира по версиям GPA/GPA-D/IPO-D/IPO/СПР
СПР Жим лежа в однопетельной софт экипировке
Долгопрудный/Московская область 31 октября 2020 года</t>
  </si>
  <si>
    <t>XI Чемпионат мира по версиям GPA/GPA-D/IPO-D/IPO/СПР
СПР Жим лежа в многопетельной софт экипировке
Долгопрудный/Московская область 31 октября 2020 года</t>
  </si>
  <si>
    <t>XI Чемпионат мира по версиям GPA/GPA-D/IPO-D/IPO/СПР
СПР Жим лежа СФО
Долгопрудный/Московская область 31 октября 2020 года</t>
  </si>
  <si>
    <t>XI Чемпионат мира по версиям GPA/GPA-D/IPO-D/IPO/СПР
GPA Становая тяга без экипировки ДК
Долгопрудный/Московская область 31 октября 2020 года</t>
  </si>
  <si>
    <t>XI Чемпионат мира по версиям GPA/GPA-D/IPO-D/IPO/СПР
GPA Становая тяга без экипировки
Долгопрудный/Московская область 31 октября 2020 года</t>
  </si>
  <si>
    <t>XI Чемпионат мира по версиям GPA/GPA-D/IPO-D/IPO/СПР
IPO Становая тяга в экипировке
Долгопрудный/Московская область 31 октября 2020 года</t>
  </si>
  <si>
    <t>XI Чемпионат мира по версиям GPA/GPA-D/IPO-D/IPO/СПР
СПР Пауэрспорт ДК
Долгопрудный/Московская область 31 октября 2020 года</t>
  </si>
  <si>
    <t>XI Чемпионат мира по версиям GPA/GPA-D/IPO-D/IPO/СПР
СПР Пауэрспорт
Долгопрудный/Московская область 31 октября 2020 года</t>
  </si>
  <si>
    <t>XI Чемпионат мира по версиям GPA/GPA-D/IPO-D/IPO/СПР
СПР Жим штанги стоя ДК
Долгопрудный/Московская область 31 октября 2020 года</t>
  </si>
  <si>
    <t>XI Чемпионат мира по версиям GPA/GPA-D/IPO-D/IPO/СПР
СПР Строгий подъем штанги на бицепс ДК
Долгопрудный/Московская область 31 октября 2020 года</t>
  </si>
  <si>
    <t>XI Чемпионат мира по версиям GPA/GPA-D/IPO-D/IPO/СПР
СПР Строгий подъем штанги на бицепс
Долгопрудный/Московская область 31 октября 2020 года</t>
  </si>
  <si>
    <t>Жакин Владимир</t>
  </si>
  <si>
    <t>Весовая категория</t>
  </si>
  <si>
    <t>Юноши 16-17 (20.12.2002)/17</t>
  </si>
  <si>
    <t>Юноши 13-15 (24.11.2005)/14</t>
  </si>
  <si>
    <t>Юноши 18-19 (24.05.2001)/19</t>
  </si>
  <si>
    <t>Юноши 16-17 (20.04.2003)/17</t>
  </si>
  <si>
    <t>Юниоры 20-23 (09.12.1997)/22</t>
  </si>
  <si>
    <t>Юниоры 20-23 (28.05.1997)/23</t>
  </si>
  <si>
    <t>Девушки 18-19 (30.08.2001)/19</t>
  </si>
  <si>
    <t>Юноши 16-17 (20.08.2004)/16</t>
  </si>
  <si>
    <t>Юниоры 20-23 (01.09.1999)/21</t>
  </si>
  <si>
    <t>Юниоры 20-23 (18.06.1997)/23</t>
  </si>
  <si>
    <t>Юноши 16-17 (11.11.2003)/16</t>
  </si>
  <si>
    <t>Юниоры 20-23 (29.01.1997)/23</t>
  </si>
  <si>
    <t>Девушки 13-19 (30.08.2001)/19</t>
  </si>
  <si>
    <t>Мастера 40-49 (27.04.1975)/45</t>
  </si>
  <si>
    <t>Юноши 13-19 (24.10.2003)/17</t>
  </si>
  <si>
    <t>Мастера 50-59 (20.03.1962)/58</t>
  </si>
  <si>
    <t>Мастера 40-49 (05.09.1971)/49</t>
  </si>
  <si>
    <t>Мастера 50-59 (08.08.1962)/58</t>
  </si>
  <si>
    <t>Мастера 40-49 (01.02.1980)/40</t>
  </si>
  <si>
    <t>Мастера 40-49 (30.04.1975)/45</t>
  </si>
  <si>
    <t>Мастера 40-49 (31.03.1974)/46</t>
  </si>
  <si>
    <t>Мастера 40-49 (12.11.1979)/40</t>
  </si>
  <si>
    <t>Мастера 40-49 (08.07.1975)/45</t>
  </si>
  <si>
    <t>Юниоры 20-23 (19.10.1998)/22</t>
  </si>
  <si>
    <t>Юноши 16-17 (03.12.2003)/16</t>
  </si>
  <si>
    <t>Юноши 18-19 (09.04.2001)/19</t>
  </si>
  <si>
    <t>Юниоры 20-23 (15.11.1996)/23</t>
  </si>
  <si>
    <t>Юниорки 20-23 (17.12.1998)/21</t>
  </si>
  <si>
    <t>Юноши 13-19 (17.03.2001)/19</t>
  </si>
  <si>
    <t>Юноши 13-19 (24.08.2002)/18</t>
  </si>
  <si>
    <t>Мастера 40-49 (25.09.1972)/48</t>
  </si>
  <si>
    <t>Юниоры 20-23 (26.05.2000)/20</t>
  </si>
  <si>
    <t>Мастера 50-59 (25.02.1967)/53</t>
  </si>
  <si>
    <t>Юноши 13-19 (23.11.2002)/17</t>
  </si>
  <si>
    <t>Юноши 13-19 (04.08.2001)/19</t>
  </si>
  <si>
    <t>Мастера 40-49 (10.09.1978)/42</t>
  </si>
  <si>
    <t>Мастера 40-49 (19.12.1978)/41</t>
  </si>
  <si>
    <t>Мастера 50-59 (10.05.1962)/58</t>
  </si>
  <si>
    <t>Мастера 40-49 (17.10.1973)/47</t>
  </si>
  <si>
    <t>Страна/Город</t>
  </si>
  <si>
    <t xml:space="preserve">Соловых В. </t>
  </si>
  <si>
    <t xml:space="preserve">Абдулин М. </t>
  </si>
  <si>
    <t xml:space="preserve">Маркин Н., Абдулин М. </t>
  </si>
  <si>
    <t>Ермолаев В.</t>
  </si>
  <si>
    <t xml:space="preserve">Емельянов Н. </t>
  </si>
  <si>
    <t>Жим</t>
  </si>
  <si>
    <t>Тяга</t>
  </si>
  <si>
    <t xml:space="preserve">Зеленоград </t>
  </si>
  <si>
    <t xml:space="preserve">Тейково </t>
  </si>
  <si>
    <t xml:space="preserve">Пушкино </t>
  </si>
  <si>
    <t xml:space="preserve">Москва </t>
  </si>
  <si>
    <t xml:space="preserve">Люберцы </t>
  </si>
  <si>
    <t xml:space="preserve">Истра </t>
  </si>
  <si>
    <t xml:space="preserve">Южно-Сахалинск </t>
  </si>
  <si>
    <t xml:space="preserve">Ижевск </t>
  </si>
  <si>
    <t xml:space="preserve">Брянск </t>
  </si>
  <si>
    <t xml:space="preserve">Апатиты </t>
  </si>
  <si>
    <t xml:space="preserve">Нальчик </t>
  </si>
  <si>
    <t xml:space="preserve">Королёв </t>
  </si>
  <si>
    <t xml:space="preserve">Протвино </t>
  </si>
  <si>
    <t xml:space="preserve">Павловский Посад </t>
  </si>
  <si>
    <t xml:space="preserve">Дзержинский </t>
  </si>
  <si>
    <t xml:space="preserve">Некрасовский </t>
  </si>
  <si>
    <t xml:space="preserve">Ульяновск </t>
  </si>
  <si>
    <t xml:space="preserve">Хабаровск </t>
  </si>
  <si>
    <t xml:space="preserve">Голицыно </t>
  </si>
  <si>
    <t xml:space="preserve">Богородицк </t>
  </si>
  <si>
    <t xml:space="preserve">Владивосток </t>
  </si>
  <si>
    <t xml:space="preserve">Реутов </t>
  </si>
  <si>
    <t xml:space="preserve">Ухта </t>
  </si>
  <si>
    <t xml:space="preserve">Ярославль </t>
  </si>
  <si>
    <t xml:space="preserve">Курск </t>
  </si>
  <si>
    <t xml:space="preserve">Клин </t>
  </si>
  <si>
    <t xml:space="preserve">Череповец </t>
  </si>
  <si>
    <t xml:space="preserve">Краснодар </t>
  </si>
  <si>
    <t xml:space="preserve">Щербинка </t>
  </si>
  <si>
    <t xml:space="preserve">Балашиха </t>
  </si>
  <si>
    <t xml:space="preserve">Петрозаводск </t>
  </si>
  <si>
    <t xml:space="preserve">Рязань </t>
  </si>
  <si>
    <t xml:space="preserve">Мытищи </t>
  </si>
  <si>
    <t xml:space="preserve">Владимир </t>
  </si>
  <si>
    <t xml:space="preserve">Ногинск </t>
  </si>
  <si>
    <t xml:space="preserve">Калининград </t>
  </si>
  <si>
    <t xml:space="preserve">Санкт-Петербург </t>
  </si>
  <si>
    <t xml:space="preserve">Одинцово </t>
  </si>
  <si>
    <t xml:space="preserve">Щёлково </t>
  </si>
  <si>
    <t xml:space="preserve">Волгодонск </t>
  </si>
  <si>
    <t xml:space="preserve">Пермь </t>
  </si>
  <si>
    <t xml:space="preserve">Новомосковск </t>
  </si>
  <si>
    <t xml:space="preserve">Десногорск </t>
  </si>
  <si>
    <t xml:space="preserve">Можайск </t>
  </si>
  <si>
    <t xml:space="preserve">Гуково </t>
  </si>
  <si>
    <t xml:space="preserve">Долгопрудный </t>
  </si>
  <si>
    <t xml:space="preserve">Сергиев Посад </t>
  </si>
  <si>
    <t xml:space="preserve">Новосибирск </t>
  </si>
  <si>
    <t xml:space="preserve">Серпухов </t>
  </si>
  <si>
    <t xml:space="preserve">Майкоп </t>
  </si>
  <si>
    <t xml:space="preserve">Домодедово </t>
  </si>
  <si>
    <t xml:space="preserve">Орёл </t>
  </si>
  <si>
    <t xml:space="preserve">Москва  </t>
  </si>
  <si>
    <t xml:space="preserve">Воронеж </t>
  </si>
  <si>
    <t xml:space="preserve">Липецк </t>
  </si>
  <si>
    <t xml:space="preserve">Нижний Новгород </t>
  </si>
  <si>
    <t xml:space="preserve">Уфа </t>
  </si>
  <si>
    <t xml:space="preserve">Орехово-Зуево </t>
  </si>
  <si>
    <t xml:space="preserve">Талдом </t>
  </si>
  <si>
    <t xml:space="preserve"> Москва </t>
  </si>
  <si>
    <t xml:space="preserve">Лосино-Петровский </t>
  </si>
  <si>
    <t xml:space="preserve">Вичуга </t>
  </si>
  <si>
    <t xml:space="preserve">Родники </t>
  </si>
  <si>
    <t xml:space="preserve">Фурманов </t>
  </si>
  <si>
    <t xml:space="preserve">Иваново </t>
  </si>
  <si>
    <t xml:space="preserve"> Комсомольск </t>
  </si>
  <si>
    <t xml:space="preserve">Кохма </t>
  </si>
  <si>
    <t xml:space="preserve">Дмитров </t>
  </si>
  <si>
    <t xml:space="preserve">Кубинка </t>
  </si>
  <si>
    <t xml:space="preserve">Фряново </t>
  </si>
  <si>
    <t xml:space="preserve">Зеленоградск </t>
  </si>
  <si>
    <t xml:space="preserve">Волгоград </t>
  </si>
  <si>
    <t xml:space="preserve">Подольск </t>
  </si>
  <si>
    <t xml:space="preserve">Саратов </t>
  </si>
  <si>
    <t xml:space="preserve"> Чебоксары </t>
  </si>
  <si>
    <t xml:space="preserve">Кропоткин </t>
  </si>
  <si>
    <t xml:space="preserve">Энгельс </t>
  </si>
  <si>
    <t xml:space="preserve">Владикавказ </t>
  </si>
  <si>
    <t xml:space="preserve">Лыткарино </t>
  </si>
  <si>
    <t xml:space="preserve">Александрийская </t>
  </si>
  <si>
    <t xml:space="preserve">Пенза </t>
  </si>
  <si>
    <t>Возрастная группа</t>
  </si>
  <si>
    <t>O</t>
  </si>
  <si>
    <t>T2</t>
  </si>
  <si>
    <t>M3</t>
  </si>
  <si>
    <t>M1</t>
  </si>
  <si>
    <t>T1</t>
  </si>
  <si>
    <t>T3</t>
  </si>
  <si>
    <t>M2</t>
  </si>
  <si>
    <t xml:space="preserve">
Дата рождения/Возраст</t>
  </si>
  <si>
    <t>J</t>
  </si>
  <si>
    <t>Римиханов И.</t>
  </si>
  <si>
    <t>M4</t>
  </si>
  <si>
    <t>T</t>
  </si>
  <si>
    <t>M5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</si>
</sst>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Лист5">
    <pageSetUpPr fitToPage="1"/>
  </sheetPr>
  <dimension ref="A1:U50"/>
  <sheetViews>
    <sheetView workbookViewId="0">
      <selection sqref="A1:U2"/>
    </sheetView>
  </sheetViews>
  <sheetFormatPr baseColWidth="10" defaultColWidth="9.1640625" defaultRowHeight="13"/>
  <cols>
    <col min="1" max="1" width="7.5" style="6" bestFit="1" customWidth="1"/>
    <col min="2" max="2" width="21" style="5" bestFit="1" customWidth="1"/>
    <col min="3" max="3" width="27.6640625" style="5" bestFit="1" customWidth="1"/>
    <col min="4" max="4" width="21.5" style="5" bestFit="1" customWidth="1"/>
    <col min="5" max="5" width="10.5" style="5" bestFit="1" customWidth="1"/>
    <col min="6" max="6" width="21.16406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8" width="5.5" style="6" customWidth="1"/>
    <col min="19" max="19" width="7.83203125" style="28" bestFit="1" customWidth="1"/>
    <col min="20" max="20" width="8.5" style="6" bestFit="1" customWidth="1"/>
    <col min="21" max="21" width="26.33203125" style="5" bestFit="1" customWidth="1"/>
    <col min="22" max="16384" width="9.1640625" style="3"/>
  </cols>
  <sheetData>
    <row r="1" spans="1:21" s="2" customFormat="1" ht="29" customHeight="1">
      <c r="A1" s="42" t="s">
        <v>718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</row>
    <row r="2" spans="1:21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s="1" customFormat="1" ht="12.75" customHeight="1">
      <c r="A3" s="50" t="s">
        <v>169</v>
      </c>
      <c r="B3" s="34" t="s">
        <v>0</v>
      </c>
      <c r="C3" s="52" t="s">
        <v>879</v>
      </c>
      <c r="D3" s="52" t="s">
        <v>5</v>
      </c>
      <c r="E3" s="38" t="s">
        <v>871</v>
      </c>
      <c r="F3" s="38" t="s">
        <v>782</v>
      </c>
      <c r="G3" s="38" t="s">
        <v>6</v>
      </c>
      <c r="H3" s="38"/>
      <c r="I3" s="38"/>
      <c r="J3" s="38"/>
      <c r="K3" s="38" t="s">
        <v>7</v>
      </c>
      <c r="L3" s="38"/>
      <c r="M3" s="38"/>
      <c r="N3" s="38"/>
      <c r="O3" s="38" t="s">
        <v>8</v>
      </c>
      <c r="P3" s="38"/>
      <c r="Q3" s="38"/>
      <c r="R3" s="38"/>
      <c r="S3" s="40" t="s">
        <v>1</v>
      </c>
      <c r="T3" s="38" t="s">
        <v>3</v>
      </c>
      <c r="U3" s="53" t="s">
        <v>2</v>
      </c>
    </row>
    <row r="4" spans="1:21" s="1" customFormat="1" ht="21" customHeight="1" thickBot="1">
      <c r="A4" s="51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1"/>
      <c r="T4" s="39"/>
      <c r="U4" s="54"/>
    </row>
    <row r="5" spans="1:21" ht="16">
      <c r="A5" s="36" t="s">
        <v>9</v>
      </c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21">
      <c r="A6" s="8" t="s">
        <v>164</v>
      </c>
      <c r="B6" s="7" t="s">
        <v>10</v>
      </c>
      <c r="C6" s="7" t="s">
        <v>11</v>
      </c>
      <c r="D6" s="7" t="s">
        <v>12</v>
      </c>
      <c r="E6" s="7" t="s">
        <v>872</v>
      </c>
      <c r="F6" s="7" t="s">
        <v>790</v>
      </c>
      <c r="G6" s="20" t="s">
        <v>13</v>
      </c>
      <c r="H6" s="20" t="s">
        <v>14</v>
      </c>
      <c r="I6" s="20" t="s">
        <v>15</v>
      </c>
      <c r="J6" s="8"/>
      <c r="K6" s="20" t="s">
        <v>16</v>
      </c>
      <c r="L6" s="21" t="s">
        <v>17</v>
      </c>
      <c r="M6" s="21" t="s">
        <v>17</v>
      </c>
      <c r="N6" s="8"/>
      <c r="O6" s="20" t="s">
        <v>18</v>
      </c>
      <c r="P6" s="20" t="s">
        <v>19</v>
      </c>
      <c r="Q6" s="20" t="s">
        <v>20</v>
      </c>
      <c r="R6" s="20" t="s">
        <v>21</v>
      </c>
      <c r="S6" s="29" t="str">
        <f>"315,0"</f>
        <v>315,0</v>
      </c>
      <c r="T6" s="8" t="str">
        <f>"735,2730"</f>
        <v>735,2730</v>
      </c>
      <c r="U6" s="7" t="s">
        <v>22</v>
      </c>
    </row>
    <row r="7" spans="1:21">
      <c r="A7" s="10" t="s">
        <v>165</v>
      </c>
      <c r="B7" s="9" t="s">
        <v>23</v>
      </c>
      <c r="C7" s="9" t="s">
        <v>24</v>
      </c>
      <c r="D7" s="9" t="s">
        <v>25</v>
      </c>
      <c r="E7" s="9" t="s">
        <v>872</v>
      </c>
      <c r="F7" s="9" t="s">
        <v>791</v>
      </c>
      <c r="G7" s="22" t="s">
        <v>26</v>
      </c>
      <c r="H7" s="23" t="s">
        <v>26</v>
      </c>
      <c r="I7" s="23" t="s">
        <v>27</v>
      </c>
      <c r="J7" s="10"/>
      <c r="K7" s="23" t="s">
        <v>28</v>
      </c>
      <c r="L7" s="23" t="s">
        <v>29</v>
      </c>
      <c r="M7" s="22" t="s">
        <v>16</v>
      </c>
      <c r="N7" s="10"/>
      <c r="O7" s="23" t="s">
        <v>13</v>
      </c>
      <c r="P7" s="23" t="s">
        <v>14</v>
      </c>
      <c r="Q7" s="23" t="s">
        <v>15</v>
      </c>
      <c r="R7" s="10"/>
      <c r="S7" s="30" t="str">
        <f>"257,5"</f>
        <v>257,5</v>
      </c>
      <c r="T7" s="10" t="str">
        <f>"618,1545"</f>
        <v>618,1545</v>
      </c>
      <c r="U7" s="9"/>
    </row>
    <row r="8" spans="1:21">
      <c r="B8" s="5" t="s">
        <v>166</v>
      </c>
    </row>
    <row r="9" spans="1:21" ht="16">
      <c r="A9" s="33" t="s">
        <v>30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1:21">
      <c r="A10" s="8" t="s">
        <v>164</v>
      </c>
      <c r="B10" s="7" t="s">
        <v>31</v>
      </c>
      <c r="C10" s="7" t="s">
        <v>32</v>
      </c>
      <c r="D10" s="7" t="s">
        <v>33</v>
      </c>
      <c r="E10" s="7" t="s">
        <v>872</v>
      </c>
      <c r="F10" s="7" t="s">
        <v>792</v>
      </c>
      <c r="G10" s="20" t="s">
        <v>16</v>
      </c>
      <c r="H10" s="20" t="s">
        <v>17</v>
      </c>
      <c r="I10" s="20" t="s">
        <v>34</v>
      </c>
      <c r="J10" s="8"/>
      <c r="K10" s="20" t="s">
        <v>35</v>
      </c>
      <c r="L10" s="20" t="s">
        <v>36</v>
      </c>
      <c r="M10" s="20" t="s">
        <v>37</v>
      </c>
      <c r="N10" s="8"/>
      <c r="O10" s="20" t="s">
        <v>17</v>
      </c>
      <c r="P10" s="20" t="s">
        <v>34</v>
      </c>
      <c r="Q10" s="20" t="s">
        <v>38</v>
      </c>
      <c r="R10" s="8"/>
      <c r="S10" s="29" t="str">
        <f>"187,5"</f>
        <v>187,5</v>
      </c>
      <c r="T10" s="8" t="str">
        <f>"359,8875"</f>
        <v>359,8875</v>
      </c>
      <c r="U10" s="7" t="s">
        <v>39</v>
      </c>
    </row>
    <row r="11" spans="1:21">
      <c r="A11" s="10" t="s">
        <v>167</v>
      </c>
      <c r="B11" s="9" t="s">
        <v>40</v>
      </c>
      <c r="C11" s="9" t="s">
        <v>41</v>
      </c>
      <c r="D11" s="9" t="s">
        <v>42</v>
      </c>
      <c r="E11" s="9" t="s">
        <v>872</v>
      </c>
      <c r="F11" s="9" t="s">
        <v>793</v>
      </c>
      <c r="G11" s="22" t="s">
        <v>43</v>
      </c>
      <c r="H11" s="22" t="s">
        <v>43</v>
      </c>
      <c r="I11" s="22" t="s">
        <v>43</v>
      </c>
      <c r="J11" s="10"/>
      <c r="K11" s="22"/>
      <c r="L11" s="10"/>
      <c r="M11" s="10"/>
      <c r="N11" s="10"/>
      <c r="O11" s="22"/>
      <c r="P11" s="10"/>
      <c r="Q11" s="10"/>
      <c r="R11" s="10"/>
      <c r="S11" s="30">
        <v>0</v>
      </c>
      <c r="T11" s="10" t="str">
        <f>"0,0000"</f>
        <v>0,0000</v>
      </c>
      <c r="U11" s="9" t="s">
        <v>45</v>
      </c>
    </row>
    <row r="12" spans="1:21">
      <c r="B12" s="5" t="s">
        <v>166</v>
      </c>
    </row>
    <row r="13" spans="1:21" ht="16">
      <c r="A13" s="33" t="s">
        <v>46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</row>
    <row r="14" spans="1:21">
      <c r="A14" s="8" t="s">
        <v>164</v>
      </c>
      <c r="B14" s="7" t="s">
        <v>47</v>
      </c>
      <c r="C14" s="7" t="s">
        <v>48</v>
      </c>
      <c r="D14" s="7" t="s">
        <v>49</v>
      </c>
      <c r="E14" s="7" t="s">
        <v>872</v>
      </c>
      <c r="F14" s="7" t="s">
        <v>792</v>
      </c>
      <c r="G14" s="20" t="s">
        <v>50</v>
      </c>
      <c r="H14" s="20" t="s">
        <v>51</v>
      </c>
      <c r="I14" s="20" t="s">
        <v>52</v>
      </c>
      <c r="J14" s="8"/>
      <c r="K14" s="20" t="s">
        <v>53</v>
      </c>
      <c r="L14" s="20" t="s">
        <v>28</v>
      </c>
      <c r="M14" s="20" t="s">
        <v>29</v>
      </c>
      <c r="N14" s="8"/>
      <c r="O14" s="20" t="s">
        <v>43</v>
      </c>
      <c r="P14" s="20" t="s">
        <v>54</v>
      </c>
      <c r="Q14" s="20" t="s">
        <v>14</v>
      </c>
      <c r="R14" s="8"/>
      <c r="S14" s="29" t="str">
        <f>"255,0"</f>
        <v>255,0</v>
      </c>
      <c r="T14" s="8" t="str">
        <f>"457,7250"</f>
        <v>457,7250</v>
      </c>
      <c r="U14" s="7" t="s">
        <v>39</v>
      </c>
    </row>
    <row r="15" spans="1:21">
      <c r="A15" s="12" t="s">
        <v>165</v>
      </c>
      <c r="B15" s="11" t="s">
        <v>55</v>
      </c>
      <c r="C15" s="11" t="s">
        <v>56</v>
      </c>
      <c r="D15" s="11" t="s">
        <v>57</v>
      </c>
      <c r="E15" s="11" t="s">
        <v>872</v>
      </c>
      <c r="F15" s="11" t="s">
        <v>792</v>
      </c>
      <c r="G15" s="24" t="s">
        <v>58</v>
      </c>
      <c r="H15" s="25" t="s">
        <v>26</v>
      </c>
      <c r="I15" s="24" t="s">
        <v>51</v>
      </c>
      <c r="J15" s="12"/>
      <c r="K15" s="24" t="s">
        <v>36</v>
      </c>
      <c r="L15" s="24" t="s">
        <v>59</v>
      </c>
      <c r="M15" s="25" t="s">
        <v>53</v>
      </c>
      <c r="N15" s="12"/>
      <c r="O15" s="24" t="s">
        <v>13</v>
      </c>
      <c r="P15" s="25" t="s">
        <v>15</v>
      </c>
      <c r="Q15" s="25" t="s">
        <v>60</v>
      </c>
      <c r="R15" s="12"/>
      <c r="S15" s="31" t="str">
        <f>"235,0"</f>
        <v>235,0</v>
      </c>
      <c r="T15" s="12" t="str">
        <f>"419,0050"</f>
        <v>419,0050</v>
      </c>
      <c r="U15" s="11" t="s">
        <v>39</v>
      </c>
    </row>
    <row r="16" spans="1:21">
      <c r="A16" s="10" t="s">
        <v>168</v>
      </c>
      <c r="B16" s="9" t="s">
        <v>61</v>
      </c>
      <c r="C16" s="9" t="s">
        <v>62</v>
      </c>
      <c r="D16" s="9" t="s">
        <v>63</v>
      </c>
      <c r="E16" s="9" t="s">
        <v>872</v>
      </c>
      <c r="F16" s="9" t="s">
        <v>792</v>
      </c>
      <c r="G16" s="23" t="s">
        <v>34</v>
      </c>
      <c r="H16" s="22" t="s">
        <v>64</v>
      </c>
      <c r="I16" s="23" t="s">
        <v>65</v>
      </c>
      <c r="J16" s="10"/>
      <c r="K16" s="23" t="s">
        <v>66</v>
      </c>
      <c r="L16" s="23" t="s">
        <v>37</v>
      </c>
      <c r="M16" s="23" t="s">
        <v>59</v>
      </c>
      <c r="N16" s="10"/>
      <c r="O16" s="23" t="s">
        <v>26</v>
      </c>
      <c r="P16" s="22" t="s">
        <v>27</v>
      </c>
      <c r="Q16" s="23" t="s">
        <v>27</v>
      </c>
      <c r="R16" s="10"/>
      <c r="S16" s="30" t="str">
        <f>"215,0"</f>
        <v>215,0</v>
      </c>
      <c r="T16" s="10" t="str">
        <f>"389,3220"</f>
        <v>389,3220</v>
      </c>
      <c r="U16" s="9" t="s">
        <v>39</v>
      </c>
    </row>
    <row r="17" spans="1:21">
      <c r="B17" s="5" t="s">
        <v>166</v>
      </c>
    </row>
    <row r="18" spans="1:21" ht="16">
      <c r="A18" s="33" t="s">
        <v>67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</row>
    <row r="19" spans="1:21">
      <c r="A19" s="8" t="s">
        <v>164</v>
      </c>
      <c r="B19" s="7" t="s">
        <v>68</v>
      </c>
      <c r="C19" s="7" t="s">
        <v>69</v>
      </c>
      <c r="D19" s="7" t="s">
        <v>70</v>
      </c>
      <c r="E19" s="7" t="s">
        <v>872</v>
      </c>
      <c r="F19" s="7" t="s">
        <v>794</v>
      </c>
      <c r="G19" s="20" t="s">
        <v>14</v>
      </c>
      <c r="H19" s="20" t="s">
        <v>15</v>
      </c>
      <c r="I19" s="20" t="s">
        <v>71</v>
      </c>
      <c r="J19" s="8"/>
      <c r="K19" s="20" t="s">
        <v>17</v>
      </c>
      <c r="L19" s="20" t="s">
        <v>34</v>
      </c>
      <c r="M19" s="21" t="s">
        <v>64</v>
      </c>
      <c r="N19" s="8"/>
      <c r="O19" s="20" t="s">
        <v>18</v>
      </c>
      <c r="P19" s="20" t="s">
        <v>20</v>
      </c>
      <c r="Q19" s="20" t="s">
        <v>21</v>
      </c>
      <c r="R19" s="8"/>
      <c r="S19" s="29" t="str">
        <f>"335,0"</f>
        <v>335,0</v>
      </c>
      <c r="T19" s="8" t="str">
        <f>"569,5000"</f>
        <v>569,5000</v>
      </c>
      <c r="U19" s="7" t="s">
        <v>72</v>
      </c>
    </row>
    <row r="20" spans="1:21">
      <c r="A20" s="10" t="s">
        <v>165</v>
      </c>
      <c r="B20" s="9" t="s">
        <v>73</v>
      </c>
      <c r="C20" s="9" t="s">
        <v>74</v>
      </c>
      <c r="D20" s="9" t="s">
        <v>75</v>
      </c>
      <c r="E20" s="9" t="s">
        <v>872</v>
      </c>
      <c r="F20" s="9" t="s">
        <v>792</v>
      </c>
      <c r="G20" s="23" t="s">
        <v>76</v>
      </c>
      <c r="H20" s="22" t="s">
        <v>38</v>
      </c>
      <c r="I20" s="23" t="s">
        <v>64</v>
      </c>
      <c r="J20" s="10"/>
      <c r="K20" s="23" t="s">
        <v>37</v>
      </c>
      <c r="L20" s="23" t="s">
        <v>53</v>
      </c>
      <c r="M20" s="22" t="s">
        <v>28</v>
      </c>
      <c r="N20" s="10"/>
      <c r="O20" s="23" t="s">
        <v>26</v>
      </c>
      <c r="P20" s="23" t="s">
        <v>27</v>
      </c>
      <c r="Q20" s="23" t="s">
        <v>43</v>
      </c>
      <c r="R20" s="10"/>
      <c r="S20" s="30" t="str">
        <f>"220,0"</f>
        <v>220,0</v>
      </c>
      <c r="T20" s="10" t="str">
        <f>"365,7280"</f>
        <v>365,7280</v>
      </c>
      <c r="U20" s="9" t="s">
        <v>39</v>
      </c>
    </row>
    <row r="21" spans="1:21">
      <c r="B21" s="5" t="s">
        <v>166</v>
      </c>
    </row>
    <row r="22" spans="1:21" ht="16">
      <c r="A22" s="33" t="s">
        <v>77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</row>
    <row r="23" spans="1:21">
      <c r="A23" s="14" t="s">
        <v>164</v>
      </c>
      <c r="B23" s="13" t="s">
        <v>78</v>
      </c>
      <c r="C23" s="13" t="s">
        <v>79</v>
      </c>
      <c r="D23" s="13" t="s">
        <v>80</v>
      </c>
      <c r="E23" s="13" t="s">
        <v>872</v>
      </c>
      <c r="F23" s="13" t="s">
        <v>792</v>
      </c>
      <c r="G23" s="26" t="s">
        <v>51</v>
      </c>
      <c r="H23" s="27" t="s">
        <v>27</v>
      </c>
      <c r="I23" s="27" t="s">
        <v>43</v>
      </c>
      <c r="J23" s="14"/>
      <c r="K23" s="27" t="s">
        <v>36</v>
      </c>
      <c r="L23" s="27" t="s">
        <v>59</v>
      </c>
      <c r="M23" s="27" t="s">
        <v>53</v>
      </c>
      <c r="N23" s="14"/>
      <c r="O23" s="27" t="s">
        <v>13</v>
      </c>
      <c r="P23" s="27" t="s">
        <v>15</v>
      </c>
      <c r="Q23" s="27" t="s">
        <v>60</v>
      </c>
      <c r="R23" s="14"/>
      <c r="S23" s="32" t="str">
        <f>"265,0"</f>
        <v>265,0</v>
      </c>
      <c r="T23" s="14" t="str">
        <f>"433,2750"</f>
        <v>433,2750</v>
      </c>
      <c r="U23" s="13" t="s">
        <v>39</v>
      </c>
    </row>
    <row r="24" spans="1:21">
      <c r="B24" s="5" t="s">
        <v>166</v>
      </c>
    </row>
    <row r="25" spans="1:21" ht="16">
      <c r="A25" s="33" t="s">
        <v>77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</row>
    <row r="26" spans="1:21">
      <c r="A26" s="8" t="s">
        <v>164</v>
      </c>
      <c r="B26" s="7" t="s">
        <v>81</v>
      </c>
      <c r="C26" s="7" t="s">
        <v>743</v>
      </c>
      <c r="D26" s="7" t="s">
        <v>82</v>
      </c>
      <c r="E26" s="7" t="s">
        <v>873</v>
      </c>
      <c r="F26" s="7" t="s">
        <v>795</v>
      </c>
      <c r="G26" s="20" t="s">
        <v>13</v>
      </c>
      <c r="H26" s="20" t="s">
        <v>60</v>
      </c>
      <c r="I26" s="20" t="s">
        <v>18</v>
      </c>
      <c r="J26" s="8"/>
      <c r="K26" s="20" t="s">
        <v>65</v>
      </c>
      <c r="L26" s="20" t="s">
        <v>51</v>
      </c>
      <c r="M26" s="21" t="s">
        <v>52</v>
      </c>
      <c r="N26" s="8"/>
      <c r="O26" s="20" t="s">
        <v>83</v>
      </c>
      <c r="P26" s="20" t="s">
        <v>84</v>
      </c>
      <c r="Q26" s="21" t="s">
        <v>85</v>
      </c>
      <c r="R26" s="8"/>
      <c r="S26" s="29" t="str">
        <f>"392,5"</f>
        <v>392,5</v>
      </c>
      <c r="T26" s="8" t="str">
        <f>"438,6580"</f>
        <v>438,6580</v>
      </c>
      <c r="U26" s="7" t="s">
        <v>86</v>
      </c>
    </row>
    <row r="27" spans="1:21">
      <c r="A27" s="12" t="s">
        <v>164</v>
      </c>
      <c r="B27" s="11" t="s">
        <v>87</v>
      </c>
      <c r="C27" s="11" t="s">
        <v>88</v>
      </c>
      <c r="D27" s="11" t="s">
        <v>89</v>
      </c>
      <c r="E27" s="11" t="s">
        <v>872</v>
      </c>
      <c r="F27" s="11" t="s">
        <v>793</v>
      </c>
      <c r="G27" s="24" t="s">
        <v>21</v>
      </c>
      <c r="H27" s="24" t="s">
        <v>90</v>
      </c>
      <c r="I27" s="24" t="s">
        <v>91</v>
      </c>
      <c r="J27" s="12"/>
      <c r="K27" s="25" t="s">
        <v>60</v>
      </c>
      <c r="L27" s="24" t="s">
        <v>60</v>
      </c>
      <c r="M27" s="24" t="s">
        <v>92</v>
      </c>
      <c r="N27" s="12"/>
      <c r="O27" s="24" t="s">
        <v>21</v>
      </c>
      <c r="P27" s="24" t="s">
        <v>91</v>
      </c>
      <c r="Q27" s="24" t="s">
        <v>93</v>
      </c>
      <c r="R27" s="12"/>
      <c r="S27" s="31" t="str">
        <f>"452,5"</f>
        <v>452,5</v>
      </c>
      <c r="T27" s="12" t="str">
        <f>"511,5060"</f>
        <v>511,5060</v>
      </c>
      <c r="U27" s="11" t="s">
        <v>94</v>
      </c>
    </row>
    <row r="28" spans="1:21">
      <c r="A28" s="10" t="s">
        <v>164</v>
      </c>
      <c r="B28" s="9" t="s">
        <v>741</v>
      </c>
      <c r="C28" s="9" t="s">
        <v>95</v>
      </c>
      <c r="D28" s="9" t="s">
        <v>96</v>
      </c>
      <c r="E28" s="9" t="s">
        <v>874</v>
      </c>
      <c r="F28" s="9" t="s">
        <v>793</v>
      </c>
      <c r="G28" s="23" t="s">
        <v>71</v>
      </c>
      <c r="H28" s="23" t="s">
        <v>60</v>
      </c>
      <c r="I28" s="22" t="s">
        <v>97</v>
      </c>
      <c r="J28" s="10"/>
      <c r="K28" s="23" t="s">
        <v>26</v>
      </c>
      <c r="L28" s="23" t="s">
        <v>27</v>
      </c>
      <c r="M28" s="22" t="s">
        <v>52</v>
      </c>
      <c r="N28" s="10"/>
      <c r="O28" s="23" t="s">
        <v>44</v>
      </c>
      <c r="P28" s="23" t="s">
        <v>98</v>
      </c>
      <c r="Q28" s="22" t="s">
        <v>99</v>
      </c>
      <c r="R28" s="10"/>
      <c r="S28" s="30" t="str">
        <f>"347,5"</f>
        <v>347,5</v>
      </c>
      <c r="T28" s="10" t="str">
        <f>"634,3960"</f>
        <v>634,3960</v>
      </c>
      <c r="U28" s="9"/>
    </row>
    <row r="29" spans="1:21">
      <c r="B29" s="5" t="s">
        <v>166</v>
      </c>
    </row>
    <row r="30" spans="1:21" ht="16">
      <c r="A30" s="33" t="s">
        <v>100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</row>
    <row r="31" spans="1:21">
      <c r="A31" s="8" t="s">
        <v>164</v>
      </c>
      <c r="B31" s="7" t="s">
        <v>101</v>
      </c>
      <c r="C31" s="7" t="s">
        <v>102</v>
      </c>
      <c r="D31" s="7" t="s">
        <v>103</v>
      </c>
      <c r="E31" s="7" t="s">
        <v>872</v>
      </c>
      <c r="F31" s="7" t="s">
        <v>796</v>
      </c>
      <c r="G31" s="20" t="s">
        <v>104</v>
      </c>
      <c r="H31" s="21" t="s">
        <v>105</v>
      </c>
      <c r="I31" s="21" t="s">
        <v>105</v>
      </c>
      <c r="J31" s="8"/>
      <c r="K31" s="20" t="s">
        <v>44</v>
      </c>
      <c r="L31" s="20" t="s">
        <v>98</v>
      </c>
      <c r="M31" s="21" t="s">
        <v>106</v>
      </c>
      <c r="N31" s="8"/>
      <c r="O31" s="20" t="s">
        <v>107</v>
      </c>
      <c r="P31" s="20" t="s">
        <v>108</v>
      </c>
      <c r="Q31" s="21" t="s">
        <v>109</v>
      </c>
      <c r="R31" s="8"/>
      <c r="S31" s="29" t="str">
        <f>"595,0"</f>
        <v>595,0</v>
      </c>
      <c r="T31" s="8" t="str">
        <f>"576,5550"</f>
        <v>576,5550</v>
      </c>
      <c r="U31" s="7" t="s">
        <v>110</v>
      </c>
    </row>
    <row r="32" spans="1:21">
      <c r="A32" s="12" t="s">
        <v>165</v>
      </c>
      <c r="B32" s="11" t="s">
        <v>111</v>
      </c>
      <c r="C32" s="11" t="s">
        <v>112</v>
      </c>
      <c r="D32" s="11" t="s">
        <v>113</v>
      </c>
      <c r="E32" s="11" t="s">
        <v>872</v>
      </c>
      <c r="F32" s="11" t="s">
        <v>792</v>
      </c>
      <c r="G32" s="24" t="s">
        <v>114</v>
      </c>
      <c r="H32" s="24" t="s">
        <v>104</v>
      </c>
      <c r="I32" s="24" t="s">
        <v>115</v>
      </c>
      <c r="J32" s="12"/>
      <c r="K32" s="24" t="s">
        <v>98</v>
      </c>
      <c r="L32" s="24" t="s">
        <v>20</v>
      </c>
      <c r="M32" s="25" t="s">
        <v>21</v>
      </c>
      <c r="N32" s="12"/>
      <c r="O32" s="24" t="s">
        <v>115</v>
      </c>
      <c r="P32" s="24" t="s">
        <v>116</v>
      </c>
      <c r="Q32" s="24" t="s">
        <v>117</v>
      </c>
      <c r="R32" s="12"/>
      <c r="S32" s="31" t="str">
        <f>"577,5"</f>
        <v>577,5</v>
      </c>
      <c r="T32" s="12" t="str">
        <f>"562,7160"</f>
        <v>562,7160</v>
      </c>
      <c r="U32" s="11" t="s">
        <v>39</v>
      </c>
    </row>
    <row r="33" spans="1:21">
      <c r="A33" s="12" t="s">
        <v>168</v>
      </c>
      <c r="B33" s="11" t="s">
        <v>118</v>
      </c>
      <c r="C33" s="11" t="s">
        <v>119</v>
      </c>
      <c r="D33" s="11" t="s">
        <v>120</v>
      </c>
      <c r="E33" s="11" t="s">
        <v>872</v>
      </c>
      <c r="F33" s="11" t="s">
        <v>797</v>
      </c>
      <c r="G33" s="25" t="s">
        <v>121</v>
      </c>
      <c r="H33" s="24" t="s">
        <v>121</v>
      </c>
      <c r="I33" s="25" t="s">
        <v>104</v>
      </c>
      <c r="J33" s="12"/>
      <c r="K33" s="24" t="s">
        <v>97</v>
      </c>
      <c r="L33" s="25" t="s">
        <v>122</v>
      </c>
      <c r="M33" s="25" t="s">
        <v>122</v>
      </c>
      <c r="N33" s="12"/>
      <c r="O33" s="24" t="s">
        <v>105</v>
      </c>
      <c r="P33" s="24" t="s">
        <v>123</v>
      </c>
      <c r="Q33" s="25" t="s">
        <v>107</v>
      </c>
      <c r="R33" s="12"/>
      <c r="S33" s="31" t="str">
        <f>"530,0"</f>
        <v>530,0</v>
      </c>
      <c r="T33" s="12" t="str">
        <f>"530,4240"</f>
        <v>530,4240</v>
      </c>
      <c r="U33" s="11"/>
    </row>
    <row r="34" spans="1:21">
      <c r="A34" s="10" t="s">
        <v>164</v>
      </c>
      <c r="B34" s="9" t="s">
        <v>101</v>
      </c>
      <c r="C34" s="9" t="s">
        <v>124</v>
      </c>
      <c r="D34" s="9" t="s">
        <v>103</v>
      </c>
      <c r="E34" s="9" t="s">
        <v>875</v>
      </c>
      <c r="F34" s="9" t="s">
        <v>796</v>
      </c>
      <c r="G34" s="23" t="s">
        <v>104</v>
      </c>
      <c r="H34" s="22" t="s">
        <v>105</v>
      </c>
      <c r="I34" s="22" t="s">
        <v>105</v>
      </c>
      <c r="J34" s="10"/>
      <c r="K34" s="23" t="s">
        <v>44</v>
      </c>
      <c r="L34" s="23" t="s">
        <v>98</v>
      </c>
      <c r="M34" s="22" t="s">
        <v>106</v>
      </c>
      <c r="N34" s="10"/>
      <c r="O34" s="23" t="s">
        <v>107</v>
      </c>
      <c r="P34" s="23" t="s">
        <v>108</v>
      </c>
      <c r="Q34" s="22" t="s">
        <v>109</v>
      </c>
      <c r="R34" s="10"/>
      <c r="S34" s="30" t="str">
        <f>"595,0"</f>
        <v>595,0</v>
      </c>
      <c r="T34" s="10" t="str">
        <f>"579,4378"</f>
        <v>579,4378</v>
      </c>
      <c r="U34" s="9" t="s">
        <v>110</v>
      </c>
    </row>
    <row r="35" spans="1:21">
      <c r="B35" s="5" t="s">
        <v>166</v>
      </c>
    </row>
    <row r="36" spans="1:21" ht="16">
      <c r="A36" s="33" t="s">
        <v>125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</row>
    <row r="37" spans="1:21">
      <c r="A37" s="8" t="s">
        <v>164</v>
      </c>
      <c r="B37" s="7" t="s">
        <v>126</v>
      </c>
      <c r="C37" s="7" t="s">
        <v>744</v>
      </c>
      <c r="D37" s="7" t="s">
        <v>127</v>
      </c>
      <c r="E37" s="7" t="s">
        <v>876</v>
      </c>
      <c r="F37" s="7" t="s">
        <v>798</v>
      </c>
      <c r="G37" s="20" t="s">
        <v>71</v>
      </c>
      <c r="H37" s="21" t="s">
        <v>97</v>
      </c>
      <c r="I37" s="20" t="s">
        <v>92</v>
      </c>
      <c r="J37" s="8"/>
      <c r="K37" s="20" t="s">
        <v>28</v>
      </c>
      <c r="L37" s="20" t="s">
        <v>16</v>
      </c>
      <c r="M37" s="20" t="s">
        <v>17</v>
      </c>
      <c r="N37" s="8"/>
      <c r="O37" s="21" t="s">
        <v>97</v>
      </c>
      <c r="P37" s="20" t="s">
        <v>97</v>
      </c>
      <c r="Q37" s="20" t="s">
        <v>18</v>
      </c>
      <c r="R37" s="8"/>
      <c r="S37" s="29" t="str">
        <f>"327,5"</f>
        <v>327,5</v>
      </c>
      <c r="T37" s="8" t="str">
        <f>"311,3215"</f>
        <v>311,3215</v>
      </c>
      <c r="U37" s="7"/>
    </row>
    <row r="38" spans="1:21">
      <c r="A38" s="12" t="s">
        <v>164</v>
      </c>
      <c r="B38" s="11" t="s">
        <v>128</v>
      </c>
      <c r="C38" s="11" t="s">
        <v>745</v>
      </c>
      <c r="D38" s="11" t="s">
        <v>129</v>
      </c>
      <c r="E38" s="11" t="s">
        <v>877</v>
      </c>
      <c r="F38" s="11" t="s">
        <v>798</v>
      </c>
      <c r="G38" s="24" t="s">
        <v>19</v>
      </c>
      <c r="H38" s="25" t="s">
        <v>90</v>
      </c>
      <c r="I38" s="24" t="s">
        <v>90</v>
      </c>
      <c r="J38" s="12"/>
      <c r="K38" s="24" t="s">
        <v>50</v>
      </c>
      <c r="L38" s="24" t="s">
        <v>51</v>
      </c>
      <c r="M38" s="24" t="s">
        <v>43</v>
      </c>
      <c r="N38" s="12"/>
      <c r="O38" s="24" t="s">
        <v>20</v>
      </c>
      <c r="P38" s="24" t="s">
        <v>90</v>
      </c>
      <c r="Q38" s="24" t="s">
        <v>91</v>
      </c>
      <c r="R38" s="12"/>
      <c r="S38" s="31" t="str">
        <f>"410,0"</f>
        <v>410,0</v>
      </c>
      <c r="T38" s="12" t="str">
        <f>"379,4140"</f>
        <v>379,4140</v>
      </c>
      <c r="U38" s="11"/>
    </row>
    <row r="39" spans="1:21">
      <c r="A39" s="12" t="s">
        <v>167</v>
      </c>
      <c r="B39" s="11" t="s">
        <v>130</v>
      </c>
      <c r="C39" s="11" t="s">
        <v>131</v>
      </c>
      <c r="D39" s="11" t="s">
        <v>132</v>
      </c>
      <c r="E39" s="11" t="s">
        <v>872</v>
      </c>
      <c r="F39" s="11" t="s">
        <v>793</v>
      </c>
      <c r="G39" s="25" t="s">
        <v>105</v>
      </c>
      <c r="H39" s="25" t="s">
        <v>105</v>
      </c>
      <c r="I39" s="25" t="s">
        <v>105</v>
      </c>
      <c r="J39" s="12"/>
      <c r="K39" s="25"/>
      <c r="L39" s="12"/>
      <c r="M39" s="12"/>
      <c r="N39" s="12"/>
      <c r="O39" s="25"/>
      <c r="P39" s="12"/>
      <c r="Q39" s="12"/>
      <c r="R39" s="12"/>
      <c r="S39" s="31">
        <v>0</v>
      </c>
      <c r="T39" s="12" t="str">
        <f>"0,0000"</f>
        <v>0,0000</v>
      </c>
      <c r="U39" s="11"/>
    </row>
    <row r="40" spans="1:21">
      <c r="A40" s="10" t="s">
        <v>164</v>
      </c>
      <c r="B40" s="9" t="s">
        <v>133</v>
      </c>
      <c r="C40" s="9" t="s">
        <v>134</v>
      </c>
      <c r="D40" s="9" t="s">
        <v>135</v>
      </c>
      <c r="E40" s="9" t="s">
        <v>878</v>
      </c>
      <c r="F40" s="9" t="s">
        <v>799</v>
      </c>
      <c r="G40" s="23" t="s">
        <v>115</v>
      </c>
      <c r="H40" s="23" t="s">
        <v>116</v>
      </c>
      <c r="I40" s="23" t="s">
        <v>136</v>
      </c>
      <c r="J40" s="10"/>
      <c r="K40" s="23" t="s">
        <v>21</v>
      </c>
      <c r="L40" s="22" t="s">
        <v>90</v>
      </c>
      <c r="M40" s="23" t="s">
        <v>90</v>
      </c>
      <c r="N40" s="10"/>
      <c r="O40" s="23" t="s">
        <v>137</v>
      </c>
      <c r="P40" s="23" t="s">
        <v>138</v>
      </c>
      <c r="Q40" s="23" t="s">
        <v>139</v>
      </c>
      <c r="R40" s="10"/>
      <c r="S40" s="30" t="str">
        <f>"650,0"</f>
        <v>650,0</v>
      </c>
      <c r="T40" s="10" t="str">
        <f>"744,0875"</f>
        <v>744,0875</v>
      </c>
      <c r="U40" s="9"/>
    </row>
    <row r="41" spans="1:21">
      <c r="B41" s="5" t="s">
        <v>166</v>
      </c>
    </row>
    <row r="44" spans="1:21" ht="18">
      <c r="B44" s="15" t="s">
        <v>140</v>
      </c>
      <c r="C44" s="15"/>
    </row>
    <row r="45" spans="1:21" ht="16">
      <c r="B45" s="16" t="s">
        <v>141</v>
      </c>
      <c r="C45" s="16"/>
    </row>
    <row r="46" spans="1:21" ht="14">
      <c r="B46" s="17"/>
      <c r="C46" s="18" t="s">
        <v>142</v>
      </c>
    </row>
    <row r="47" spans="1:21" ht="14">
      <c r="A47" s="1"/>
      <c r="B47" s="19" t="s">
        <v>143</v>
      </c>
      <c r="C47" s="19" t="s">
        <v>144</v>
      </c>
      <c r="D47" s="19" t="s">
        <v>742</v>
      </c>
      <c r="E47" s="19" t="s">
        <v>146</v>
      </c>
      <c r="F47" s="19" t="s">
        <v>147</v>
      </c>
    </row>
    <row r="48" spans="1:21">
      <c r="B48" s="5" t="s">
        <v>10</v>
      </c>
      <c r="C48" s="5" t="s">
        <v>142</v>
      </c>
      <c r="D48" s="6" t="s">
        <v>148</v>
      </c>
      <c r="E48" s="6" t="s">
        <v>149</v>
      </c>
      <c r="F48" s="6" t="s">
        <v>150</v>
      </c>
    </row>
    <row r="49" spans="2:6">
      <c r="B49" s="5" t="s">
        <v>23</v>
      </c>
      <c r="C49" s="5" t="s">
        <v>142</v>
      </c>
      <c r="D49" s="6" t="s">
        <v>148</v>
      </c>
      <c r="E49" s="6" t="s">
        <v>108</v>
      </c>
      <c r="F49" s="6" t="s">
        <v>151</v>
      </c>
    </row>
    <row r="50" spans="2:6">
      <c r="B50" s="5" t="s">
        <v>68</v>
      </c>
      <c r="C50" s="5" t="s">
        <v>142</v>
      </c>
      <c r="D50" s="6" t="s">
        <v>152</v>
      </c>
      <c r="E50" s="6" t="s">
        <v>153</v>
      </c>
      <c r="F50" s="6" t="s">
        <v>154</v>
      </c>
    </row>
  </sheetData>
  <mergeCells count="21"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25:R25"/>
    <mergeCell ref="A30:R30"/>
    <mergeCell ref="A36:R36"/>
    <mergeCell ref="B3:B4"/>
    <mergeCell ref="A5:R5"/>
    <mergeCell ref="A9:R9"/>
    <mergeCell ref="A13:R13"/>
    <mergeCell ref="A18:R18"/>
    <mergeCell ref="A22:R22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1640625" style="5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3" style="5" customWidth="1"/>
    <col min="14" max="16384" width="9.1640625" style="3"/>
  </cols>
  <sheetData>
    <row r="1" spans="1:13" s="2" customFormat="1" ht="29" customHeight="1">
      <c r="A1" s="42" t="s">
        <v>727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169</v>
      </c>
      <c r="B3" s="34" t="s">
        <v>0</v>
      </c>
      <c r="C3" s="52" t="s">
        <v>879</v>
      </c>
      <c r="D3" s="52" t="s">
        <v>5</v>
      </c>
      <c r="E3" s="38" t="s">
        <v>871</v>
      </c>
      <c r="F3" s="38" t="s">
        <v>782</v>
      </c>
      <c r="G3" s="38" t="s">
        <v>7</v>
      </c>
      <c r="H3" s="38"/>
      <c r="I3" s="38"/>
      <c r="J3" s="38"/>
      <c r="K3" s="38" t="s">
        <v>298</v>
      </c>
      <c r="L3" s="38" t="s">
        <v>3</v>
      </c>
      <c r="M3" s="53" t="s">
        <v>2</v>
      </c>
    </row>
    <row r="4" spans="1:13" s="1" customFormat="1" ht="21" customHeight="1" thickBot="1">
      <c r="A4" s="51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54"/>
    </row>
    <row r="5" spans="1:13" ht="16">
      <c r="A5" s="36" t="s">
        <v>175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14" t="s">
        <v>164</v>
      </c>
      <c r="B6" s="13" t="s">
        <v>450</v>
      </c>
      <c r="C6" s="13" t="s">
        <v>451</v>
      </c>
      <c r="D6" s="13" t="s">
        <v>452</v>
      </c>
      <c r="E6" s="13" t="s">
        <v>875</v>
      </c>
      <c r="F6" s="13" t="s">
        <v>813</v>
      </c>
      <c r="G6" s="27" t="s">
        <v>377</v>
      </c>
      <c r="H6" s="27" t="s">
        <v>214</v>
      </c>
      <c r="I6" s="26" t="s">
        <v>453</v>
      </c>
      <c r="J6" s="14"/>
      <c r="K6" s="14" t="str">
        <f>"202,5"</f>
        <v>202,5</v>
      </c>
      <c r="L6" s="14" t="str">
        <f>"232,0605"</f>
        <v>232,0605</v>
      </c>
      <c r="M6" s="13"/>
    </row>
    <row r="7" spans="1:13">
      <c r="B7" s="5" t="s">
        <v>166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12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17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2.6640625" style="5" bestFit="1" customWidth="1"/>
    <col min="14" max="16384" width="9.1640625" style="3"/>
  </cols>
  <sheetData>
    <row r="1" spans="1:13" s="2" customFormat="1" ht="29" customHeight="1">
      <c r="A1" s="42" t="s">
        <v>728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169</v>
      </c>
      <c r="B3" s="34" t="s">
        <v>0</v>
      </c>
      <c r="C3" s="52" t="s">
        <v>879</v>
      </c>
      <c r="D3" s="52" t="s">
        <v>5</v>
      </c>
      <c r="E3" s="38" t="s">
        <v>871</v>
      </c>
      <c r="F3" s="38" t="s">
        <v>782</v>
      </c>
      <c r="G3" s="38" t="s">
        <v>7</v>
      </c>
      <c r="H3" s="38"/>
      <c r="I3" s="38"/>
      <c r="J3" s="38"/>
      <c r="K3" s="38" t="s">
        <v>298</v>
      </c>
      <c r="L3" s="38" t="s">
        <v>3</v>
      </c>
      <c r="M3" s="53" t="s">
        <v>2</v>
      </c>
    </row>
    <row r="4" spans="1:13" s="1" customFormat="1" ht="21" customHeight="1" thickBot="1">
      <c r="A4" s="51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54"/>
    </row>
    <row r="5" spans="1:13" ht="16">
      <c r="A5" s="36" t="s">
        <v>175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14" t="s">
        <v>164</v>
      </c>
      <c r="B6" s="13" t="s">
        <v>439</v>
      </c>
      <c r="C6" s="13" t="s">
        <v>440</v>
      </c>
      <c r="D6" s="13" t="s">
        <v>367</v>
      </c>
      <c r="E6" s="13" t="s">
        <v>872</v>
      </c>
      <c r="F6" s="13" t="s">
        <v>840</v>
      </c>
      <c r="G6" s="27" t="s">
        <v>114</v>
      </c>
      <c r="H6" s="27" t="s">
        <v>441</v>
      </c>
      <c r="I6" s="26" t="s">
        <v>214</v>
      </c>
      <c r="J6" s="14"/>
      <c r="K6" s="14" t="str">
        <f>"197,5"</f>
        <v>197,5</v>
      </c>
      <c r="L6" s="14" t="str">
        <f>"206,9800"</f>
        <v>206,9800</v>
      </c>
      <c r="M6" s="13" t="s">
        <v>442</v>
      </c>
    </row>
    <row r="7" spans="1:13">
      <c r="B7" s="5" t="s">
        <v>166</v>
      </c>
    </row>
    <row r="8" spans="1:13" ht="16">
      <c r="A8" s="33" t="s">
        <v>125</v>
      </c>
      <c r="B8" s="33"/>
      <c r="C8" s="33"/>
      <c r="D8" s="33"/>
      <c r="E8" s="33"/>
      <c r="F8" s="33"/>
      <c r="G8" s="33"/>
      <c r="H8" s="33"/>
      <c r="I8" s="33"/>
      <c r="J8" s="33"/>
    </row>
    <row r="9" spans="1:13">
      <c r="A9" s="8" t="s">
        <v>164</v>
      </c>
      <c r="B9" s="7" t="s">
        <v>443</v>
      </c>
      <c r="C9" s="7" t="s">
        <v>444</v>
      </c>
      <c r="D9" s="7" t="s">
        <v>445</v>
      </c>
      <c r="E9" s="7" t="s">
        <v>872</v>
      </c>
      <c r="F9" s="7" t="s">
        <v>794</v>
      </c>
      <c r="G9" s="20" t="s">
        <v>219</v>
      </c>
      <c r="H9" s="20" t="s">
        <v>446</v>
      </c>
      <c r="I9" s="21" t="s">
        <v>206</v>
      </c>
      <c r="J9" s="8"/>
      <c r="K9" s="8" t="str">
        <f>"297,5"</f>
        <v>297,5</v>
      </c>
      <c r="L9" s="8" t="str">
        <f>"273,4025"</f>
        <v>273,4025</v>
      </c>
      <c r="M9" s="7" t="s">
        <v>393</v>
      </c>
    </row>
    <row r="10" spans="1:13">
      <c r="A10" s="12" t="s">
        <v>164</v>
      </c>
      <c r="B10" s="11" t="s">
        <v>443</v>
      </c>
      <c r="C10" s="11" t="s">
        <v>447</v>
      </c>
      <c r="D10" s="11" t="s">
        <v>445</v>
      </c>
      <c r="E10" s="11" t="s">
        <v>875</v>
      </c>
      <c r="F10" s="11" t="s">
        <v>794</v>
      </c>
      <c r="G10" s="24" t="s">
        <v>219</v>
      </c>
      <c r="H10" s="24" t="s">
        <v>446</v>
      </c>
      <c r="I10" s="25" t="s">
        <v>206</v>
      </c>
      <c r="J10" s="12"/>
      <c r="K10" s="12" t="str">
        <f>"297,5"</f>
        <v>297,5</v>
      </c>
      <c r="L10" s="12" t="str">
        <f>"299,6491"</f>
        <v>299,6491</v>
      </c>
      <c r="M10" s="11" t="s">
        <v>393</v>
      </c>
    </row>
    <row r="11" spans="1:13">
      <c r="A11" s="10" t="s">
        <v>165</v>
      </c>
      <c r="B11" s="9" t="s">
        <v>448</v>
      </c>
      <c r="C11" s="9" t="s">
        <v>449</v>
      </c>
      <c r="D11" s="9" t="s">
        <v>392</v>
      </c>
      <c r="E11" s="9" t="s">
        <v>875</v>
      </c>
      <c r="F11" s="9" t="s">
        <v>793</v>
      </c>
      <c r="G11" s="23" t="s">
        <v>104</v>
      </c>
      <c r="H11" s="22" t="s">
        <v>115</v>
      </c>
      <c r="I11" s="23" t="s">
        <v>115</v>
      </c>
      <c r="J11" s="10"/>
      <c r="K11" s="10" t="str">
        <f>"205,0"</f>
        <v>205,0</v>
      </c>
      <c r="L11" s="10" t="str">
        <f>"187,9850"</f>
        <v>187,9850</v>
      </c>
      <c r="M11" s="9" t="s">
        <v>785</v>
      </c>
    </row>
    <row r="12" spans="1:13">
      <c r="B12" s="5" t="s">
        <v>166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2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8" style="5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10" width="5.5" style="6" customWidth="1"/>
    <col min="11" max="11" width="10.5" style="6" bestFit="1" customWidth="1"/>
    <col min="12" max="12" width="8.5" style="6" bestFit="1" customWidth="1"/>
    <col min="13" max="13" width="19.33203125" style="5" bestFit="1" customWidth="1"/>
    <col min="14" max="16384" width="9.1640625" style="3"/>
  </cols>
  <sheetData>
    <row r="1" spans="1:13" s="2" customFormat="1" ht="29" customHeight="1">
      <c r="A1" s="42" t="s">
        <v>729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169</v>
      </c>
      <c r="B3" s="34" t="s">
        <v>0</v>
      </c>
      <c r="C3" s="52" t="s">
        <v>879</v>
      </c>
      <c r="D3" s="52" t="s">
        <v>5</v>
      </c>
      <c r="E3" s="38" t="s">
        <v>871</v>
      </c>
      <c r="F3" s="38" t="s">
        <v>782</v>
      </c>
      <c r="G3" s="38" t="s">
        <v>7</v>
      </c>
      <c r="H3" s="38"/>
      <c r="I3" s="38"/>
      <c r="J3" s="38"/>
      <c r="K3" s="38" t="s">
        <v>298</v>
      </c>
      <c r="L3" s="38" t="s">
        <v>3</v>
      </c>
      <c r="M3" s="53" t="s">
        <v>2</v>
      </c>
    </row>
    <row r="4" spans="1:13" s="1" customFormat="1" ht="21" customHeight="1" thickBot="1">
      <c r="A4" s="51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54"/>
    </row>
    <row r="5" spans="1:13" ht="16">
      <c r="A5" s="36" t="s">
        <v>67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8" t="s">
        <v>164</v>
      </c>
      <c r="B6" s="7" t="s">
        <v>318</v>
      </c>
      <c r="C6" s="7" t="s">
        <v>755</v>
      </c>
      <c r="D6" s="7" t="s">
        <v>319</v>
      </c>
      <c r="E6" s="7" t="s">
        <v>883</v>
      </c>
      <c r="F6" s="7" t="s">
        <v>815</v>
      </c>
      <c r="G6" s="20" t="s">
        <v>60</v>
      </c>
      <c r="H6" s="21" t="s">
        <v>44</v>
      </c>
      <c r="I6" s="20" t="s">
        <v>44</v>
      </c>
      <c r="J6" s="20" t="s">
        <v>122</v>
      </c>
      <c r="K6" s="8" t="str">
        <f>"130,0"</f>
        <v>130,0</v>
      </c>
      <c r="L6" s="8" t="str">
        <f>"119,1645"</f>
        <v>119,1645</v>
      </c>
      <c r="M6" s="7" t="s">
        <v>320</v>
      </c>
    </row>
    <row r="7" spans="1:13">
      <c r="A7" s="12" t="s">
        <v>164</v>
      </c>
      <c r="B7" s="11" t="s">
        <v>318</v>
      </c>
      <c r="C7" s="11" t="s">
        <v>550</v>
      </c>
      <c r="D7" s="11" t="s">
        <v>319</v>
      </c>
      <c r="E7" s="11" t="s">
        <v>872</v>
      </c>
      <c r="F7" s="11" t="s">
        <v>815</v>
      </c>
      <c r="G7" s="24" t="s">
        <v>60</v>
      </c>
      <c r="H7" s="25" t="s">
        <v>44</v>
      </c>
      <c r="I7" s="24" t="s">
        <v>44</v>
      </c>
      <c r="J7" s="24" t="s">
        <v>122</v>
      </c>
      <c r="K7" s="12" t="str">
        <f>"130,0"</f>
        <v>130,0</v>
      </c>
      <c r="L7" s="12" t="str">
        <f>"119,1645"</f>
        <v>119,1645</v>
      </c>
      <c r="M7" s="11" t="s">
        <v>320</v>
      </c>
    </row>
    <row r="8" spans="1:13">
      <c r="A8" s="10" t="s">
        <v>164</v>
      </c>
      <c r="B8" s="9" t="s">
        <v>551</v>
      </c>
      <c r="C8" s="9" t="s">
        <v>756</v>
      </c>
      <c r="D8" s="9" t="s">
        <v>552</v>
      </c>
      <c r="E8" s="9" t="s">
        <v>875</v>
      </c>
      <c r="F8" s="9" t="s">
        <v>793</v>
      </c>
      <c r="G8" s="23" t="s">
        <v>15</v>
      </c>
      <c r="H8" s="23" t="s">
        <v>71</v>
      </c>
      <c r="I8" s="23" t="s">
        <v>60</v>
      </c>
      <c r="J8" s="22" t="s">
        <v>97</v>
      </c>
      <c r="K8" s="10" t="str">
        <f>"120,0"</f>
        <v>120,0</v>
      </c>
      <c r="L8" s="10" t="str">
        <f>"114,3603"</f>
        <v>114,3603</v>
      </c>
      <c r="M8" s="9" t="s">
        <v>553</v>
      </c>
    </row>
    <row r="9" spans="1:13">
      <c r="B9" s="5" t="s">
        <v>166</v>
      </c>
    </row>
    <row r="10" spans="1:13" ht="16">
      <c r="A10" s="33" t="s">
        <v>77</v>
      </c>
      <c r="B10" s="33"/>
      <c r="C10" s="33"/>
      <c r="D10" s="33"/>
      <c r="E10" s="33"/>
      <c r="F10" s="33"/>
      <c r="G10" s="33"/>
      <c r="H10" s="33"/>
      <c r="I10" s="33"/>
      <c r="J10" s="33"/>
    </row>
    <row r="11" spans="1:13">
      <c r="A11" s="14" t="s">
        <v>164</v>
      </c>
      <c r="B11" s="13" t="s">
        <v>554</v>
      </c>
      <c r="C11" s="13" t="s">
        <v>555</v>
      </c>
      <c r="D11" s="13" t="s">
        <v>556</v>
      </c>
      <c r="E11" s="13" t="s">
        <v>872</v>
      </c>
      <c r="F11" s="13" t="s">
        <v>823</v>
      </c>
      <c r="G11" s="26" t="s">
        <v>114</v>
      </c>
      <c r="H11" s="27" t="s">
        <v>114</v>
      </c>
      <c r="I11" s="26" t="s">
        <v>115</v>
      </c>
      <c r="J11" s="14"/>
      <c r="K11" s="14" t="str">
        <f>"190,0"</f>
        <v>190,0</v>
      </c>
      <c r="L11" s="14" t="str">
        <f>"130,8245"</f>
        <v>130,8245</v>
      </c>
      <c r="M11" s="13" t="s">
        <v>557</v>
      </c>
    </row>
    <row r="12" spans="1:13">
      <c r="B12" s="5" t="s">
        <v>166</v>
      </c>
    </row>
    <row r="13" spans="1:13" ht="16">
      <c r="A13" s="33" t="s">
        <v>175</v>
      </c>
      <c r="B13" s="33"/>
      <c r="C13" s="33"/>
      <c r="D13" s="33"/>
      <c r="E13" s="33"/>
      <c r="F13" s="33"/>
      <c r="G13" s="33"/>
      <c r="H13" s="33"/>
      <c r="I13" s="33"/>
      <c r="J13" s="33"/>
    </row>
    <row r="14" spans="1:13">
      <c r="A14" s="8" t="s">
        <v>164</v>
      </c>
      <c r="B14" s="7" t="s">
        <v>558</v>
      </c>
      <c r="C14" s="7" t="s">
        <v>757</v>
      </c>
      <c r="D14" s="7" t="s">
        <v>559</v>
      </c>
      <c r="E14" s="7" t="s">
        <v>883</v>
      </c>
      <c r="F14" s="7" t="s">
        <v>794</v>
      </c>
      <c r="G14" s="20" t="s">
        <v>21</v>
      </c>
      <c r="H14" s="20" t="s">
        <v>91</v>
      </c>
      <c r="I14" s="21" t="s">
        <v>182</v>
      </c>
      <c r="J14" s="8"/>
      <c r="K14" s="8" t="str">
        <f>"160,0"</f>
        <v>160,0</v>
      </c>
      <c r="L14" s="8" t="str">
        <f>"103,4640"</f>
        <v>103,4640</v>
      </c>
      <c r="M14" s="7" t="s">
        <v>786</v>
      </c>
    </row>
    <row r="15" spans="1:13">
      <c r="A15" s="10" t="s">
        <v>164</v>
      </c>
      <c r="B15" s="9" t="s">
        <v>560</v>
      </c>
      <c r="C15" s="9" t="s">
        <v>561</v>
      </c>
      <c r="D15" s="9" t="s">
        <v>562</v>
      </c>
      <c r="E15" s="9" t="s">
        <v>872</v>
      </c>
      <c r="F15" s="9" t="s">
        <v>841</v>
      </c>
      <c r="G15" s="23" t="s">
        <v>105</v>
      </c>
      <c r="H15" s="22" t="s">
        <v>178</v>
      </c>
      <c r="I15" s="22" t="s">
        <v>178</v>
      </c>
      <c r="J15" s="10"/>
      <c r="K15" s="10" t="str">
        <f>"210,0"</f>
        <v>210,0</v>
      </c>
      <c r="L15" s="10" t="str">
        <f>"138,7260"</f>
        <v>138,7260</v>
      </c>
      <c r="M15" s="9" t="s">
        <v>563</v>
      </c>
    </row>
    <row r="16" spans="1:13">
      <c r="B16" s="5" t="s">
        <v>166</v>
      </c>
    </row>
    <row r="17" spans="1:13" ht="16">
      <c r="A17" s="33" t="s">
        <v>277</v>
      </c>
      <c r="B17" s="33"/>
      <c r="C17" s="33"/>
      <c r="D17" s="33"/>
      <c r="E17" s="33"/>
      <c r="F17" s="33"/>
      <c r="G17" s="33"/>
      <c r="H17" s="33"/>
      <c r="I17" s="33"/>
      <c r="J17" s="33"/>
    </row>
    <row r="18" spans="1:13">
      <c r="A18" s="8" t="s">
        <v>164</v>
      </c>
      <c r="B18" s="7" t="s">
        <v>412</v>
      </c>
      <c r="C18" s="7" t="s">
        <v>413</v>
      </c>
      <c r="D18" s="7" t="s">
        <v>414</v>
      </c>
      <c r="E18" s="7" t="s">
        <v>872</v>
      </c>
      <c r="F18" s="7" t="s">
        <v>812</v>
      </c>
      <c r="G18" s="20" t="s">
        <v>179</v>
      </c>
      <c r="H18" s="21" t="s">
        <v>137</v>
      </c>
      <c r="I18" s="21" t="s">
        <v>109</v>
      </c>
      <c r="J18" s="8"/>
      <c r="K18" s="8" t="str">
        <f>"245,0"</f>
        <v>245,0</v>
      </c>
      <c r="L18" s="8" t="str">
        <f>"138,3147"</f>
        <v>138,3147</v>
      </c>
      <c r="M18" s="7"/>
    </row>
    <row r="19" spans="1:13">
      <c r="A19" s="10" t="s">
        <v>164</v>
      </c>
      <c r="B19" s="9" t="s">
        <v>537</v>
      </c>
      <c r="C19" s="9" t="s">
        <v>758</v>
      </c>
      <c r="D19" s="9" t="s">
        <v>469</v>
      </c>
      <c r="E19" s="9" t="s">
        <v>878</v>
      </c>
      <c r="F19" s="9" t="s">
        <v>842</v>
      </c>
      <c r="G19" s="23" t="s">
        <v>121</v>
      </c>
      <c r="H19" s="23" t="s">
        <v>114</v>
      </c>
      <c r="I19" s="23" t="s">
        <v>104</v>
      </c>
      <c r="J19" s="10"/>
      <c r="K19" s="10" t="str">
        <f>"200,0"</f>
        <v>200,0</v>
      </c>
      <c r="L19" s="10" t="str">
        <f>"145,6119"</f>
        <v>145,6119</v>
      </c>
      <c r="M19" s="9"/>
    </row>
    <row r="20" spans="1:13">
      <c r="B20" s="5" t="s">
        <v>166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10:J10"/>
    <mergeCell ref="A13:J13"/>
    <mergeCell ref="A17:J17"/>
    <mergeCell ref="B3:B4"/>
    <mergeCell ref="K3:K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45"/>
  <sheetViews>
    <sheetView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18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3.1640625" style="5" bestFit="1" customWidth="1"/>
    <col min="7" max="10" width="5.5" style="6" customWidth="1"/>
    <col min="11" max="11" width="10.5" style="28" bestFit="1" customWidth="1"/>
    <col min="12" max="12" width="8.5" style="6" bestFit="1" customWidth="1"/>
    <col min="13" max="13" width="22.6640625" style="5" customWidth="1"/>
    <col min="14" max="16384" width="9.1640625" style="3"/>
  </cols>
  <sheetData>
    <row r="1" spans="1:13" s="2" customFormat="1" ht="29" customHeight="1">
      <c r="A1" s="42" t="s">
        <v>730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169</v>
      </c>
      <c r="B3" s="34" t="s">
        <v>0</v>
      </c>
      <c r="C3" s="52" t="s">
        <v>879</v>
      </c>
      <c r="D3" s="52" t="s">
        <v>5</v>
      </c>
      <c r="E3" s="38" t="s">
        <v>871</v>
      </c>
      <c r="F3" s="38" t="s">
        <v>782</v>
      </c>
      <c r="G3" s="38" t="s">
        <v>7</v>
      </c>
      <c r="H3" s="38"/>
      <c r="I3" s="38"/>
      <c r="J3" s="38"/>
      <c r="K3" s="40" t="s">
        <v>298</v>
      </c>
      <c r="L3" s="38" t="s">
        <v>3</v>
      </c>
      <c r="M3" s="53" t="s">
        <v>2</v>
      </c>
    </row>
    <row r="4" spans="1:13" s="1" customFormat="1" ht="21" customHeight="1" thickBot="1">
      <c r="A4" s="51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1"/>
      <c r="L4" s="39"/>
      <c r="M4" s="54"/>
    </row>
    <row r="5" spans="1:13" ht="16">
      <c r="A5" s="36" t="s">
        <v>67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8" t="s">
        <v>164</v>
      </c>
      <c r="B6" s="7" t="s">
        <v>510</v>
      </c>
      <c r="C6" s="7" t="s">
        <v>511</v>
      </c>
      <c r="D6" s="7" t="s">
        <v>512</v>
      </c>
      <c r="E6" s="7" t="s">
        <v>872</v>
      </c>
      <c r="F6" s="7" t="s">
        <v>843</v>
      </c>
      <c r="G6" s="20" t="s">
        <v>21</v>
      </c>
      <c r="H6" s="20" t="s">
        <v>84</v>
      </c>
      <c r="I6" s="20" t="s">
        <v>255</v>
      </c>
      <c r="J6" s="20" t="s">
        <v>121</v>
      </c>
      <c r="K6" s="29" t="str">
        <f>"177,5"</f>
        <v>177,5</v>
      </c>
      <c r="L6" s="8" t="str">
        <f>"161,5605"</f>
        <v>161,5605</v>
      </c>
      <c r="M6" s="7"/>
    </row>
    <row r="7" spans="1:13">
      <c r="A7" s="12" t="s">
        <v>164</v>
      </c>
      <c r="B7" s="11" t="s">
        <v>510</v>
      </c>
      <c r="C7" s="11" t="s">
        <v>759</v>
      </c>
      <c r="D7" s="11" t="s">
        <v>512</v>
      </c>
      <c r="E7" s="11" t="s">
        <v>875</v>
      </c>
      <c r="F7" s="11" t="s">
        <v>843</v>
      </c>
      <c r="G7" s="24" t="s">
        <v>21</v>
      </c>
      <c r="H7" s="24" t="s">
        <v>84</v>
      </c>
      <c r="I7" s="24" t="s">
        <v>255</v>
      </c>
      <c r="J7" s="24" t="s">
        <v>121</v>
      </c>
      <c r="K7" s="31" t="str">
        <f>"177,5"</f>
        <v>177,5</v>
      </c>
      <c r="L7" s="12" t="str">
        <f>"179,8168"</f>
        <v>179,8168</v>
      </c>
      <c r="M7" s="11"/>
    </row>
    <row r="8" spans="1:13">
      <c r="A8" s="10" t="s">
        <v>167</v>
      </c>
      <c r="B8" s="9" t="s">
        <v>513</v>
      </c>
      <c r="C8" s="9" t="s">
        <v>760</v>
      </c>
      <c r="D8" s="9" t="s">
        <v>514</v>
      </c>
      <c r="E8" s="9" t="s">
        <v>878</v>
      </c>
      <c r="F8" s="9" t="s">
        <v>844</v>
      </c>
      <c r="G8" s="22" t="s">
        <v>18</v>
      </c>
      <c r="H8" s="22" t="s">
        <v>18</v>
      </c>
      <c r="I8" s="22" t="s">
        <v>18</v>
      </c>
      <c r="J8" s="10"/>
      <c r="K8" s="30">
        <v>0</v>
      </c>
      <c r="L8" s="10" t="str">
        <f>"0,0000"</f>
        <v>0,0000</v>
      </c>
      <c r="M8" s="9"/>
    </row>
    <row r="9" spans="1:13">
      <c r="B9" s="5" t="s">
        <v>166</v>
      </c>
    </row>
    <row r="10" spans="1:13" ht="16">
      <c r="A10" s="33" t="s">
        <v>175</v>
      </c>
      <c r="B10" s="33"/>
      <c r="C10" s="33"/>
      <c r="D10" s="33"/>
      <c r="E10" s="33"/>
      <c r="F10" s="33"/>
      <c r="G10" s="33"/>
      <c r="H10" s="33"/>
      <c r="I10" s="33"/>
      <c r="J10" s="33"/>
    </row>
    <row r="11" spans="1:13">
      <c r="A11" s="8" t="s">
        <v>164</v>
      </c>
      <c r="B11" s="7" t="s">
        <v>515</v>
      </c>
      <c r="C11" s="7" t="s">
        <v>32</v>
      </c>
      <c r="D11" s="7" t="s">
        <v>516</v>
      </c>
      <c r="E11" s="7" t="s">
        <v>872</v>
      </c>
      <c r="F11" s="7" t="s">
        <v>845</v>
      </c>
      <c r="G11" s="20" t="s">
        <v>105</v>
      </c>
      <c r="H11" s="21" t="s">
        <v>178</v>
      </c>
      <c r="I11" s="20" t="s">
        <v>178</v>
      </c>
      <c r="J11" s="8"/>
      <c r="K11" s="29" t="str">
        <f>"230,0"</f>
        <v>230,0</v>
      </c>
      <c r="L11" s="8" t="str">
        <f>"150,0405"</f>
        <v>150,0405</v>
      </c>
      <c r="M11" s="7"/>
    </row>
    <row r="12" spans="1:13">
      <c r="A12" s="10" t="s">
        <v>165</v>
      </c>
      <c r="B12" s="9" t="s">
        <v>517</v>
      </c>
      <c r="C12" s="9" t="s">
        <v>518</v>
      </c>
      <c r="D12" s="9" t="s">
        <v>519</v>
      </c>
      <c r="E12" s="9" t="s">
        <v>872</v>
      </c>
      <c r="F12" s="9" t="s">
        <v>846</v>
      </c>
      <c r="G12" s="23" t="s">
        <v>183</v>
      </c>
      <c r="H12" s="23" t="s">
        <v>184</v>
      </c>
      <c r="I12" s="22" t="s">
        <v>116</v>
      </c>
      <c r="J12" s="10"/>
      <c r="K12" s="30" t="str">
        <f>"207,5"</f>
        <v>207,5</v>
      </c>
      <c r="L12" s="10" t="str">
        <f>"135,2589"</f>
        <v>135,2589</v>
      </c>
      <c r="M12" s="9"/>
    </row>
    <row r="13" spans="1:13">
      <c r="B13" s="5" t="s">
        <v>166</v>
      </c>
    </row>
    <row r="14" spans="1:13" ht="16">
      <c r="A14" s="33" t="s">
        <v>100</v>
      </c>
      <c r="B14" s="33"/>
      <c r="C14" s="33"/>
      <c r="D14" s="33"/>
      <c r="E14" s="33"/>
      <c r="F14" s="33"/>
      <c r="G14" s="33"/>
      <c r="H14" s="33"/>
      <c r="I14" s="33"/>
      <c r="J14" s="33"/>
    </row>
    <row r="15" spans="1:13">
      <c r="A15" s="8" t="s">
        <v>164</v>
      </c>
      <c r="B15" s="7" t="s">
        <v>520</v>
      </c>
      <c r="C15" s="7" t="s">
        <v>521</v>
      </c>
      <c r="D15" s="7" t="s">
        <v>500</v>
      </c>
      <c r="E15" s="7" t="s">
        <v>872</v>
      </c>
      <c r="F15" s="7" t="s">
        <v>847</v>
      </c>
      <c r="G15" s="20" t="s">
        <v>107</v>
      </c>
      <c r="H15" s="20" t="s">
        <v>109</v>
      </c>
      <c r="I15" s="21" t="s">
        <v>247</v>
      </c>
      <c r="J15" s="8"/>
      <c r="K15" s="29" t="str">
        <f>"262,5"</f>
        <v>262,5</v>
      </c>
      <c r="L15" s="8" t="str">
        <f>"161,0044"</f>
        <v>161,0044</v>
      </c>
      <c r="M15" s="7" t="s">
        <v>522</v>
      </c>
    </row>
    <row r="16" spans="1:13">
      <c r="A16" s="10" t="s">
        <v>165</v>
      </c>
      <c r="B16" s="9" t="s">
        <v>523</v>
      </c>
      <c r="C16" s="9" t="s">
        <v>524</v>
      </c>
      <c r="D16" s="9" t="s">
        <v>494</v>
      </c>
      <c r="E16" s="9" t="s">
        <v>872</v>
      </c>
      <c r="F16" s="9" t="s">
        <v>821</v>
      </c>
      <c r="G16" s="23" t="s">
        <v>178</v>
      </c>
      <c r="H16" s="22" t="s">
        <v>179</v>
      </c>
      <c r="I16" s="23" t="s">
        <v>179</v>
      </c>
      <c r="J16" s="22" t="s">
        <v>138</v>
      </c>
      <c r="K16" s="30" t="str">
        <f>"245,0"</f>
        <v>245,0</v>
      </c>
      <c r="L16" s="10" t="str">
        <f>"155,6730"</f>
        <v>155,6730</v>
      </c>
      <c r="M16" s="9" t="s">
        <v>525</v>
      </c>
    </row>
    <row r="17" spans="1:13">
      <c r="B17" s="5" t="s">
        <v>166</v>
      </c>
    </row>
    <row r="18" spans="1:13" ht="16">
      <c r="A18" s="33" t="s">
        <v>125</v>
      </c>
      <c r="B18" s="33"/>
      <c r="C18" s="33"/>
      <c r="D18" s="33"/>
      <c r="E18" s="33"/>
      <c r="F18" s="33"/>
      <c r="G18" s="33"/>
      <c r="H18" s="33"/>
      <c r="I18" s="33"/>
      <c r="J18" s="33"/>
    </row>
    <row r="19" spans="1:13">
      <c r="A19" s="8" t="s">
        <v>164</v>
      </c>
      <c r="B19" s="7" t="s">
        <v>526</v>
      </c>
      <c r="C19" s="7" t="s">
        <v>527</v>
      </c>
      <c r="D19" s="7" t="s">
        <v>528</v>
      </c>
      <c r="E19" s="7" t="s">
        <v>872</v>
      </c>
      <c r="F19" s="7" t="s">
        <v>817</v>
      </c>
      <c r="G19" s="20" t="s">
        <v>136</v>
      </c>
      <c r="H19" s="21" t="s">
        <v>529</v>
      </c>
      <c r="I19" s="20" t="s">
        <v>179</v>
      </c>
      <c r="J19" s="8"/>
      <c r="K19" s="29" t="str">
        <f>"245,0"</f>
        <v>245,0</v>
      </c>
      <c r="L19" s="8" t="str">
        <f>"148,8375"</f>
        <v>148,8375</v>
      </c>
      <c r="M19" s="7"/>
    </row>
    <row r="20" spans="1:13">
      <c r="A20" s="10" t="s">
        <v>164</v>
      </c>
      <c r="B20" s="9" t="s">
        <v>526</v>
      </c>
      <c r="C20" s="9" t="s">
        <v>761</v>
      </c>
      <c r="D20" s="9" t="s">
        <v>528</v>
      </c>
      <c r="E20" s="9" t="s">
        <v>875</v>
      </c>
      <c r="F20" s="9" t="s">
        <v>817</v>
      </c>
      <c r="G20" s="23" t="s">
        <v>136</v>
      </c>
      <c r="H20" s="22" t="s">
        <v>529</v>
      </c>
      <c r="I20" s="23" t="s">
        <v>179</v>
      </c>
      <c r="J20" s="10"/>
      <c r="K20" s="30" t="str">
        <f>"245,0"</f>
        <v>245,0</v>
      </c>
      <c r="L20" s="10" t="str">
        <f>"148,8375"</f>
        <v>148,8375</v>
      </c>
      <c r="M20" s="9"/>
    </row>
    <row r="21" spans="1:13">
      <c r="B21" s="5" t="s">
        <v>166</v>
      </c>
    </row>
    <row r="22" spans="1:13" ht="16">
      <c r="A22" s="33" t="s">
        <v>277</v>
      </c>
      <c r="B22" s="33"/>
      <c r="C22" s="33"/>
      <c r="D22" s="33"/>
      <c r="E22" s="33"/>
      <c r="F22" s="33"/>
      <c r="G22" s="33"/>
      <c r="H22" s="33"/>
      <c r="I22" s="33"/>
      <c r="J22" s="33"/>
    </row>
    <row r="23" spans="1:13">
      <c r="A23" s="8" t="s">
        <v>164</v>
      </c>
      <c r="B23" s="7" t="s">
        <v>530</v>
      </c>
      <c r="C23" s="7" t="s">
        <v>531</v>
      </c>
      <c r="D23" s="7" t="s">
        <v>532</v>
      </c>
      <c r="E23" s="7" t="s">
        <v>872</v>
      </c>
      <c r="F23" s="7" t="s">
        <v>836</v>
      </c>
      <c r="G23" s="20" t="s">
        <v>491</v>
      </c>
      <c r="H23" s="20" t="s">
        <v>219</v>
      </c>
      <c r="I23" s="21" t="s">
        <v>204</v>
      </c>
      <c r="J23" s="8"/>
      <c r="K23" s="29" t="str">
        <f>"280,0"</f>
        <v>280,0</v>
      </c>
      <c r="L23" s="8" t="str">
        <f>"157,7380"</f>
        <v>157,7380</v>
      </c>
      <c r="M23" s="7"/>
    </row>
    <row r="24" spans="1:13">
      <c r="A24" s="12" t="s">
        <v>165</v>
      </c>
      <c r="B24" s="11" t="s">
        <v>533</v>
      </c>
      <c r="C24" s="11" t="s">
        <v>534</v>
      </c>
      <c r="D24" s="11" t="s">
        <v>469</v>
      </c>
      <c r="E24" s="11" t="s">
        <v>872</v>
      </c>
      <c r="F24" s="11" t="s">
        <v>838</v>
      </c>
      <c r="G24" s="24" t="s">
        <v>529</v>
      </c>
      <c r="H24" s="24" t="s">
        <v>179</v>
      </c>
      <c r="I24" s="24" t="s">
        <v>188</v>
      </c>
      <c r="J24" s="12"/>
      <c r="K24" s="31" t="str">
        <f>"250,0"</f>
        <v>250,0</v>
      </c>
      <c r="L24" s="12" t="str">
        <f>"140,9875"</f>
        <v>140,9875</v>
      </c>
      <c r="M24" s="11" t="s">
        <v>535</v>
      </c>
    </row>
    <row r="25" spans="1:13">
      <c r="A25" s="12" t="s">
        <v>164</v>
      </c>
      <c r="B25" s="11" t="s">
        <v>536</v>
      </c>
      <c r="C25" s="11" t="s">
        <v>762</v>
      </c>
      <c r="D25" s="11" t="s">
        <v>411</v>
      </c>
      <c r="E25" s="11" t="s">
        <v>875</v>
      </c>
      <c r="F25" s="11" t="s">
        <v>848</v>
      </c>
      <c r="G25" s="24" t="s">
        <v>107</v>
      </c>
      <c r="H25" s="24" t="s">
        <v>179</v>
      </c>
      <c r="I25" s="24" t="s">
        <v>188</v>
      </c>
      <c r="J25" s="12"/>
      <c r="K25" s="31" t="str">
        <f>"250,0"</f>
        <v>250,0</v>
      </c>
      <c r="L25" s="12" t="str">
        <f>"149,2693"</f>
        <v>149,2693</v>
      </c>
      <c r="M25" s="11"/>
    </row>
    <row r="26" spans="1:13">
      <c r="A26" s="12" t="s">
        <v>165</v>
      </c>
      <c r="B26" s="11" t="s">
        <v>533</v>
      </c>
      <c r="C26" s="11" t="s">
        <v>763</v>
      </c>
      <c r="D26" s="11" t="s">
        <v>469</v>
      </c>
      <c r="E26" s="11" t="s">
        <v>875</v>
      </c>
      <c r="F26" s="11" t="s">
        <v>838</v>
      </c>
      <c r="G26" s="24" t="s">
        <v>529</v>
      </c>
      <c r="H26" s="24" t="s">
        <v>179</v>
      </c>
      <c r="I26" s="24" t="s">
        <v>188</v>
      </c>
      <c r="J26" s="12"/>
      <c r="K26" s="31" t="str">
        <f>"250,0"</f>
        <v>250,0</v>
      </c>
      <c r="L26" s="12" t="str">
        <f>"150,5747"</f>
        <v>150,5747</v>
      </c>
      <c r="M26" s="11" t="s">
        <v>535</v>
      </c>
    </row>
    <row r="27" spans="1:13">
      <c r="A27" s="10" t="s">
        <v>164</v>
      </c>
      <c r="B27" s="9" t="s">
        <v>537</v>
      </c>
      <c r="C27" s="9" t="s">
        <v>758</v>
      </c>
      <c r="D27" s="9" t="s">
        <v>469</v>
      </c>
      <c r="E27" s="9" t="s">
        <v>878</v>
      </c>
      <c r="F27" s="9" t="s">
        <v>849</v>
      </c>
      <c r="G27" s="23" t="s">
        <v>121</v>
      </c>
      <c r="H27" s="23" t="s">
        <v>114</v>
      </c>
      <c r="I27" s="23" t="s">
        <v>104</v>
      </c>
      <c r="J27" s="10"/>
      <c r="K27" s="30" t="str">
        <f>"200,0"</f>
        <v>200,0</v>
      </c>
      <c r="L27" s="10" t="str">
        <f>"145,6119"</f>
        <v>145,6119</v>
      </c>
      <c r="M27" s="9"/>
    </row>
    <row r="28" spans="1:13">
      <c r="B28" s="5" t="s">
        <v>166</v>
      </c>
    </row>
    <row r="29" spans="1:13" ht="16">
      <c r="A29" s="33" t="s">
        <v>215</v>
      </c>
      <c r="B29" s="33"/>
      <c r="C29" s="33"/>
      <c r="D29" s="33"/>
      <c r="E29" s="33"/>
      <c r="F29" s="33"/>
      <c r="G29" s="33"/>
      <c r="H29" s="33"/>
      <c r="I29" s="33"/>
      <c r="J29" s="33"/>
    </row>
    <row r="30" spans="1:13">
      <c r="A30" s="8" t="s">
        <v>164</v>
      </c>
      <c r="B30" s="7" t="s">
        <v>538</v>
      </c>
      <c r="C30" s="7" t="s">
        <v>539</v>
      </c>
      <c r="D30" s="7" t="s">
        <v>293</v>
      </c>
      <c r="E30" s="7" t="s">
        <v>872</v>
      </c>
      <c r="F30" s="7" t="s">
        <v>850</v>
      </c>
      <c r="G30" s="20" t="s">
        <v>206</v>
      </c>
      <c r="H30" s="20" t="s">
        <v>221</v>
      </c>
      <c r="I30" s="20" t="s">
        <v>158</v>
      </c>
      <c r="J30" s="8"/>
      <c r="K30" s="29" t="str">
        <f>"327,5"</f>
        <v>327,5</v>
      </c>
      <c r="L30" s="8" t="str">
        <f>"181,3531"</f>
        <v>181,3531</v>
      </c>
      <c r="M30" s="7"/>
    </row>
    <row r="31" spans="1:13">
      <c r="A31" s="10" t="s">
        <v>165</v>
      </c>
      <c r="B31" s="9" t="s">
        <v>540</v>
      </c>
      <c r="C31" s="9" t="s">
        <v>541</v>
      </c>
      <c r="D31" s="9" t="s">
        <v>542</v>
      </c>
      <c r="E31" s="9" t="s">
        <v>872</v>
      </c>
      <c r="F31" s="9" t="s">
        <v>848</v>
      </c>
      <c r="G31" s="23" t="s">
        <v>204</v>
      </c>
      <c r="H31" s="22" t="s">
        <v>202</v>
      </c>
      <c r="I31" s="22" t="s">
        <v>205</v>
      </c>
      <c r="J31" s="10"/>
      <c r="K31" s="30" t="str">
        <f>"290,0"</f>
        <v>290,0</v>
      </c>
      <c r="L31" s="10" t="str">
        <f>"159,5290"</f>
        <v>159,5290</v>
      </c>
      <c r="M31" s="9"/>
    </row>
    <row r="32" spans="1:13">
      <c r="B32" s="5" t="s">
        <v>166</v>
      </c>
    </row>
    <row r="33" spans="1:13" ht="16">
      <c r="A33" s="33" t="s">
        <v>423</v>
      </c>
      <c r="B33" s="33"/>
      <c r="C33" s="33"/>
      <c r="D33" s="33"/>
      <c r="E33" s="33"/>
      <c r="F33" s="33"/>
      <c r="G33" s="33"/>
      <c r="H33" s="33"/>
      <c r="I33" s="33"/>
      <c r="J33" s="33"/>
    </row>
    <row r="34" spans="1:13">
      <c r="A34" s="14" t="s">
        <v>164</v>
      </c>
      <c r="B34" s="13" t="s">
        <v>543</v>
      </c>
      <c r="C34" s="13" t="s">
        <v>544</v>
      </c>
      <c r="D34" s="13" t="s">
        <v>545</v>
      </c>
      <c r="E34" s="13" t="s">
        <v>872</v>
      </c>
      <c r="F34" s="13" t="s">
        <v>838</v>
      </c>
      <c r="G34" s="27" t="s">
        <v>188</v>
      </c>
      <c r="H34" s="27" t="s">
        <v>491</v>
      </c>
      <c r="I34" s="14"/>
      <c r="J34" s="14"/>
      <c r="K34" s="32" t="str">
        <f>"270,0"</f>
        <v>270,0</v>
      </c>
      <c r="L34" s="14" t="str">
        <f>"147,1878"</f>
        <v>147,1878</v>
      </c>
      <c r="M34" s="13"/>
    </row>
    <row r="35" spans="1:13">
      <c r="B35" s="5" t="s">
        <v>166</v>
      </c>
    </row>
    <row r="38" spans="1:13" ht="18">
      <c r="B38" s="15" t="s">
        <v>140</v>
      </c>
      <c r="C38" s="15"/>
    </row>
    <row r="39" spans="1:13" ht="16">
      <c r="B39" s="16" t="s">
        <v>155</v>
      </c>
      <c r="C39" s="16"/>
    </row>
    <row r="40" spans="1:13" ht="14">
      <c r="B40" s="17"/>
      <c r="C40" s="18" t="s">
        <v>142</v>
      </c>
    </row>
    <row r="41" spans="1:13" ht="14">
      <c r="A41" s="1"/>
      <c r="B41" s="19" t="s">
        <v>143</v>
      </c>
      <c r="C41" s="19" t="s">
        <v>144</v>
      </c>
      <c r="D41" s="19" t="s">
        <v>742</v>
      </c>
      <c r="E41" s="19" t="s">
        <v>295</v>
      </c>
      <c r="F41" s="19" t="s">
        <v>546</v>
      </c>
    </row>
    <row r="42" spans="1:13">
      <c r="B42" s="5" t="s">
        <v>538</v>
      </c>
      <c r="C42" s="5" t="s">
        <v>142</v>
      </c>
      <c r="D42" s="6" t="s">
        <v>223</v>
      </c>
      <c r="E42" s="6" t="s">
        <v>158</v>
      </c>
      <c r="F42" s="6" t="s">
        <v>547</v>
      </c>
    </row>
    <row r="43" spans="1:13">
      <c r="B43" s="5" t="s">
        <v>520</v>
      </c>
      <c r="C43" s="5" t="s">
        <v>142</v>
      </c>
      <c r="D43" s="6" t="s">
        <v>159</v>
      </c>
      <c r="E43" s="6" t="s">
        <v>109</v>
      </c>
      <c r="F43" s="6" t="s">
        <v>548</v>
      </c>
    </row>
    <row r="44" spans="1:13">
      <c r="B44" s="5" t="s">
        <v>540</v>
      </c>
      <c r="C44" s="5" t="s">
        <v>142</v>
      </c>
      <c r="D44" s="6" t="s">
        <v>223</v>
      </c>
      <c r="E44" s="6" t="s">
        <v>204</v>
      </c>
      <c r="F44" s="6" t="s">
        <v>549</v>
      </c>
    </row>
    <row r="45" spans="1:13">
      <c r="B45" s="5" t="s">
        <v>166</v>
      </c>
    </row>
  </sheetData>
  <mergeCells count="18">
    <mergeCell ref="A1:M2"/>
    <mergeCell ref="A3:A4"/>
    <mergeCell ref="C3:C4"/>
    <mergeCell ref="D3:D4"/>
    <mergeCell ref="E3:E4"/>
    <mergeCell ref="F3:F4"/>
    <mergeCell ref="G3:J3"/>
    <mergeCell ref="A33:J33"/>
    <mergeCell ref="K3:K4"/>
    <mergeCell ref="L3:L4"/>
    <mergeCell ref="M3:M4"/>
    <mergeCell ref="A5:J5"/>
    <mergeCell ref="B3:B4"/>
    <mergeCell ref="A10:J10"/>
    <mergeCell ref="A14:J14"/>
    <mergeCell ref="A18:J18"/>
    <mergeCell ref="A22:J22"/>
    <mergeCell ref="A29:J2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5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7.3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9.5" style="5" bestFit="1" customWidth="1"/>
    <col min="7" max="9" width="5.5" style="6" customWidth="1"/>
    <col min="10" max="10" width="4.83203125" style="6" customWidth="1"/>
    <col min="11" max="11" width="11.1640625" style="6" customWidth="1"/>
    <col min="12" max="12" width="8.5" style="6" bestFit="1" customWidth="1"/>
    <col min="13" max="13" width="19.83203125" style="5" customWidth="1"/>
    <col min="14" max="16384" width="9.1640625" style="3"/>
  </cols>
  <sheetData>
    <row r="1" spans="1:13" s="2" customFormat="1" ht="29" customHeight="1">
      <c r="A1" s="42" t="s">
        <v>731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169</v>
      </c>
      <c r="B3" s="34" t="s">
        <v>0</v>
      </c>
      <c r="C3" s="52" t="s">
        <v>879</v>
      </c>
      <c r="D3" s="52" t="s">
        <v>5</v>
      </c>
      <c r="E3" s="38" t="s">
        <v>871</v>
      </c>
      <c r="F3" s="38" t="s">
        <v>782</v>
      </c>
      <c r="G3" s="38" t="s">
        <v>7</v>
      </c>
      <c r="H3" s="38"/>
      <c r="I3" s="38"/>
      <c r="J3" s="38"/>
      <c r="K3" s="38" t="s">
        <v>298</v>
      </c>
      <c r="L3" s="38" t="s">
        <v>3</v>
      </c>
      <c r="M3" s="53" t="s">
        <v>2</v>
      </c>
    </row>
    <row r="4" spans="1:13" s="1" customFormat="1" ht="21" customHeight="1" thickBot="1">
      <c r="A4" s="51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54"/>
    </row>
    <row r="5" spans="1:13" ht="16">
      <c r="A5" s="36" t="s">
        <v>100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14" t="s">
        <v>164</v>
      </c>
      <c r="B6" s="13" t="s">
        <v>520</v>
      </c>
      <c r="C6" s="13" t="s">
        <v>521</v>
      </c>
      <c r="D6" s="13" t="s">
        <v>500</v>
      </c>
      <c r="E6" s="13" t="s">
        <v>872</v>
      </c>
      <c r="F6" s="13" t="s">
        <v>847</v>
      </c>
      <c r="G6" s="27" t="s">
        <v>202</v>
      </c>
      <c r="H6" s="26" t="s">
        <v>564</v>
      </c>
      <c r="I6" s="26" t="s">
        <v>564</v>
      </c>
      <c r="J6" s="14"/>
      <c r="K6" s="14" t="str">
        <f>"300,0"</f>
        <v>300,0</v>
      </c>
      <c r="L6" s="14" t="str">
        <f>"184,0050"</f>
        <v>184,0050</v>
      </c>
      <c r="M6" s="13" t="s">
        <v>522</v>
      </c>
    </row>
    <row r="7" spans="1:13">
      <c r="B7" s="5" t="s">
        <v>166</v>
      </c>
    </row>
    <row r="8" spans="1:13" ht="16">
      <c r="A8" s="33" t="s">
        <v>125</v>
      </c>
      <c r="B8" s="33"/>
      <c r="C8" s="33"/>
      <c r="D8" s="33"/>
      <c r="E8" s="33"/>
      <c r="F8" s="33"/>
      <c r="G8" s="33"/>
      <c r="H8" s="33"/>
      <c r="I8" s="33"/>
      <c r="J8" s="33"/>
    </row>
    <row r="9" spans="1:13">
      <c r="A9" s="8" t="s">
        <v>164</v>
      </c>
      <c r="B9" s="7" t="s">
        <v>565</v>
      </c>
      <c r="C9" s="7" t="s">
        <v>566</v>
      </c>
      <c r="D9" s="7" t="s">
        <v>567</v>
      </c>
      <c r="E9" s="7" t="s">
        <v>872</v>
      </c>
      <c r="F9" s="7" t="s">
        <v>836</v>
      </c>
      <c r="G9" s="21" t="s">
        <v>564</v>
      </c>
      <c r="H9" s="20" t="s">
        <v>564</v>
      </c>
      <c r="I9" s="20" t="s">
        <v>568</v>
      </c>
      <c r="J9" s="8"/>
      <c r="K9" s="8" t="str">
        <f>"355,0"</f>
        <v>355,0</v>
      </c>
      <c r="L9" s="8" t="str">
        <f>"209,2370"</f>
        <v>209,2370</v>
      </c>
      <c r="M9" s="7"/>
    </row>
    <row r="10" spans="1:13">
      <c r="A10" s="10" t="s">
        <v>164</v>
      </c>
      <c r="B10" s="9" t="s">
        <v>569</v>
      </c>
      <c r="C10" s="9" t="s">
        <v>764</v>
      </c>
      <c r="D10" s="9" t="s">
        <v>570</v>
      </c>
      <c r="E10" s="9" t="s">
        <v>875</v>
      </c>
      <c r="F10" s="9" t="s">
        <v>801</v>
      </c>
      <c r="G10" s="23" t="s">
        <v>571</v>
      </c>
      <c r="H10" s="22" t="s">
        <v>572</v>
      </c>
      <c r="I10" s="22" t="s">
        <v>572</v>
      </c>
      <c r="J10" s="10"/>
      <c r="K10" s="10" t="str">
        <f>"330,0"</f>
        <v>330,0</v>
      </c>
      <c r="L10" s="10" t="str">
        <f>"193,6935"</f>
        <v>193,6935</v>
      </c>
      <c r="M10" s="9" t="s">
        <v>787</v>
      </c>
    </row>
    <row r="11" spans="1:13">
      <c r="B11" s="5" t="s">
        <v>166</v>
      </c>
    </row>
    <row r="12" spans="1:13" ht="16">
      <c r="A12" s="33" t="s">
        <v>423</v>
      </c>
      <c r="B12" s="33"/>
      <c r="C12" s="33"/>
      <c r="D12" s="33"/>
      <c r="E12" s="33"/>
      <c r="F12" s="33"/>
      <c r="G12" s="33"/>
      <c r="H12" s="33"/>
      <c r="I12" s="33"/>
      <c r="J12" s="33"/>
    </row>
    <row r="13" spans="1:13">
      <c r="A13" s="8" t="s">
        <v>164</v>
      </c>
      <c r="B13" s="7" t="s">
        <v>543</v>
      </c>
      <c r="C13" s="7" t="s">
        <v>544</v>
      </c>
      <c r="D13" s="7" t="s">
        <v>545</v>
      </c>
      <c r="E13" s="7" t="s">
        <v>872</v>
      </c>
      <c r="F13" s="7" t="s">
        <v>838</v>
      </c>
      <c r="G13" s="20" t="s">
        <v>205</v>
      </c>
      <c r="H13" s="20" t="s">
        <v>221</v>
      </c>
      <c r="I13" s="20" t="s">
        <v>571</v>
      </c>
      <c r="J13" s="8"/>
      <c r="K13" s="8" t="str">
        <f>"330,0"</f>
        <v>330,0</v>
      </c>
      <c r="L13" s="8" t="str">
        <f>"179,8962"</f>
        <v>179,8962</v>
      </c>
      <c r="M13" s="7"/>
    </row>
    <row r="14" spans="1:13">
      <c r="A14" s="10" t="s">
        <v>164</v>
      </c>
      <c r="B14" s="9" t="s">
        <v>543</v>
      </c>
      <c r="C14" s="9" t="s">
        <v>765</v>
      </c>
      <c r="D14" s="9" t="s">
        <v>545</v>
      </c>
      <c r="E14" s="9" t="s">
        <v>875</v>
      </c>
      <c r="F14" s="9" t="s">
        <v>838</v>
      </c>
      <c r="G14" s="23" t="s">
        <v>205</v>
      </c>
      <c r="H14" s="23" t="s">
        <v>221</v>
      </c>
      <c r="I14" s="23" t="s">
        <v>571</v>
      </c>
      <c r="J14" s="10"/>
      <c r="K14" s="10" t="str">
        <f>"330,0"</f>
        <v>330,0</v>
      </c>
      <c r="L14" s="10" t="str">
        <f>"189,7905"</f>
        <v>189,7905</v>
      </c>
      <c r="M14" s="9"/>
    </row>
    <row r="15" spans="1:13">
      <c r="B15" s="5" t="s">
        <v>166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2:J12"/>
    <mergeCell ref="B3:B4"/>
    <mergeCell ref="K3:K4"/>
    <mergeCell ref="L3:L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6"/>
  <sheetViews>
    <sheetView workbookViewId="0">
      <selection activeCell="E36" sqref="E36"/>
    </sheetView>
  </sheetViews>
  <sheetFormatPr baseColWidth="10" defaultColWidth="9.1640625" defaultRowHeight="13"/>
  <cols>
    <col min="1" max="1" width="9.1640625" style="6" customWidth="1"/>
    <col min="2" max="2" width="18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1.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83203125" style="5" customWidth="1"/>
    <col min="14" max="16384" width="9.1640625" style="3"/>
  </cols>
  <sheetData>
    <row r="1" spans="1:13" s="2" customFormat="1" ht="29" customHeight="1">
      <c r="A1" s="42" t="s">
        <v>732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169</v>
      </c>
      <c r="B3" s="34" t="s">
        <v>0</v>
      </c>
      <c r="C3" s="52" t="s">
        <v>879</v>
      </c>
      <c r="D3" s="52" t="s">
        <v>5</v>
      </c>
      <c r="E3" s="38" t="s">
        <v>871</v>
      </c>
      <c r="F3" s="38" t="s">
        <v>782</v>
      </c>
      <c r="G3" s="38" t="s">
        <v>7</v>
      </c>
      <c r="H3" s="38"/>
      <c r="I3" s="38"/>
      <c r="J3" s="38"/>
      <c r="K3" s="38" t="s">
        <v>298</v>
      </c>
      <c r="L3" s="38" t="s">
        <v>3</v>
      </c>
      <c r="M3" s="53" t="s">
        <v>2</v>
      </c>
    </row>
    <row r="4" spans="1:13" s="1" customFormat="1" ht="21" customHeight="1" thickBot="1">
      <c r="A4" s="51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54"/>
    </row>
    <row r="5" spans="1:13" ht="16">
      <c r="A5" s="36" t="s">
        <v>175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14" t="s">
        <v>164</v>
      </c>
      <c r="B6" s="13" t="s">
        <v>577</v>
      </c>
      <c r="C6" s="13" t="s">
        <v>578</v>
      </c>
      <c r="D6" s="13" t="s">
        <v>363</v>
      </c>
      <c r="E6" s="13" t="s">
        <v>882</v>
      </c>
      <c r="F6" s="13" t="s">
        <v>851</v>
      </c>
      <c r="G6" s="27" t="s">
        <v>37</v>
      </c>
      <c r="H6" s="27" t="s">
        <v>53</v>
      </c>
      <c r="I6" s="27" t="s">
        <v>28</v>
      </c>
      <c r="J6" s="14"/>
      <c r="K6" s="14" t="str">
        <f>"55,0"</f>
        <v>55,0</v>
      </c>
      <c r="L6" s="14" t="str">
        <f>"77,1916"</f>
        <v>77,1916</v>
      </c>
      <c r="M6" s="13" t="s">
        <v>594</v>
      </c>
    </row>
    <row r="7" spans="1:13">
      <c r="B7" s="5" t="s">
        <v>166</v>
      </c>
    </row>
    <row r="8" spans="1:13" ht="16">
      <c r="A8" s="33" t="s">
        <v>579</v>
      </c>
      <c r="B8" s="33"/>
      <c r="C8" s="33"/>
      <c r="D8" s="33"/>
      <c r="E8" s="33"/>
      <c r="F8" s="33"/>
      <c r="G8" s="33"/>
      <c r="H8" s="33"/>
      <c r="I8" s="33"/>
      <c r="J8" s="33"/>
    </row>
    <row r="9" spans="1:13">
      <c r="A9" s="14" t="s">
        <v>164</v>
      </c>
      <c r="B9" s="13" t="s">
        <v>580</v>
      </c>
      <c r="C9" s="13" t="s">
        <v>581</v>
      </c>
      <c r="D9" s="13" t="s">
        <v>582</v>
      </c>
      <c r="E9" s="13" t="s">
        <v>874</v>
      </c>
      <c r="F9" s="13" t="s">
        <v>852</v>
      </c>
      <c r="G9" s="27" t="s">
        <v>17</v>
      </c>
      <c r="H9" s="27" t="s">
        <v>76</v>
      </c>
      <c r="I9" s="27" t="s">
        <v>38</v>
      </c>
      <c r="J9" s="14"/>
      <c r="K9" s="14" t="str">
        <f>"72,5"</f>
        <v>72,5</v>
      </c>
      <c r="L9" s="14" t="str">
        <f>"75,3101"</f>
        <v>75,3101</v>
      </c>
      <c r="M9" s="13" t="s">
        <v>575</v>
      </c>
    </row>
    <row r="10" spans="1:13">
      <c r="B10" s="5" t="s">
        <v>166</v>
      </c>
    </row>
    <row r="11" spans="1:13" ht="16">
      <c r="A11" s="33" t="s">
        <v>46</v>
      </c>
      <c r="B11" s="33"/>
      <c r="C11" s="33"/>
      <c r="D11" s="33"/>
      <c r="E11" s="33"/>
      <c r="F11" s="33"/>
      <c r="G11" s="33"/>
      <c r="H11" s="33"/>
      <c r="I11" s="33"/>
      <c r="J11" s="33"/>
    </row>
    <row r="12" spans="1:13">
      <c r="A12" s="14" t="s">
        <v>164</v>
      </c>
      <c r="B12" s="13" t="s">
        <v>583</v>
      </c>
      <c r="C12" s="13" t="s">
        <v>766</v>
      </c>
      <c r="D12" s="13" t="s">
        <v>503</v>
      </c>
      <c r="E12" s="13" t="s">
        <v>880</v>
      </c>
      <c r="F12" s="13" t="s">
        <v>853</v>
      </c>
      <c r="G12" s="27" t="s">
        <v>26</v>
      </c>
      <c r="H12" s="27" t="s">
        <v>27</v>
      </c>
      <c r="I12" s="26" t="s">
        <v>52</v>
      </c>
      <c r="J12" s="14"/>
      <c r="K12" s="14" t="str">
        <f>"90,0"</f>
        <v>90,0</v>
      </c>
      <c r="L12" s="14" t="str">
        <f>"76,1985"</f>
        <v>76,1985</v>
      </c>
      <c r="M12" s="13" t="s">
        <v>711</v>
      </c>
    </row>
    <row r="13" spans="1:13">
      <c r="B13" s="5" t="s">
        <v>166</v>
      </c>
    </row>
    <row r="14" spans="1:13" ht="16">
      <c r="A14" s="33" t="s">
        <v>67</v>
      </c>
      <c r="B14" s="33"/>
      <c r="C14" s="33"/>
      <c r="D14" s="33"/>
      <c r="E14" s="33"/>
      <c r="F14" s="33"/>
      <c r="G14" s="33"/>
      <c r="H14" s="33"/>
      <c r="I14" s="33"/>
      <c r="J14" s="33"/>
    </row>
    <row r="15" spans="1:13">
      <c r="A15" s="8" t="s">
        <v>164</v>
      </c>
      <c r="B15" s="7" t="s">
        <v>584</v>
      </c>
      <c r="C15" s="7" t="s">
        <v>585</v>
      </c>
      <c r="D15" s="7" t="s">
        <v>586</v>
      </c>
      <c r="E15" s="7" t="s">
        <v>878</v>
      </c>
      <c r="F15" s="7" t="s">
        <v>854</v>
      </c>
      <c r="G15" s="20" t="s">
        <v>43</v>
      </c>
      <c r="H15" s="20" t="s">
        <v>587</v>
      </c>
      <c r="I15" s="20" t="s">
        <v>13</v>
      </c>
      <c r="J15" s="8"/>
      <c r="K15" s="8" t="str">
        <f>"100,0"</f>
        <v>100,0</v>
      </c>
      <c r="L15" s="8" t="str">
        <f>"104,2861"</f>
        <v>104,2861</v>
      </c>
      <c r="M15" s="7" t="s">
        <v>575</v>
      </c>
    </row>
    <row r="16" spans="1:13">
      <c r="A16" s="10" t="s">
        <v>164</v>
      </c>
      <c r="B16" s="9" t="s">
        <v>588</v>
      </c>
      <c r="C16" s="9" t="s">
        <v>589</v>
      </c>
      <c r="D16" s="9" t="s">
        <v>590</v>
      </c>
      <c r="E16" s="9" t="s">
        <v>882</v>
      </c>
      <c r="F16" s="9" t="s">
        <v>853</v>
      </c>
      <c r="G16" s="23" t="s">
        <v>64</v>
      </c>
      <c r="H16" s="23" t="s">
        <v>65</v>
      </c>
      <c r="I16" s="22" t="s">
        <v>58</v>
      </c>
      <c r="J16" s="10"/>
      <c r="K16" s="10" t="str">
        <f>"77,5"</f>
        <v>77,5</v>
      </c>
      <c r="L16" s="10" t="str">
        <f>"96,0172"</f>
        <v>96,0172</v>
      </c>
      <c r="M16" s="9"/>
    </row>
    <row r="17" spans="1:13">
      <c r="B17" s="5" t="s">
        <v>166</v>
      </c>
    </row>
    <row r="18" spans="1:13" ht="16">
      <c r="A18" s="33" t="s">
        <v>77</v>
      </c>
      <c r="B18" s="33"/>
      <c r="C18" s="33"/>
      <c r="D18" s="33"/>
      <c r="E18" s="33"/>
      <c r="F18" s="33"/>
      <c r="G18" s="33"/>
      <c r="H18" s="33"/>
      <c r="I18" s="33"/>
      <c r="J18" s="33"/>
    </row>
    <row r="19" spans="1:13">
      <c r="A19" s="14" t="s">
        <v>164</v>
      </c>
      <c r="B19" s="13" t="s">
        <v>591</v>
      </c>
      <c r="C19" s="13" t="s">
        <v>592</v>
      </c>
      <c r="D19" s="13" t="s">
        <v>593</v>
      </c>
      <c r="E19" s="13" t="s">
        <v>875</v>
      </c>
      <c r="F19" s="13" t="s">
        <v>851</v>
      </c>
      <c r="G19" s="27" t="s">
        <v>34</v>
      </c>
      <c r="H19" s="27" t="s">
        <v>38</v>
      </c>
      <c r="I19" s="26" t="s">
        <v>64</v>
      </c>
      <c r="J19" s="14"/>
      <c r="K19" s="14" t="str">
        <f>"72,5"</f>
        <v>72,5</v>
      </c>
      <c r="L19" s="14" t="str">
        <f>"52,9344"</f>
        <v>52,9344</v>
      </c>
      <c r="M19" s="13" t="s">
        <v>594</v>
      </c>
    </row>
    <row r="20" spans="1:13">
      <c r="B20" s="5" t="s">
        <v>166</v>
      </c>
    </row>
    <row r="21" spans="1:13" ht="16">
      <c r="A21" s="33" t="s">
        <v>175</v>
      </c>
      <c r="B21" s="33"/>
      <c r="C21" s="33"/>
      <c r="D21" s="33"/>
      <c r="E21" s="33"/>
      <c r="F21" s="33"/>
      <c r="G21" s="33"/>
      <c r="H21" s="33"/>
      <c r="I21" s="33"/>
      <c r="J21" s="33"/>
    </row>
    <row r="22" spans="1:13">
      <c r="A22" s="8" t="s">
        <v>164</v>
      </c>
      <c r="B22" s="7" t="s">
        <v>595</v>
      </c>
      <c r="C22" s="7" t="s">
        <v>596</v>
      </c>
      <c r="D22" s="7" t="s">
        <v>367</v>
      </c>
      <c r="E22" s="7" t="s">
        <v>874</v>
      </c>
      <c r="F22" s="7" t="s">
        <v>855</v>
      </c>
      <c r="G22" s="20" t="s">
        <v>15</v>
      </c>
      <c r="H22" s="20" t="s">
        <v>71</v>
      </c>
      <c r="I22" s="21" t="s">
        <v>261</v>
      </c>
      <c r="J22" s="8"/>
      <c r="K22" s="8" t="str">
        <f>"115,0"</f>
        <v>115,0</v>
      </c>
      <c r="L22" s="8" t="str">
        <f>"102,9018"</f>
        <v>102,9018</v>
      </c>
      <c r="M22" s="7" t="s">
        <v>594</v>
      </c>
    </row>
    <row r="23" spans="1:13">
      <c r="A23" s="10" t="s">
        <v>164</v>
      </c>
      <c r="B23" s="9" t="s">
        <v>597</v>
      </c>
      <c r="C23" s="9" t="s">
        <v>598</v>
      </c>
      <c r="D23" s="9" t="s">
        <v>599</v>
      </c>
      <c r="E23" s="9" t="s">
        <v>884</v>
      </c>
      <c r="F23" s="9" t="s">
        <v>851</v>
      </c>
      <c r="G23" s="23" t="s">
        <v>600</v>
      </c>
      <c r="H23" s="23" t="s">
        <v>574</v>
      </c>
      <c r="I23" s="23" t="s">
        <v>576</v>
      </c>
      <c r="J23" s="10"/>
      <c r="K23" s="10" t="str">
        <f>"30,0"</f>
        <v>30,0</v>
      </c>
      <c r="L23" s="10" t="str">
        <f>"41,0912"</f>
        <v>41,0912</v>
      </c>
      <c r="M23" s="9" t="s">
        <v>712</v>
      </c>
    </row>
    <row r="24" spans="1:13">
      <c r="B24" s="5" t="s">
        <v>166</v>
      </c>
    </row>
    <row r="25" spans="1:13" ht="16">
      <c r="A25" s="33" t="s">
        <v>100</v>
      </c>
      <c r="B25" s="33"/>
      <c r="C25" s="33"/>
      <c r="D25" s="33"/>
      <c r="E25" s="33"/>
      <c r="F25" s="33"/>
      <c r="G25" s="33"/>
      <c r="H25" s="33"/>
      <c r="I25" s="33"/>
      <c r="J25" s="33"/>
    </row>
    <row r="26" spans="1:13">
      <c r="A26" s="14" t="s">
        <v>164</v>
      </c>
      <c r="B26" s="13" t="s">
        <v>601</v>
      </c>
      <c r="C26" s="13" t="s">
        <v>602</v>
      </c>
      <c r="D26" s="13" t="s">
        <v>603</v>
      </c>
      <c r="E26" s="13" t="s">
        <v>875</v>
      </c>
      <c r="F26" s="13" t="s">
        <v>793</v>
      </c>
      <c r="G26" s="27" t="s">
        <v>54</v>
      </c>
      <c r="H26" s="27" t="s">
        <v>242</v>
      </c>
      <c r="I26" s="26" t="s">
        <v>345</v>
      </c>
      <c r="J26" s="14"/>
      <c r="K26" s="14" t="str">
        <f>"107,5"</f>
        <v>107,5</v>
      </c>
      <c r="L26" s="14" t="str">
        <f>"67,5988"</f>
        <v>67,5988</v>
      </c>
      <c r="M26" s="13"/>
    </row>
    <row r="27" spans="1:13">
      <c r="B27" s="5" t="s">
        <v>166</v>
      </c>
    </row>
    <row r="28" spans="1:13" ht="16">
      <c r="A28" s="33" t="s">
        <v>125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13">
      <c r="A29" s="8" t="s">
        <v>164</v>
      </c>
      <c r="B29" s="7" t="s">
        <v>604</v>
      </c>
      <c r="C29" s="7" t="s">
        <v>605</v>
      </c>
      <c r="D29" s="7" t="s">
        <v>212</v>
      </c>
      <c r="E29" s="7" t="s">
        <v>874</v>
      </c>
      <c r="F29" s="7" t="s">
        <v>856</v>
      </c>
      <c r="G29" s="20" t="s">
        <v>15</v>
      </c>
      <c r="H29" s="20" t="s">
        <v>71</v>
      </c>
      <c r="I29" s="20" t="s">
        <v>261</v>
      </c>
      <c r="J29" s="8"/>
      <c r="K29" s="8" t="str">
        <f>"117,5"</f>
        <v>117,5</v>
      </c>
      <c r="L29" s="8" t="str">
        <f>"102,6879"</f>
        <v>102,6879</v>
      </c>
      <c r="M29" s="7" t="s">
        <v>575</v>
      </c>
    </row>
    <row r="30" spans="1:13">
      <c r="A30" s="10" t="s">
        <v>164</v>
      </c>
      <c r="B30" s="9" t="s">
        <v>606</v>
      </c>
      <c r="C30" s="9" t="s">
        <v>607</v>
      </c>
      <c r="D30" s="9" t="s">
        <v>608</v>
      </c>
      <c r="E30" s="9" t="s">
        <v>882</v>
      </c>
      <c r="F30" s="9" t="s">
        <v>851</v>
      </c>
      <c r="G30" s="23" t="s">
        <v>17</v>
      </c>
      <c r="H30" s="23" t="s">
        <v>34</v>
      </c>
      <c r="I30" s="23" t="s">
        <v>64</v>
      </c>
      <c r="J30" s="10"/>
      <c r="K30" s="10" t="str">
        <f>"75,0"</f>
        <v>75,0</v>
      </c>
      <c r="L30" s="10" t="str">
        <f>"82,0864"</f>
        <v>82,0864</v>
      </c>
      <c r="M30" s="9" t="s">
        <v>594</v>
      </c>
    </row>
    <row r="31" spans="1:13">
      <c r="B31" s="5" t="s">
        <v>166</v>
      </c>
    </row>
    <row r="32" spans="1:13" ht="16">
      <c r="A32" s="33" t="s">
        <v>277</v>
      </c>
      <c r="B32" s="33"/>
      <c r="C32" s="33"/>
      <c r="D32" s="33"/>
      <c r="E32" s="33"/>
      <c r="F32" s="33"/>
      <c r="G32" s="33"/>
      <c r="H32" s="33"/>
      <c r="I32" s="33"/>
      <c r="J32" s="33"/>
    </row>
    <row r="33" spans="1:13">
      <c r="A33" s="8" t="s">
        <v>164</v>
      </c>
      <c r="B33" s="7" t="s">
        <v>609</v>
      </c>
      <c r="C33" s="7" t="s">
        <v>610</v>
      </c>
      <c r="D33" s="7" t="s">
        <v>611</v>
      </c>
      <c r="E33" s="7" t="s">
        <v>875</v>
      </c>
      <c r="F33" s="7" t="s">
        <v>851</v>
      </c>
      <c r="G33" s="21" t="s">
        <v>26</v>
      </c>
      <c r="H33" s="20" t="s">
        <v>26</v>
      </c>
      <c r="I33" s="20" t="s">
        <v>43</v>
      </c>
      <c r="J33" s="8"/>
      <c r="K33" s="8" t="str">
        <f>"95,0"</f>
        <v>95,0</v>
      </c>
      <c r="L33" s="8" t="str">
        <f>"55,0478"</f>
        <v>55,0478</v>
      </c>
      <c r="M33" s="7" t="s">
        <v>594</v>
      </c>
    </row>
    <row r="34" spans="1:13">
      <c r="A34" s="12" t="s">
        <v>164</v>
      </c>
      <c r="B34" s="11" t="s">
        <v>612</v>
      </c>
      <c r="C34" s="11" t="s">
        <v>613</v>
      </c>
      <c r="D34" s="11" t="s">
        <v>614</v>
      </c>
      <c r="E34" s="11" t="s">
        <v>878</v>
      </c>
      <c r="F34" s="11" t="s">
        <v>851</v>
      </c>
      <c r="G34" s="24" t="s">
        <v>262</v>
      </c>
      <c r="H34" s="24" t="s">
        <v>44</v>
      </c>
      <c r="I34" s="24" t="s">
        <v>18</v>
      </c>
      <c r="J34" s="12"/>
      <c r="K34" s="12" t="str">
        <f>"135,0"</f>
        <v>135,0</v>
      </c>
      <c r="L34" s="12" t="str">
        <f>"89,4694"</f>
        <v>89,4694</v>
      </c>
      <c r="M34" s="11"/>
    </row>
    <row r="35" spans="1:13">
      <c r="A35" s="10" t="s">
        <v>165</v>
      </c>
      <c r="B35" s="9" t="s">
        <v>615</v>
      </c>
      <c r="C35" s="9" t="s">
        <v>616</v>
      </c>
      <c r="D35" s="9" t="s">
        <v>617</v>
      </c>
      <c r="E35" s="9" t="s">
        <v>878</v>
      </c>
      <c r="F35" s="9" t="s">
        <v>853</v>
      </c>
      <c r="G35" s="23" t="s">
        <v>43</v>
      </c>
      <c r="H35" s="23" t="s">
        <v>13</v>
      </c>
      <c r="I35" s="23" t="s">
        <v>14</v>
      </c>
      <c r="J35" s="10"/>
      <c r="K35" s="10" t="str">
        <f>"105,0"</f>
        <v>105,0</v>
      </c>
      <c r="L35" s="10" t="str">
        <f>"68,7162"</f>
        <v>68,7162</v>
      </c>
      <c r="M35" s="9" t="s">
        <v>618</v>
      </c>
    </row>
    <row r="36" spans="1:13">
      <c r="B36" s="5" t="s">
        <v>166</v>
      </c>
    </row>
    <row r="39" spans="1:13" ht="18">
      <c r="B39" s="15" t="s">
        <v>140</v>
      </c>
      <c r="C39" s="15"/>
    </row>
    <row r="40" spans="1:13" ht="16">
      <c r="B40" s="16" t="s">
        <v>155</v>
      </c>
      <c r="C40" s="16"/>
    </row>
    <row r="41" spans="1:13" ht="14">
      <c r="B41" s="17"/>
      <c r="C41" s="18" t="s">
        <v>160</v>
      </c>
    </row>
    <row r="42" spans="1:13" ht="14">
      <c r="A42" s="1"/>
      <c r="B42" s="19" t="s">
        <v>143</v>
      </c>
      <c r="C42" s="19" t="s">
        <v>144</v>
      </c>
      <c r="D42" s="19" t="s">
        <v>742</v>
      </c>
      <c r="E42" s="19" t="s">
        <v>295</v>
      </c>
      <c r="F42" s="19" t="s">
        <v>546</v>
      </c>
    </row>
    <row r="43" spans="1:13">
      <c r="B43" s="5" t="s">
        <v>584</v>
      </c>
      <c r="C43" s="5" t="s">
        <v>161</v>
      </c>
      <c r="D43" s="6" t="s">
        <v>152</v>
      </c>
      <c r="E43" s="6" t="s">
        <v>13</v>
      </c>
      <c r="F43" s="6" t="s">
        <v>619</v>
      </c>
    </row>
    <row r="44" spans="1:13">
      <c r="B44" s="5" t="s">
        <v>595</v>
      </c>
      <c r="C44" s="5" t="s">
        <v>162</v>
      </c>
      <c r="D44" s="6" t="s">
        <v>222</v>
      </c>
      <c r="E44" s="6" t="s">
        <v>71</v>
      </c>
      <c r="F44" s="6" t="s">
        <v>620</v>
      </c>
    </row>
    <row r="45" spans="1:13">
      <c r="B45" s="5" t="s">
        <v>604</v>
      </c>
      <c r="C45" s="5" t="s">
        <v>162</v>
      </c>
      <c r="D45" s="6" t="s">
        <v>157</v>
      </c>
      <c r="E45" s="6" t="s">
        <v>261</v>
      </c>
      <c r="F45" s="6" t="s">
        <v>621</v>
      </c>
    </row>
    <row r="46" spans="1:13">
      <c r="B46" s="5" t="s">
        <v>166</v>
      </c>
    </row>
  </sheetData>
  <mergeCells count="20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28:J28"/>
    <mergeCell ref="A32:J32"/>
    <mergeCell ref="B3:B4"/>
    <mergeCell ref="A8:J8"/>
    <mergeCell ref="A11:J11"/>
    <mergeCell ref="A14:J14"/>
    <mergeCell ref="A18:J18"/>
    <mergeCell ref="A21:J21"/>
    <mergeCell ref="A25:J2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3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" style="5" bestFit="1" customWidth="1"/>
    <col min="3" max="3" width="27.664062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1" width="9.6640625" style="6" customWidth="1"/>
    <col min="12" max="12" width="8.5" style="6" bestFit="1" customWidth="1"/>
    <col min="13" max="13" width="21.5" style="5" bestFit="1" customWidth="1"/>
    <col min="14" max="16384" width="9.1640625" style="3"/>
  </cols>
  <sheetData>
    <row r="1" spans="1:13" s="2" customFormat="1" ht="29" customHeight="1">
      <c r="A1" s="42" t="s">
        <v>733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169</v>
      </c>
      <c r="B3" s="34" t="s">
        <v>0</v>
      </c>
      <c r="C3" s="52" t="s">
        <v>879</v>
      </c>
      <c r="D3" s="52" t="s">
        <v>5</v>
      </c>
      <c r="E3" s="38" t="s">
        <v>871</v>
      </c>
      <c r="F3" s="38" t="s">
        <v>782</v>
      </c>
      <c r="G3" s="38" t="s">
        <v>8</v>
      </c>
      <c r="H3" s="38"/>
      <c r="I3" s="38"/>
      <c r="J3" s="38"/>
      <c r="K3" s="38" t="s">
        <v>298</v>
      </c>
      <c r="L3" s="38" t="s">
        <v>3</v>
      </c>
      <c r="M3" s="53" t="s">
        <v>2</v>
      </c>
    </row>
    <row r="4" spans="1:13" s="1" customFormat="1" ht="21" customHeight="1" thickBot="1">
      <c r="A4" s="51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54"/>
    </row>
    <row r="5" spans="1:13" ht="16">
      <c r="A5" s="36" t="s">
        <v>30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14" t="s">
        <v>164</v>
      </c>
      <c r="B6" s="13" t="s">
        <v>40</v>
      </c>
      <c r="C6" s="13" t="s">
        <v>41</v>
      </c>
      <c r="D6" s="13" t="s">
        <v>472</v>
      </c>
      <c r="E6" s="13" t="s">
        <v>872</v>
      </c>
      <c r="F6" s="13" t="s">
        <v>793</v>
      </c>
      <c r="G6" s="27" t="s">
        <v>60</v>
      </c>
      <c r="H6" s="27" t="s">
        <v>97</v>
      </c>
      <c r="I6" s="27" t="s">
        <v>122</v>
      </c>
      <c r="J6" s="14"/>
      <c r="K6" s="14" t="str">
        <f>"132,5"</f>
        <v>132,5</v>
      </c>
      <c r="L6" s="14" t="str">
        <f>"257,3150"</f>
        <v>257,3150</v>
      </c>
      <c r="M6" s="13" t="s">
        <v>45</v>
      </c>
    </row>
    <row r="7" spans="1:13">
      <c r="B7" s="5" t="s">
        <v>166</v>
      </c>
    </row>
    <row r="8" spans="1:13" ht="16">
      <c r="A8" s="33" t="s">
        <v>67</v>
      </c>
      <c r="B8" s="33"/>
      <c r="C8" s="33"/>
      <c r="D8" s="33"/>
      <c r="E8" s="33"/>
      <c r="F8" s="33"/>
      <c r="G8" s="33"/>
      <c r="H8" s="33"/>
      <c r="I8" s="33"/>
      <c r="J8" s="33"/>
    </row>
    <row r="9" spans="1:13">
      <c r="A9" s="8" t="s">
        <v>164</v>
      </c>
      <c r="B9" s="7" t="s">
        <v>68</v>
      </c>
      <c r="C9" s="7" t="s">
        <v>69</v>
      </c>
      <c r="D9" s="7" t="s">
        <v>70</v>
      </c>
      <c r="E9" s="7" t="s">
        <v>872</v>
      </c>
      <c r="F9" s="7" t="s">
        <v>794</v>
      </c>
      <c r="G9" s="20" t="s">
        <v>18</v>
      </c>
      <c r="H9" s="20" t="s">
        <v>20</v>
      </c>
      <c r="I9" s="20" t="s">
        <v>21</v>
      </c>
      <c r="J9" s="8"/>
      <c r="K9" s="8" t="str">
        <f>"150,0"</f>
        <v>150,0</v>
      </c>
      <c r="L9" s="8" t="str">
        <f>"255,0000"</f>
        <v>255,0000</v>
      </c>
      <c r="M9" s="7" t="s">
        <v>72</v>
      </c>
    </row>
    <row r="10" spans="1:13">
      <c r="A10" s="10" t="s">
        <v>164</v>
      </c>
      <c r="B10" s="9" t="s">
        <v>473</v>
      </c>
      <c r="C10" s="9" t="s">
        <v>474</v>
      </c>
      <c r="D10" s="9" t="s">
        <v>475</v>
      </c>
      <c r="E10" s="9" t="s">
        <v>875</v>
      </c>
      <c r="F10" s="9" t="s">
        <v>793</v>
      </c>
      <c r="G10" s="23" t="s">
        <v>28</v>
      </c>
      <c r="H10" s="23" t="s">
        <v>16</v>
      </c>
      <c r="I10" s="23" t="s">
        <v>17</v>
      </c>
      <c r="J10" s="10"/>
      <c r="K10" s="10" t="str">
        <f>"65,0"</f>
        <v>65,0</v>
      </c>
      <c r="L10" s="10" t="str">
        <f>"124,4728"</f>
        <v>124,4728</v>
      </c>
      <c r="M10" s="9" t="s">
        <v>476</v>
      </c>
    </row>
    <row r="11" spans="1:13">
      <c r="B11" s="5" t="s">
        <v>166</v>
      </c>
    </row>
    <row r="12" spans="1:13" ht="16">
      <c r="A12" s="33" t="s">
        <v>67</v>
      </c>
      <c r="B12" s="33"/>
      <c r="C12" s="33"/>
      <c r="D12" s="33"/>
      <c r="E12" s="33"/>
      <c r="F12" s="33"/>
      <c r="G12" s="33"/>
      <c r="H12" s="33"/>
      <c r="I12" s="33"/>
      <c r="J12" s="33"/>
    </row>
    <row r="13" spans="1:13">
      <c r="A13" s="14" t="s">
        <v>164</v>
      </c>
      <c r="B13" s="13" t="s">
        <v>477</v>
      </c>
      <c r="C13" s="13" t="s">
        <v>478</v>
      </c>
      <c r="D13" s="13" t="s">
        <v>479</v>
      </c>
      <c r="E13" s="13" t="s">
        <v>872</v>
      </c>
      <c r="F13" s="13" t="s">
        <v>857</v>
      </c>
      <c r="G13" s="27" t="s">
        <v>183</v>
      </c>
      <c r="H13" s="27" t="s">
        <v>115</v>
      </c>
      <c r="I13" s="26" t="s">
        <v>105</v>
      </c>
      <c r="J13" s="14"/>
      <c r="K13" s="14" t="str">
        <f>"205,0"</f>
        <v>205,0</v>
      </c>
      <c r="L13" s="14" t="str">
        <f>"266,9920"</f>
        <v>266,9920</v>
      </c>
      <c r="M13" s="13"/>
    </row>
    <row r="14" spans="1:13">
      <c r="B14" s="5" t="s">
        <v>166</v>
      </c>
    </row>
    <row r="15" spans="1:13" ht="16">
      <c r="A15" s="33" t="s">
        <v>77</v>
      </c>
      <c r="B15" s="33"/>
      <c r="C15" s="33"/>
      <c r="D15" s="33"/>
      <c r="E15" s="33"/>
      <c r="F15" s="33"/>
      <c r="G15" s="33"/>
      <c r="H15" s="33"/>
      <c r="I15" s="33"/>
      <c r="J15" s="33"/>
    </row>
    <row r="16" spans="1:13">
      <c r="A16" s="8" t="s">
        <v>164</v>
      </c>
      <c r="B16" s="7" t="s">
        <v>81</v>
      </c>
      <c r="C16" s="7" t="s">
        <v>743</v>
      </c>
      <c r="D16" s="7" t="s">
        <v>82</v>
      </c>
      <c r="E16" s="7" t="s">
        <v>873</v>
      </c>
      <c r="F16" s="7" t="s">
        <v>795</v>
      </c>
      <c r="G16" s="20" t="s">
        <v>83</v>
      </c>
      <c r="H16" s="20" t="s">
        <v>84</v>
      </c>
      <c r="I16" s="21" t="s">
        <v>85</v>
      </c>
      <c r="J16" s="8"/>
      <c r="K16" s="8" t="str">
        <f>"170,0"</f>
        <v>170,0</v>
      </c>
      <c r="L16" s="8" t="str">
        <f>"189,9920"</f>
        <v>189,9920</v>
      </c>
      <c r="M16" s="7" t="s">
        <v>86</v>
      </c>
    </row>
    <row r="17" spans="1:13">
      <c r="A17" s="12" t="s">
        <v>164</v>
      </c>
      <c r="B17" s="11" t="s">
        <v>346</v>
      </c>
      <c r="C17" s="11" t="s">
        <v>347</v>
      </c>
      <c r="D17" s="11" t="s">
        <v>348</v>
      </c>
      <c r="E17" s="11" t="s">
        <v>872</v>
      </c>
      <c r="F17" s="11" t="s">
        <v>819</v>
      </c>
      <c r="G17" s="24" t="s">
        <v>104</v>
      </c>
      <c r="H17" s="24" t="s">
        <v>105</v>
      </c>
      <c r="I17" s="25" t="s">
        <v>116</v>
      </c>
      <c r="J17" s="12"/>
      <c r="K17" s="12" t="str">
        <f>"210,0"</f>
        <v>210,0</v>
      </c>
      <c r="L17" s="12" t="str">
        <f>"239,5260"</f>
        <v>239,5260</v>
      </c>
      <c r="M17" s="11"/>
    </row>
    <row r="18" spans="1:13">
      <c r="A18" s="12" t="s">
        <v>165</v>
      </c>
      <c r="B18" s="11" t="s">
        <v>480</v>
      </c>
      <c r="C18" s="11" t="s">
        <v>481</v>
      </c>
      <c r="D18" s="11" t="s">
        <v>482</v>
      </c>
      <c r="E18" s="11" t="s">
        <v>872</v>
      </c>
      <c r="F18" s="11" t="s">
        <v>794</v>
      </c>
      <c r="G18" s="24" t="s">
        <v>84</v>
      </c>
      <c r="H18" s="24" t="s">
        <v>85</v>
      </c>
      <c r="I18" s="12"/>
      <c r="J18" s="12"/>
      <c r="K18" s="12" t="str">
        <f>"182,5"</f>
        <v>182,5</v>
      </c>
      <c r="L18" s="12" t="str">
        <f>"210,3495"</f>
        <v>210,3495</v>
      </c>
      <c r="M18" s="11" t="s">
        <v>483</v>
      </c>
    </row>
    <row r="19" spans="1:13">
      <c r="A19" s="10" t="s">
        <v>164</v>
      </c>
      <c r="B19" s="9" t="s">
        <v>352</v>
      </c>
      <c r="C19" s="9" t="s">
        <v>353</v>
      </c>
      <c r="D19" s="9" t="s">
        <v>342</v>
      </c>
      <c r="E19" s="9" t="s">
        <v>875</v>
      </c>
      <c r="F19" s="9" t="s">
        <v>821</v>
      </c>
      <c r="G19" s="23" t="s">
        <v>114</v>
      </c>
      <c r="H19" s="23" t="s">
        <v>104</v>
      </c>
      <c r="I19" s="22" t="s">
        <v>184</v>
      </c>
      <c r="J19" s="10"/>
      <c r="K19" s="10" t="str">
        <f>"200,0"</f>
        <v>200,0</v>
      </c>
      <c r="L19" s="10" t="str">
        <f>"255,1981"</f>
        <v>255,1981</v>
      </c>
      <c r="M19" s="9" t="s">
        <v>354</v>
      </c>
    </row>
    <row r="20" spans="1:13">
      <c r="B20" s="5" t="s">
        <v>166</v>
      </c>
    </row>
    <row r="21" spans="1:13" ht="16">
      <c r="A21" s="33" t="s">
        <v>175</v>
      </c>
      <c r="B21" s="33"/>
      <c r="C21" s="33"/>
      <c r="D21" s="33"/>
      <c r="E21" s="33"/>
      <c r="F21" s="33"/>
      <c r="G21" s="33"/>
      <c r="H21" s="33"/>
      <c r="I21" s="33"/>
      <c r="J21" s="33"/>
    </row>
    <row r="22" spans="1:13">
      <c r="A22" s="8" t="s">
        <v>164</v>
      </c>
      <c r="B22" s="7" t="s">
        <v>484</v>
      </c>
      <c r="C22" s="7" t="s">
        <v>767</v>
      </c>
      <c r="D22" s="7" t="s">
        <v>485</v>
      </c>
      <c r="E22" s="7" t="s">
        <v>873</v>
      </c>
      <c r="F22" s="7" t="s">
        <v>819</v>
      </c>
      <c r="G22" s="20" t="s">
        <v>19</v>
      </c>
      <c r="H22" s="20" t="s">
        <v>21</v>
      </c>
      <c r="I22" s="20" t="s">
        <v>90</v>
      </c>
      <c r="J22" s="8"/>
      <c r="K22" s="8" t="str">
        <f>"155,0"</f>
        <v>155,0</v>
      </c>
      <c r="L22" s="8" t="str">
        <f>"169,1360"</f>
        <v>169,1360</v>
      </c>
      <c r="M22" s="7" t="s">
        <v>330</v>
      </c>
    </row>
    <row r="23" spans="1:13">
      <c r="A23" s="10" t="s">
        <v>164</v>
      </c>
      <c r="B23" s="9" t="s">
        <v>358</v>
      </c>
      <c r="C23" s="9" t="s">
        <v>359</v>
      </c>
      <c r="D23" s="9" t="s">
        <v>360</v>
      </c>
      <c r="E23" s="9" t="s">
        <v>872</v>
      </c>
      <c r="F23" s="9" t="s">
        <v>791</v>
      </c>
      <c r="G23" s="23" t="s">
        <v>107</v>
      </c>
      <c r="H23" s="23" t="s">
        <v>188</v>
      </c>
      <c r="I23" s="22" t="s">
        <v>137</v>
      </c>
      <c r="J23" s="10"/>
      <c r="K23" s="10" t="str">
        <f>"250,0"</f>
        <v>250,0</v>
      </c>
      <c r="L23" s="10" t="str">
        <f>"257,9000"</f>
        <v>257,9000</v>
      </c>
      <c r="M23" s="9"/>
    </row>
    <row r="24" spans="1:13">
      <c r="B24" s="5" t="s">
        <v>166</v>
      </c>
    </row>
    <row r="25" spans="1:13" ht="16">
      <c r="A25" s="33" t="s">
        <v>277</v>
      </c>
      <c r="B25" s="33"/>
      <c r="C25" s="33"/>
      <c r="D25" s="33"/>
      <c r="E25" s="33"/>
      <c r="F25" s="33"/>
      <c r="G25" s="33"/>
      <c r="H25" s="33"/>
      <c r="I25" s="33"/>
      <c r="J25" s="33"/>
    </row>
    <row r="26" spans="1:13">
      <c r="A26" s="14" t="s">
        <v>164</v>
      </c>
      <c r="B26" s="13" t="s">
        <v>486</v>
      </c>
      <c r="C26" s="13" t="s">
        <v>768</v>
      </c>
      <c r="D26" s="13" t="s">
        <v>487</v>
      </c>
      <c r="E26" s="13" t="s">
        <v>877</v>
      </c>
      <c r="F26" s="13" t="s">
        <v>795</v>
      </c>
      <c r="G26" s="27" t="s">
        <v>115</v>
      </c>
      <c r="H26" s="26" t="s">
        <v>136</v>
      </c>
      <c r="I26" s="27" t="s">
        <v>136</v>
      </c>
      <c r="J26" s="14"/>
      <c r="K26" s="14" t="str">
        <f>"220,0"</f>
        <v>220,0</v>
      </c>
      <c r="L26" s="14" t="str">
        <f>"195,8000"</f>
        <v>195,8000</v>
      </c>
      <c r="M26" s="13" t="s">
        <v>86</v>
      </c>
    </row>
    <row r="27" spans="1:13">
      <c r="B27" s="5" t="s">
        <v>166</v>
      </c>
    </row>
    <row r="28" spans="1:13" ht="16">
      <c r="A28" s="33" t="s">
        <v>215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13">
      <c r="A29" s="14" t="s">
        <v>164</v>
      </c>
      <c r="B29" s="13" t="s">
        <v>488</v>
      </c>
      <c r="C29" s="13" t="s">
        <v>489</v>
      </c>
      <c r="D29" s="13" t="s">
        <v>490</v>
      </c>
      <c r="E29" s="13" t="s">
        <v>872</v>
      </c>
      <c r="F29" s="13" t="s">
        <v>793</v>
      </c>
      <c r="G29" s="27" t="s">
        <v>491</v>
      </c>
      <c r="H29" s="27" t="s">
        <v>219</v>
      </c>
      <c r="I29" s="27" t="s">
        <v>204</v>
      </c>
      <c r="J29" s="14"/>
      <c r="K29" s="14" t="str">
        <f>"290,0"</f>
        <v>290,0</v>
      </c>
      <c r="L29" s="14" t="str">
        <f>"249,4000"</f>
        <v>249,4000</v>
      </c>
      <c r="M29" s="13"/>
    </row>
    <row r="30" spans="1:13">
      <c r="B30" s="5" t="s">
        <v>166</v>
      </c>
    </row>
  </sheetData>
  <mergeCells count="18">
    <mergeCell ref="A1:M2"/>
    <mergeCell ref="A3:A4"/>
    <mergeCell ref="C3:C4"/>
    <mergeCell ref="D3:D4"/>
    <mergeCell ref="E3:E4"/>
    <mergeCell ref="F3:F4"/>
    <mergeCell ref="G3:J3"/>
    <mergeCell ref="A28:J28"/>
    <mergeCell ref="K3:K4"/>
    <mergeCell ref="L3:L4"/>
    <mergeCell ref="M3:M4"/>
    <mergeCell ref="A5:J5"/>
    <mergeCell ref="B3:B4"/>
    <mergeCell ref="A8:J8"/>
    <mergeCell ref="A12:J12"/>
    <mergeCell ref="A15:J15"/>
    <mergeCell ref="A21:J21"/>
    <mergeCell ref="A25:J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15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1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10" width="5.5" style="6" customWidth="1"/>
    <col min="11" max="11" width="10.5" style="28" bestFit="1" customWidth="1"/>
    <col min="12" max="12" width="8.5" style="6" bestFit="1" customWidth="1"/>
    <col min="13" max="13" width="20.33203125" style="5" customWidth="1"/>
    <col min="14" max="16384" width="9.1640625" style="3"/>
  </cols>
  <sheetData>
    <row r="1" spans="1:13" s="2" customFormat="1" ht="29" customHeight="1">
      <c r="A1" s="42" t="s">
        <v>734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169</v>
      </c>
      <c r="B3" s="34" t="s">
        <v>0</v>
      </c>
      <c r="C3" s="52" t="s">
        <v>879</v>
      </c>
      <c r="D3" s="52" t="s">
        <v>5</v>
      </c>
      <c r="E3" s="38" t="s">
        <v>871</v>
      </c>
      <c r="F3" s="38" t="s">
        <v>782</v>
      </c>
      <c r="G3" s="38" t="s">
        <v>8</v>
      </c>
      <c r="H3" s="38"/>
      <c r="I3" s="38"/>
      <c r="J3" s="38"/>
      <c r="K3" s="40" t="s">
        <v>298</v>
      </c>
      <c r="L3" s="38" t="s">
        <v>3</v>
      </c>
      <c r="M3" s="53" t="s">
        <v>2</v>
      </c>
    </row>
    <row r="4" spans="1:13" s="1" customFormat="1" ht="21" customHeight="1" thickBot="1">
      <c r="A4" s="51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1"/>
      <c r="L4" s="39"/>
      <c r="M4" s="54"/>
    </row>
    <row r="5" spans="1:13" ht="16">
      <c r="A5" s="36" t="s">
        <v>100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8" t="s">
        <v>164</v>
      </c>
      <c r="B6" s="7" t="s">
        <v>454</v>
      </c>
      <c r="C6" s="7" t="s">
        <v>455</v>
      </c>
      <c r="D6" s="7" t="s">
        <v>456</v>
      </c>
      <c r="E6" s="7" t="s">
        <v>875</v>
      </c>
      <c r="F6" s="7" t="s">
        <v>793</v>
      </c>
      <c r="G6" s="20" t="s">
        <v>104</v>
      </c>
      <c r="H6" s="21" t="s">
        <v>105</v>
      </c>
      <c r="I6" s="21" t="s">
        <v>105</v>
      </c>
      <c r="J6" s="8"/>
      <c r="K6" s="29" t="str">
        <f>"200,0"</f>
        <v>200,0</v>
      </c>
      <c r="L6" s="8" t="str">
        <f>"209,0744"</f>
        <v>209,0744</v>
      </c>
      <c r="M6" s="7"/>
    </row>
    <row r="7" spans="1:13">
      <c r="A7" s="10" t="s">
        <v>164</v>
      </c>
      <c r="B7" s="9" t="s">
        <v>457</v>
      </c>
      <c r="C7" s="9" t="s">
        <v>458</v>
      </c>
      <c r="D7" s="9" t="s">
        <v>269</v>
      </c>
      <c r="E7" s="9" t="s">
        <v>874</v>
      </c>
      <c r="F7" s="9" t="s">
        <v>814</v>
      </c>
      <c r="G7" s="23" t="s">
        <v>136</v>
      </c>
      <c r="H7" s="23" t="s">
        <v>178</v>
      </c>
      <c r="I7" s="10"/>
      <c r="J7" s="10"/>
      <c r="K7" s="30" t="str">
        <f>"230,0"</f>
        <v>230,0</v>
      </c>
      <c r="L7" s="10" t="str">
        <f>"363,4281"</f>
        <v>363,4281</v>
      </c>
      <c r="M7" s="9"/>
    </row>
    <row r="8" spans="1:13">
      <c r="B8" s="5" t="s">
        <v>166</v>
      </c>
    </row>
    <row r="9" spans="1:13" ht="16">
      <c r="A9" s="33" t="s">
        <v>125</v>
      </c>
      <c r="B9" s="33"/>
      <c r="C9" s="33"/>
      <c r="D9" s="33"/>
      <c r="E9" s="33"/>
      <c r="F9" s="33"/>
      <c r="G9" s="33"/>
      <c r="H9" s="33"/>
      <c r="I9" s="33"/>
      <c r="J9" s="33"/>
    </row>
    <row r="10" spans="1:13">
      <c r="A10" s="14" t="s">
        <v>164</v>
      </c>
      <c r="B10" s="13" t="s">
        <v>459</v>
      </c>
      <c r="C10" s="13" t="s">
        <v>769</v>
      </c>
      <c r="D10" s="13" t="s">
        <v>460</v>
      </c>
      <c r="E10" s="13" t="s">
        <v>880</v>
      </c>
      <c r="F10" s="13" t="s">
        <v>793</v>
      </c>
      <c r="G10" s="27" t="s">
        <v>139</v>
      </c>
      <c r="H10" s="27" t="s">
        <v>219</v>
      </c>
      <c r="I10" s="27" t="s">
        <v>204</v>
      </c>
      <c r="J10" s="14"/>
      <c r="K10" s="32" t="str">
        <f>"290,0"</f>
        <v>290,0</v>
      </c>
      <c r="L10" s="14" t="str">
        <f>"268,2500"</f>
        <v>268,2500</v>
      </c>
      <c r="M10" s="13"/>
    </row>
    <row r="11" spans="1:13">
      <c r="B11" s="5" t="s">
        <v>166</v>
      </c>
    </row>
    <row r="12" spans="1:13" ht="16">
      <c r="A12" s="33" t="s">
        <v>277</v>
      </c>
      <c r="B12" s="33"/>
      <c r="C12" s="33"/>
      <c r="D12" s="33"/>
      <c r="E12" s="33"/>
      <c r="F12" s="33"/>
      <c r="G12" s="33"/>
      <c r="H12" s="33"/>
      <c r="I12" s="33"/>
      <c r="J12" s="33"/>
    </row>
    <row r="13" spans="1:13">
      <c r="A13" s="8" t="s">
        <v>167</v>
      </c>
      <c r="B13" s="7" t="s">
        <v>461</v>
      </c>
      <c r="C13" s="7" t="s">
        <v>462</v>
      </c>
      <c r="D13" s="7" t="s">
        <v>463</v>
      </c>
      <c r="E13" s="7" t="s">
        <v>872</v>
      </c>
      <c r="F13" s="7" t="s">
        <v>793</v>
      </c>
      <c r="G13" s="21" t="s">
        <v>464</v>
      </c>
      <c r="H13" s="8"/>
      <c r="I13" s="8"/>
      <c r="J13" s="8"/>
      <c r="K13" s="29">
        <v>0</v>
      </c>
      <c r="L13" s="8" t="str">
        <f>"0,0000"</f>
        <v>0,0000</v>
      </c>
      <c r="M13" s="7" t="s">
        <v>465</v>
      </c>
    </row>
    <row r="14" spans="1:13">
      <c r="A14" s="10" t="s">
        <v>164</v>
      </c>
      <c r="B14" s="9" t="s">
        <v>467</v>
      </c>
      <c r="C14" s="9" t="s">
        <v>468</v>
      </c>
      <c r="D14" s="9" t="s">
        <v>469</v>
      </c>
      <c r="E14" s="9" t="s">
        <v>878</v>
      </c>
      <c r="F14" s="9" t="s">
        <v>858</v>
      </c>
      <c r="G14" s="23" t="s">
        <v>179</v>
      </c>
      <c r="H14" s="23" t="s">
        <v>189</v>
      </c>
      <c r="I14" s="23" t="s">
        <v>139</v>
      </c>
      <c r="J14" s="23" t="s">
        <v>219</v>
      </c>
      <c r="K14" s="30" t="str">
        <f>"275,0"</f>
        <v>275,0</v>
      </c>
      <c r="L14" s="10" t="str">
        <f>"280,5138"</f>
        <v>280,5138</v>
      </c>
      <c r="M14" s="9" t="s">
        <v>470</v>
      </c>
    </row>
    <row r="15" spans="1:13">
      <c r="B15" s="5" t="s">
        <v>166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9:J9"/>
    <mergeCell ref="A12:J12"/>
    <mergeCell ref="B3:B4"/>
    <mergeCell ref="K3:K4"/>
    <mergeCell ref="L3:L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19.33203125" style="5" bestFit="1" customWidth="1"/>
    <col min="7" max="10" width="5.5" style="6" customWidth="1"/>
    <col min="11" max="11" width="10.83203125" style="6" customWidth="1"/>
    <col min="12" max="12" width="8.5" style="6" bestFit="1" customWidth="1"/>
    <col min="13" max="13" width="21" style="5" customWidth="1"/>
    <col min="14" max="16384" width="9.1640625" style="3"/>
  </cols>
  <sheetData>
    <row r="1" spans="1:13" s="2" customFormat="1" ht="29" customHeight="1">
      <c r="A1" s="42" t="s">
        <v>735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169</v>
      </c>
      <c r="B3" s="34" t="s">
        <v>0</v>
      </c>
      <c r="C3" s="52" t="s">
        <v>879</v>
      </c>
      <c r="D3" s="52" t="s">
        <v>5</v>
      </c>
      <c r="E3" s="38" t="s">
        <v>871</v>
      </c>
      <c r="F3" s="38" t="s">
        <v>782</v>
      </c>
      <c r="G3" s="38" t="s">
        <v>8</v>
      </c>
      <c r="H3" s="38"/>
      <c r="I3" s="38"/>
      <c r="J3" s="38"/>
      <c r="K3" s="38" t="s">
        <v>298</v>
      </c>
      <c r="L3" s="38" t="s">
        <v>3</v>
      </c>
      <c r="M3" s="53" t="s">
        <v>2</v>
      </c>
    </row>
    <row r="4" spans="1:13" s="1" customFormat="1" ht="21" customHeight="1" thickBot="1">
      <c r="A4" s="51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54"/>
    </row>
    <row r="5" spans="1:13" ht="16">
      <c r="A5" s="36" t="s">
        <v>100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8" t="s">
        <v>164</v>
      </c>
      <c r="B6" s="7" t="s">
        <v>492</v>
      </c>
      <c r="C6" s="7" t="s">
        <v>493</v>
      </c>
      <c r="D6" s="7" t="s">
        <v>494</v>
      </c>
      <c r="E6" s="7" t="s">
        <v>872</v>
      </c>
      <c r="F6" s="7" t="s">
        <v>836</v>
      </c>
      <c r="G6" s="20" t="s">
        <v>136</v>
      </c>
      <c r="H6" s="21" t="s">
        <v>107</v>
      </c>
      <c r="I6" s="20" t="s">
        <v>188</v>
      </c>
      <c r="J6" s="21" t="s">
        <v>495</v>
      </c>
      <c r="K6" s="8" t="str">
        <f>"250,0"</f>
        <v>250,0</v>
      </c>
      <c r="L6" s="8" t="str">
        <f>"252,9500"</f>
        <v>252,9500</v>
      </c>
      <c r="M6" s="7"/>
    </row>
    <row r="7" spans="1:13">
      <c r="A7" s="10" t="s">
        <v>164</v>
      </c>
      <c r="B7" s="9" t="s">
        <v>492</v>
      </c>
      <c r="C7" s="9" t="s">
        <v>496</v>
      </c>
      <c r="D7" s="9" t="s">
        <v>494</v>
      </c>
      <c r="E7" s="9" t="s">
        <v>878</v>
      </c>
      <c r="F7" s="9" t="s">
        <v>836</v>
      </c>
      <c r="G7" s="23" t="s">
        <v>136</v>
      </c>
      <c r="H7" s="22" t="s">
        <v>107</v>
      </c>
      <c r="I7" s="23" t="s">
        <v>188</v>
      </c>
      <c r="J7" s="22" t="s">
        <v>495</v>
      </c>
      <c r="K7" s="10" t="str">
        <f>"250,0"</f>
        <v>250,0</v>
      </c>
      <c r="L7" s="10" t="str">
        <f>"300,2517"</f>
        <v>300,2517</v>
      </c>
      <c r="M7" s="9"/>
    </row>
    <row r="8" spans="1:13">
      <c r="B8" s="5" t="s">
        <v>166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6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21.1640625" style="5" customWidth="1"/>
    <col min="7" max="9" width="4.5" style="6" customWidth="1"/>
    <col min="10" max="10" width="4.83203125" style="6" customWidth="1"/>
    <col min="11" max="13" width="4.5" style="6" customWidth="1"/>
    <col min="14" max="14" width="4.83203125" style="6" customWidth="1"/>
    <col min="15" max="15" width="7.83203125" style="28" bestFit="1" customWidth="1"/>
    <col min="16" max="16" width="8.5" style="6" bestFit="1" customWidth="1"/>
    <col min="17" max="17" width="21.1640625" style="5" customWidth="1"/>
    <col min="18" max="16384" width="9.1640625" style="3"/>
  </cols>
  <sheetData>
    <row r="1" spans="1:17" s="2" customFormat="1" ht="29" customHeight="1">
      <c r="A1" s="42" t="s">
        <v>736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5"/>
    </row>
    <row r="2" spans="1:17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9"/>
    </row>
    <row r="3" spans="1:17" s="1" customFormat="1" ht="12.75" customHeight="1">
      <c r="A3" s="50" t="s">
        <v>169</v>
      </c>
      <c r="B3" s="34" t="s">
        <v>0</v>
      </c>
      <c r="C3" s="52" t="s">
        <v>879</v>
      </c>
      <c r="D3" s="52" t="s">
        <v>5</v>
      </c>
      <c r="E3" s="38" t="s">
        <v>871</v>
      </c>
      <c r="F3" s="38" t="s">
        <v>782</v>
      </c>
      <c r="G3" s="38" t="s">
        <v>788</v>
      </c>
      <c r="H3" s="38"/>
      <c r="I3" s="38"/>
      <c r="J3" s="38"/>
      <c r="K3" s="38" t="s">
        <v>789</v>
      </c>
      <c r="L3" s="38"/>
      <c r="M3" s="38"/>
      <c r="N3" s="38"/>
      <c r="O3" s="40" t="s">
        <v>1</v>
      </c>
      <c r="P3" s="38" t="s">
        <v>3</v>
      </c>
      <c r="Q3" s="53" t="s">
        <v>2</v>
      </c>
    </row>
    <row r="4" spans="1:17" s="1" customFormat="1" ht="21" customHeight="1" thickBot="1">
      <c r="A4" s="51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1"/>
      <c r="P4" s="39"/>
      <c r="Q4" s="54"/>
    </row>
    <row r="5" spans="1:17" ht="16">
      <c r="A5" s="36" t="s">
        <v>305</v>
      </c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7">
      <c r="A6" s="8" t="s">
        <v>164</v>
      </c>
      <c r="B6" s="7" t="s">
        <v>699</v>
      </c>
      <c r="C6" s="7" t="s">
        <v>770</v>
      </c>
      <c r="D6" s="7" t="s">
        <v>700</v>
      </c>
      <c r="E6" s="7" t="s">
        <v>880</v>
      </c>
      <c r="F6" s="7" t="s">
        <v>790</v>
      </c>
      <c r="G6" s="20" t="s">
        <v>701</v>
      </c>
      <c r="H6" s="20" t="s">
        <v>573</v>
      </c>
      <c r="I6" s="21" t="s">
        <v>35</v>
      </c>
      <c r="J6" s="8"/>
      <c r="K6" s="20" t="s">
        <v>574</v>
      </c>
      <c r="L6" s="20" t="s">
        <v>576</v>
      </c>
      <c r="M6" s="20" t="s">
        <v>702</v>
      </c>
      <c r="N6" s="21" t="s">
        <v>703</v>
      </c>
      <c r="O6" s="29" t="str">
        <f>"65,5"</f>
        <v>65,5</v>
      </c>
      <c r="P6" s="8" t="str">
        <f>"72,9932"</f>
        <v>72,9932</v>
      </c>
      <c r="Q6" s="7" t="s">
        <v>22</v>
      </c>
    </row>
    <row r="7" spans="1:17">
      <c r="A7" s="10" t="s">
        <v>164</v>
      </c>
      <c r="B7" s="9" t="s">
        <v>10</v>
      </c>
      <c r="C7" s="9" t="s">
        <v>11</v>
      </c>
      <c r="D7" s="9" t="s">
        <v>12</v>
      </c>
      <c r="E7" s="9" t="s">
        <v>872</v>
      </c>
      <c r="F7" s="9" t="s">
        <v>790</v>
      </c>
      <c r="G7" s="23" t="s">
        <v>66</v>
      </c>
      <c r="H7" s="23" t="s">
        <v>36</v>
      </c>
      <c r="I7" s="23" t="s">
        <v>37</v>
      </c>
      <c r="J7" s="10"/>
      <c r="K7" s="23" t="s">
        <v>573</v>
      </c>
      <c r="L7" s="23" t="s">
        <v>35</v>
      </c>
      <c r="M7" s="23" t="s">
        <v>66</v>
      </c>
      <c r="N7" s="22" t="s">
        <v>36</v>
      </c>
      <c r="O7" s="30" t="str">
        <f>"85,0"</f>
        <v>85,0</v>
      </c>
      <c r="P7" s="10" t="str">
        <f>"100,6910"</f>
        <v>100,6910</v>
      </c>
      <c r="Q7" s="9" t="s">
        <v>22</v>
      </c>
    </row>
    <row r="8" spans="1:17">
      <c r="B8" s="5" t="s">
        <v>166</v>
      </c>
    </row>
    <row r="9" spans="1:17" ht="16">
      <c r="A9" s="33" t="s">
        <v>46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7">
      <c r="A10" s="14" t="s">
        <v>164</v>
      </c>
      <c r="B10" s="13" t="s">
        <v>315</v>
      </c>
      <c r="C10" s="13" t="s">
        <v>704</v>
      </c>
      <c r="D10" s="13" t="s">
        <v>317</v>
      </c>
      <c r="E10" s="13" t="s">
        <v>872</v>
      </c>
      <c r="F10" s="13" t="s">
        <v>790</v>
      </c>
      <c r="G10" s="27" t="s">
        <v>701</v>
      </c>
      <c r="H10" s="27" t="s">
        <v>573</v>
      </c>
      <c r="I10" s="26" t="s">
        <v>35</v>
      </c>
      <c r="J10" s="14"/>
      <c r="K10" s="26" t="s">
        <v>600</v>
      </c>
      <c r="L10" s="26" t="s">
        <v>600</v>
      </c>
      <c r="M10" s="27" t="s">
        <v>600</v>
      </c>
      <c r="N10" s="14"/>
      <c r="O10" s="32" t="str">
        <f>"60,0"</f>
        <v>60,0</v>
      </c>
      <c r="P10" s="14" t="str">
        <f>"59,7360"</f>
        <v>59,7360</v>
      </c>
      <c r="Q10" s="13" t="s">
        <v>22</v>
      </c>
    </row>
    <row r="11" spans="1:17">
      <c r="B11" s="5" t="s">
        <v>166</v>
      </c>
    </row>
    <row r="12" spans="1:17" ht="16">
      <c r="A12" s="33" t="s">
        <v>46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</row>
    <row r="13" spans="1:17">
      <c r="A13" s="14" t="s">
        <v>167</v>
      </c>
      <c r="B13" s="13" t="s">
        <v>657</v>
      </c>
      <c r="C13" s="13" t="s">
        <v>658</v>
      </c>
      <c r="D13" s="13" t="s">
        <v>57</v>
      </c>
      <c r="E13" s="13" t="s">
        <v>872</v>
      </c>
      <c r="F13" s="13" t="s">
        <v>793</v>
      </c>
      <c r="G13" s="27" t="s">
        <v>173</v>
      </c>
      <c r="H13" s="27" t="s">
        <v>28</v>
      </c>
      <c r="I13" s="26" t="s">
        <v>29</v>
      </c>
      <c r="J13" s="14"/>
      <c r="K13" s="26" t="s">
        <v>36</v>
      </c>
      <c r="L13" s="26" t="s">
        <v>37</v>
      </c>
      <c r="M13" s="26" t="s">
        <v>37</v>
      </c>
      <c r="N13" s="14"/>
      <c r="O13" s="32">
        <v>0</v>
      </c>
      <c r="P13" s="14" t="str">
        <f>"0,0000"</f>
        <v>0,0000</v>
      </c>
      <c r="Q13" s="13" t="s">
        <v>22</v>
      </c>
    </row>
    <row r="14" spans="1:17">
      <c r="B14" s="5" t="s">
        <v>166</v>
      </c>
    </row>
    <row r="15" spans="1:17" ht="16">
      <c r="A15" s="33" t="s">
        <v>77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</row>
    <row r="16" spans="1:17">
      <c r="A16" s="8" t="s">
        <v>164</v>
      </c>
      <c r="B16" s="7" t="s">
        <v>705</v>
      </c>
      <c r="C16" s="7" t="s">
        <v>771</v>
      </c>
      <c r="D16" s="7" t="s">
        <v>706</v>
      </c>
      <c r="E16" s="7" t="s">
        <v>883</v>
      </c>
      <c r="F16" s="7" t="s">
        <v>801</v>
      </c>
      <c r="G16" s="20" t="s">
        <v>17</v>
      </c>
      <c r="H16" s="21" t="s">
        <v>34</v>
      </c>
      <c r="I16" s="21" t="s">
        <v>34</v>
      </c>
      <c r="J16" s="8"/>
      <c r="K16" s="20" t="s">
        <v>37</v>
      </c>
      <c r="L16" s="20" t="s">
        <v>53</v>
      </c>
      <c r="M16" s="21" t="s">
        <v>173</v>
      </c>
      <c r="N16" s="8"/>
      <c r="O16" s="29" t="str">
        <f>"115,0"</f>
        <v>115,0</v>
      </c>
      <c r="P16" s="8" t="str">
        <f>"80,7185"</f>
        <v>80,7185</v>
      </c>
      <c r="Q16" s="7"/>
    </row>
    <row r="17" spans="1:17">
      <c r="A17" s="12" t="s">
        <v>165</v>
      </c>
      <c r="B17" s="11" t="s">
        <v>707</v>
      </c>
      <c r="C17" s="11" t="s">
        <v>772</v>
      </c>
      <c r="D17" s="11" t="s">
        <v>665</v>
      </c>
      <c r="E17" s="11" t="s">
        <v>883</v>
      </c>
      <c r="F17" s="11" t="s">
        <v>813</v>
      </c>
      <c r="G17" s="25" t="s">
        <v>53</v>
      </c>
      <c r="H17" s="24" t="s">
        <v>29</v>
      </c>
      <c r="I17" s="24" t="s">
        <v>16</v>
      </c>
      <c r="J17" s="12"/>
      <c r="K17" s="24" t="s">
        <v>37</v>
      </c>
      <c r="L17" s="24" t="s">
        <v>53</v>
      </c>
      <c r="M17" s="25" t="s">
        <v>29</v>
      </c>
      <c r="N17" s="12"/>
      <c r="O17" s="31" t="str">
        <f>"110,0"</f>
        <v>110,0</v>
      </c>
      <c r="P17" s="12" t="str">
        <f>"76,7305"</f>
        <v>76,7305</v>
      </c>
      <c r="Q17" s="11"/>
    </row>
    <row r="18" spans="1:17">
      <c r="A18" s="12" t="s">
        <v>164</v>
      </c>
      <c r="B18" s="11" t="s">
        <v>671</v>
      </c>
      <c r="C18" s="11" t="s">
        <v>672</v>
      </c>
      <c r="D18" s="11" t="s">
        <v>673</v>
      </c>
      <c r="E18" s="11" t="s">
        <v>872</v>
      </c>
      <c r="F18" s="11" t="s">
        <v>790</v>
      </c>
      <c r="G18" s="25" t="s">
        <v>64</v>
      </c>
      <c r="H18" s="24" t="s">
        <v>64</v>
      </c>
      <c r="I18" s="25" t="s">
        <v>58</v>
      </c>
      <c r="J18" s="12"/>
      <c r="K18" s="24" t="s">
        <v>16</v>
      </c>
      <c r="L18" s="25" t="s">
        <v>17</v>
      </c>
      <c r="M18" s="25" t="s">
        <v>17</v>
      </c>
      <c r="N18" s="12"/>
      <c r="O18" s="31" t="str">
        <f>"135,0"</f>
        <v>135,0</v>
      </c>
      <c r="P18" s="12" t="str">
        <f>"93,5078"</f>
        <v>93,5078</v>
      </c>
      <c r="Q18" s="11" t="s">
        <v>22</v>
      </c>
    </row>
    <row r="19" spans="1:17">
      <c r="A19" s="10" t="s">
        <v>164</v>
      </c>
      <c r="B19" s="9" t="s">
        <v>708</v>
      </c>
      <c r="C19" s="9" t="s">
        <v>773</v>
      </c>
      <c r="D19" s="9" t="s">
        <v>342</v>
      </c>
      <c r="E19" s="9" t="s">
        <v>875</v>
      </c>
      <c r="F19" s="9" t="s">
        <v>792</v>
      </c>
      <c r="G19" s="23" t="s">
        <v>16</v>
      </c>
      <c r="H19" s="23" t="s">
        <v>233</v>
      </c>
      <c r="I19" s="10" t="s">
        <v>17</v>
      </c>
      <c r="J19" s="10"/>
      <c r="K19" s="23" t="s">
        <v>36</v>
      </c>
      <c r="L19" s="23" t="s">
        <v>37</v>
      </c>
      <c r="M19" s="22" t="s">
        <v>59</v>
      </c>
      <c r="N19" s="10"/>
      <c r="O19" s="30" t="str">
        <f>"107,5"</f>
        <v>107,5</v>
      </c>
      <c r="P19" s="10" t="str">
        <f>"81,7650"</f>
        <v>81,7650</v>
      </c>
      <c r="Q19" s="9" t="s">
        <v>709</v>
      </c>
    </row>
    <row r="20" spans="1:17">
      <c r="B20" s="5" t="s">
        <v>166</v>
      </c>
    </row>
    <row r="21" spans="1:17" ht="16">
      <c r="A21" s="33" t="s">
        <v>175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</row>
    <row r="22" spans="1:17">
      <c r="A22" s="14" t="s">
        <v>164</v>
      </c>
      <c r="B22" s="13" t="s">
        <v>679</v>
      </c>
      <c r="C22" s="13" t="s">
        <v>680</v>
      </c>
      <c r="D22" s="13" t="s">
        <v>681</v>
      </c>
      <c r="E22" s="13" t="s">
        <v>872</v>
      </c>
      <c r="F22" s="13" t="s">
        <v>859</v>
      </c>
      <c r="G22" s="27" t="s">
        <v>65</v>
      </c>
      <c r="H22" s="27" t="s">
        <v>58</v>
      </c>
      <c r="I22" s="26" t="s">
        <v>50</v>
      </c>
      <c r="J22" s="14"/>
      <c r="K22" s="26" t="s">
        <v>29</v>
      </c>
      <c r="L22" s="27" t="s">
        <v>29</v>
      </c>
      <c r="M22" s="27" t="s">
        <v>16</v>
      </c>
      <c r="N22" s="14"/>
      <c r="O22" s="32" t="str">
        <f>"140,0"</f>
        <v>140,0</v>
      </c>
      <c r="P22" s="14" t="str">
        <f>"92,0220"</f>
        <v>92,0220</v>
      </c>
      <c r="Q22" s="13"/>
    </row>
    <row r="23" spans="1:17">
      <c r="B23" s="5" t="s">
        <v>166</v>
      </c>
    </row>
    <row r="24" spans="1:17" ht="16">
      <c r="A24" s="33" t="s">
        <v>100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</row>
    <row r="25" spans="1:17">
      <c r="A25" s="14" t="s">
        <v>164</v>
      </c>
      <c r="B25" s="13" t="s">
        <v>682</v>
      </c>
      <c r="C25" s="13" t="s">
        <v>710</v>
      </c>
      <c r="D25" s="13" t="s">
        <v>113</v>
      </c>
      <c r="E25" s="13" t="s">
        <v>872</v>
      </c>
      <c r="F25" s="13" t="s">
        <v>798</v>
      </c>
      <c r="G25" s="27" t="s">
        <v>34</v>
      </c>
      <c r="H25" s="26" t="s">
        <v>64</v>
      </c>
      <c r="I25" s="27" t="s">
        <v>64</v>
      </c>
      <c r="J25" s="14"/>
      <c r="K25" s="27" t="s">
        <v>53</v>
      </c>
      <c r="L25" s="27" t="s">
        <v>173</v>
      </c>
      <c r="M25" s="27" t="s">
        <v>29</v>
      </c>
      <c r="N25" s="14"/>
      <c r="O25" s="32" t="str">
        <f>"132,5"</f>
        <v>132,5</v>
      </c>
      <c r="P25" s="14" t="str">
        <f>"81,4742"</f>
        <v>81,4742</v>
      </c>
      <c r="Q25" s="13" t="s">
        <v>683</v>
      </c>
    </row>
    <row r="26" spans="1:17">
      <c r="B26" s="5" t="s">
        <v>166</v>
      </c>
    </row>
  </sheetData>
  <mergeCells count="18">
    <mergeCell ref="A1:Q2"/>
    <mergeCell ref="A3:A4"/>
    <mergeCell ref="C3:C4"/>
    <mergeCell ref="D3:D4"/>
    <mergeCell ref="E3:E4"/>
    <mergeCell ref="F3:F4"/>
    <mergeCell ref="G3:J3"/>
    <mergeCell ref="K3:N3"/>
    <mergeCell ref="B3:B4"/>
    <mergeCell ref="O3:O4"/>
    <mergeCell ref="P3:P4"/>
    <mergeCell ref="Q3:Q4"/>
    <mergeCell ref="A24:N24"/>
    <mergeCell ref="A5:N5"/>
    <mergeCell ref="A9:N9"/>
    <mergeCell ref="A12:N12"/>
    <mergeCell ref="A15:N15"/>
    <mergeCell ref="A21:N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U16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7.6640625" style="5" bestFit="1" customWidth="1"/>
    <col min="4" max="4" width="21.5" style="5" bestFit="1" customWidth="1"/>
    <col min="5" max="5" width="10.5" style="5" bestFit="1" customWidth="1"/>
    <col min="6" max="6" width="22.5" style="5" bestFit="1" customWidth="1"/>
    <col min="7" max="9" width="5.5" style="6" customWidth="1"/>
    <col min="10" max="10" width="4.83203125" style="6" customWidth="1"/>
    <col min="11" max="12" width="4.5" style="6" customWidth="1"/>
    <col min="13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5.6640625" style="5" bestFit="1" customWidth="1"/>
    <col min="22" max="16384" width="9.1640625" style="3"/>
  </cols>
  <sheetData>
    <row r="1" spans="1:21" s="2" customFormat="1" ht="29" customHeight="1">
      <c r="A1" s="42" t="s">
        <v>719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</row>
    <row r="2" spans="1:21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s="1" customFormat="1" ht="12.75" customHeight="1">
      <c r="A3" s="50" t="s">
        <v>169</v>
      </c>
      <c r="B3" s="34" t="s">
        <v>0</v>
      </c>
      <c r="C3" s="52" t="s">
        <v>879</v>
      </c>
      <c r="D3" s="52" t="s">
        <v>5</v>
      </c>
      <c r="E3" s="38" t="s">
        <v>871</v>
      </c>
      <c r="F3" s="38" t="s">
        <v>782</v>
      </c>
      <c r="G3" s="38" t="s">
        <v>6</v>
      </c>
      <c r="H3" s="38"/>
      <c r="I3" s="38"/>
      <c r="J3" s="38"/>
      <c r="K3" s="38" t="s">
        <v>7</v>
      </c>
      <c r="L3" s="38"/>
      <c r="M3" s="38"/>
      <c r="N3" s="38"/>
      <c r="O3" s="38" t="s">
        <v>8</v>
      </c>
      <c r="P3" s="38"/>
      <c r="Q3" s="38"/>
      <c r="R3" s="38"/>
      <c r="S3" s="38" t="s">
        <v>1</v>
      </c>
      <c r="T3" s="38" t="s">
        <v>3</v>
      </c>
      <c r="U3" s="53" t="s">
        <v>2</v>
      </c>
    </row>
    <row r="4" spans="1:21" s="1" customFormat="1" ht="21" customHeight="1" thickBot="1">
      <c r="A4" s="51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9"/>
      <c r="T4" s="39"/>
      <c r="U4" s="54"/>
    </row>
    <row r="5" spans="1:21" ht="16">
      <c r="A5" s="36" t="s">
        <v>46</v>
      </c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21">
      <c r="A6" s="14" t="s">
        <v>164</v>
      </c>
      <c r="B6" s="13" t="s">
        <v>230</v>
      </c>
      <c r="C6" s="13" t="s">
        <v>231</v>
      </c>
      <c r="D6" s="13" t="s">
        <v>232</v>
      </c>
      <c r="E6" s="13" t="s">
        <v>872</v>
      </c>
      <c r="F6" s="13" t="s">
        <v>800</v>
      </c>
      <c r="G6" s="27" t="s">
        <v>13</v>
      </c>
      <c r="H6" s="27" t="s">
        <v>14</v>
      </c>
      <c r="I6" s="26" t="s">
        <v>15</v>
      </c>
      <c r="J6" s="14"/>
      <c r="K6" s="27" t="s">
        <v>16</v>
      </c>
      <c r="L6" s="27" t="s">
        <v>233</v>
      </c>
      <c r="M6" s="27" t="s">
        <v>17</v>
      </c>
      <c r="N6" s="14"/>
      <c r="O6" s="27" t="s">
        <v>44</v>
      </c>
      <c r="P6" s="26" t="s">
        <v>20</v>
      </c>
      <c r="Q6" s="27" t="s">
        <v>20</v>
      </c>
      <c r="R6" s="14"/>
      <c r="S6" s="14" t="str">
        <f>"315,0"</f>
        <v>315,0</v>
      </c>
      <c r="T6" s="14" t="str">
        <f>"562,0230"</f>
        <v>562,0230</v>
      </c>
      <c r="U6" s="13" t="s">
        <v>234</v>
      </c>
    </row>
    <row r="7" spans="1:21">
      <c r="B7" s="5" t="s">
        <v>166</v>
      </c>
    </row>
    <row r="8" spans="1:21" ht="16">
      <c r="A8" s="33" t="s">
        <v>125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21">
      <c r="A9" s="14" t="s">
        <v>164</v>
      </c>
      <c r="B9" s="13" t="s">
        <v>235</v>
      </c>
      <c r="C9" s="13" t="s">
        <v>236</v>
      </c>
      <c r="D9" s="13" t="s">
        <v>237</v>
      </c>
      <c r="E9" s="13" t="s">
        <v>872</v>
      </c>
      <c r="F9" s="13" t="s">
        <v>801</v>
      </c>
      <c r="G9" s="27" t="s">
        <v>20</v>
      </c>
      <c r="H9" s="26" t="s">
        <v>90</v>
      </c>
      <c r="I9" s="27" t="s">
        <v>91</v>
      </c>
      <c r="J9" s="14"/>
      <c r="K9" s="27" t="s">
        <v>51</v>
      </c>
      <c r="L9" s="27" t="s">
        <v>43</v>
      </c>
      <c r="M9" s="27" t="s">
        <v>13</v>
      </c>
      <c r="N9" s="14"/>
      <c r="O9" s="27" t="s">
        <v>84</v>
      </c>
      <c r="P9" s="27" t="s">
        <v>121</v>
      </c>
      <c r="Q9" s="27" t="s">
        <v>114</v>
      </c>
      <c r="R9" s="14"/>
      <c r="S9" s="14" t="str">
        <f>"450,0"</f>
        <v>450,0</v>
      </c>
      <c r="T9" s="14" t="str">
        <f>"616,3200"</f>
        <v>616,3200</v>
      </c>
      <c r="U9" s="13" t="s">
        <v>238</v>
      </c>
    </row>
    <row r="10" spans="1:21">
      <c r="B10" s="5" t="s">
        <v>166</v>
      </c>
    </row>
    <row r="11" spans="1:21" ht="16">
      <c r="A11" s="33" t="s">
        <v>30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21">
      <c r="A12" s="14" t="s">
        <v>164</v>
      </c>
      <c r="B12" s="13" t="s">
        <v>239</v>
      </c>
      <c r="C12" s="13" t="s">
        <v>240</v>
      </c>
      <c r="D12" s="13" t="s">
        <v>241</v>
      </c>
      <c r="E12" s="13" t="s">
        <v>872</v>
      </c>
      <c r="F12" s="13" t="s">
        <v>802</v>
      </c>
      <c r="G12" s="26" t="s">
        <v>58</v>
      </c>
      <c r="H12" s="27" t="s">
        <v>58</v>
      </c>
      <c r="I12" s="26" t="s">
        <v>50</v>
      </c>
      <c r="J12" s="14"/>
      <c r="K12" s="27" t="s">
        <v>58</v>
      </c>
      <c r="L12" s="27" t="s">
        <v>50</v>
      </c>
      <c r="M12" s="27" t="s">
        <v>26</v>
      </c>
      <c r="N12" s="14"/>
      <c r="O12" s="26" t="s">
        <v>242</v>
      </c>
      <c r="P12" s="27" t="s">
        <v>242</v>
      </c>
      <c r="Q12" s="26" t="s">
        <v>15</v>
      </c>
      <c r="R12" s="14"/>
      <c r="S12" s="14" t="str">
        <f>"272,5"</f>
        <v>272,5</v>
      </c>
      <c r="T12" s="14" t="str">
        <f>"452,2955"</f>
        <v>452,2955</v>
      </c>
      <c r="U12" s="13"/>
    </row>
    <row r="13" spans="1:21">
      <c r="B13" s="5" t="s">
        <v>166</v>
      </c>
    </row>
    <row r="14" spans="1:21" ht="16">
      <c r="A14" s="33" t="s">
        <v>243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</row>
    <row r="15" spans="1:21">
      <c r="A15" s="14" t="s">
        <v>164</v>
      </c>
      <c r="B15" s="13" t="s">
        <v>244</v>
      </c>
      <c r="C15" s="13" t="s">
        <v>746</v>
      </c>
      <c r="D15" s="13" t="s">
        <v>245</v>
      </c>
      <c r="E15" s="13" t="s">
        <v>873</v>
      </c>
      <c r="F15" s="13" t="s">
        <v>803</v>
      </c>
      <c r="G15" s="27" t="s">
        <v>44</v>
      </c>
      <c r="H15" s="27" t="s">
        <v>21</v>
      </c>
      <c r="I15" s="27" t="s">
        <v>91</v>
      </c>
      <c r="J15" s="14"/>
      <c r="K15" s="27" t="s">
        <v>58</v>
      </c>
      <c r="L15" s="27" t="s">
        <v>27</v>
      </c>
      <c r="M15" s="26" t="s">
        <v>54</v>
      </c>
      <c r="N15" s="14"/>
      <c r="O15" s="27" t="s">
        <v>21</v>
      </c>
      <c r="P15" s="27" t="s">
        <v>84</v>
      </c>
      <c r="Q15" s="27" t="s">
        <v>203</v>
      </c>
      <c r="R15" s="14"/>
      <c r="S15" s="14" t="str">
        <f>"435,0"</f>
        <v>435,0</v>
      </c>
      <c r="T15" s="14" t="str">
        <f>"362,3550"</f>
        <v>362,3550</v>
      </c>
      <c r="U15" s="13"/>
    </row>
    <row r="16" spans="1:21">
      <c r="B16" s="5" t="s">
        <v>166</v>
      </c>
    </row>
  </sheetData>
  <mergeCells count="17"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A11:R11"/>
    <mergeCell ref="A14:R14"/>
    <mergeCell ref="B3:B4"/>
    <mergeCell ref="S3:S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8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7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8.1640625" style="5" bestFit="1" customWidth="1"/>
    <col min="7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15.5" style="5" bestFit="1" customWidth="1"/>
    <col min="18" max="16384" width="9.1640625" style="3"/>
  </cols>
  <sheetData>
    <row r="1" spans="1:17" s="2" customFormat="1" ht="29" customHeight="1">
      <c r="A1" s="42" t="s">
        <v>737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5"/>
    </row>
    <row r="2" spans="1:17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9"/>
    </row>
    <row r="3" spans="1:17" s="1" customFormat="1" ht="12.75" customHeight="1">
      <c r="A3" s="50" t="s">
        <v>169</v>
      </c>
      <c r="B3" s="34" t="s">
        <v>0</v>
      </c>
      <c r="C3" s="52" t="s">
        <v>879</v>
      </c>
      <c r="D3" s="52" t="s">
        <v>5</v>
      </c>
      <c r="E3" s="38" t="s">
        <v>871</v>
      </c>
      <c r="F3" s="38" t="s">
        <v>782</v>
      </c>
      <c r="G3" s="38" t="s">
        <v>788</v>
      </c>
      <c r="H3" s="38"/>
      <c r="I3" s="38"/>
      <c r="J3" s="38"/>
      <c r="K3" s="38" t="s">
        <v>789</v>
      </c>
      <c r="L3" s="38"/>
      <c r="M3" s="38"/>
      <c r="N3" s="38"/>
      <c r="O3" s="38" t="s">
        <v>1</v>
      </c>
      <c r="P3" s="38" t="s">
        <v>3</v>
      </c>
      <c r="Q3" s="53" t="s">
        <v>2</v>
      </c>
    </row>
    <row r="4" spans="1:17" s="1" customFormat="1" ht="21" customHeight="1" thickBot="1">
      <c r="A4" s="51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9"/>
      <c r="P4" s="39"/>
      <c r="Q4" s="54"/>
    </row>
    <row r="5" spans="1:17" ht="16">
      <c r="A5" s="36" t="s">
        <v>77</v>
      </c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7">
      <c r="A6" s="14" t="s">
        <v>164</v>
      </c>
      <c r="B6" s="13" t="s">
        <v>639</v>
      </c>
      <c r="C6" s="13" t="s">
        <v>640</v>
      </c>
      <c r="D6" s="13" t="s">
        <v>556</v>
      </c>
      <c r="E6" s="13" t="s">
        <v>872</v>
      </c>
      <c r="F6" s="13" t="s">
        <v>860</v>
      </c>
      <c r="G6" s="27" t="s">
        <v>13</v>
      </c>
      <c r="H6" s="27" t="s">
        <v>14</v>
      </c>
      <c r="I6" s="26" t="s">
        <v>242</v>
      </c>
      <c r="J6" s="14"/>
      <c r="K6" s="27" t="s">
        <v>26</v>
      </c>
      <c r="L6" s="27" t="s">
        <v>51</v>
      </c>
      <c r="M6" s="27" t="s">
        <v>27</v>
      </c>
      <c r="N6" s="14"/>
      <c r="O6" s="14" t="str">
        <f>"195,0"</f>
        <v>195,0</v>
      </c>
      <c r="P6" s="14" t="str">
        <f>"134,2672"</f>
        <v>134,2672</v>
      </c>
      <c r="Q6" s="13"/>
    </row>
    <row r="7" spans="1:17">
      <c r="B7" s="5" t="s">
        <v>166</v>
      </c>
    </row>
    <row r="8" spans="1:17" ht="16">
      <c r="A8" s="33" t="s">
        <v>100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7">
      <c r="A9" s="8" t="s">
        <v>164</v>
      </c>
      <c r="B9" s="7" t="s">
        <v>689</v>
      </c>
      <c r="C9" s="7" t="s">
        <v>690</v>
      </c>
      <c r="D9" s="7" t="s">
        <v>691</v>
      </c>
      <c r="E9" s="7" t="s">
        <v>872</v>
      </c>
      <c r="F9" s="7" t="s">
        <v>861</v>
      </c>
      <c r="G9" s="20" t="s">
        <v>13</v>
      </c>
      <c r="H9" s="20" t="s">
        <v>14</v>
      </c>
      <c r="I9" s="21" t="s">
        <v>242</v>
      </c>
      <c r="J9" s="8"/>
      <c r="K9" s="20" t="s">
        <v>76</v>
      </c>
      <c r="L9" s="20" t="s">
        <v>34</v>
      </c>
      <c r="M9" s="20" t="s">
        <v>64</v>
      </c>
      <c r="N9" s="8"/>
      <c r="O9" s="8" t="str">
        <f>"180,0"</f>
        <v>180,0</v>
      </c>
      <c r="P9" s="8" t="str">
        <f>"110,9610"</f>
        <v>110,9610</v>
      </c>
      <c r="Q9" s="7" t="s">
        <v>692</v>
      </c>
    </row>
    <row r="10" spans="1:17">
      <c r="A10" s="10" t="s">
        <v>165</v>
      </c>
      <c r="B10" s="9" t="s">
        <v>693</v>
      </c>
      <c r="C10" s="9" t="s">
        <v>694</v>
      </c>
      <c r="D10" s="9" t="s">
        <v>695</v>
      </c>
      <c r="E10" s="9" t="s">
        <v>872</v>
      </c>
      <c r="F10" s="9" t="s">
        <v>793</v>
      </c>
      <c r="G10" s="23" t="s">
        <v>587</v>
      </c>
      <c r="H10" s="22" t="s">
        <v>54</v>
      </c>
      <c r="I10" s="22" t="s">
        <v>54</v>
      </c>
      <c r="J10" s="10"/>
      <c r="K10" s="23" t="s">
        <v>58</v>
      </c>
      <c r="L10" s="22" t="s">
        <v>50</v>
      </c>
      <c r="M10" s="22" t="s">
        <v>50</v>
      </c>
      <c r="N10" s="10"/>
      <c r="O10" s="10" t="str">
        <f>"177,5"</f>
        <v>177,5</v>
      </c>
      <c r="P10" s="10" t="str">
        <f>"113,9727"</f>
        <v>113,9727</v>
      </c>
      <c r="Q10" s="9"/>
    </row>
    <row r="11" spans="1:17">
      <c r="B11" s="5" t="s">
        <v>166</v>
      </c>
    </row>
    <row r="12" spans="1:17" ht="16">
      <c r="A12" s="33" t="s">
        <v>125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</row>
    <row r="13" spans="1:17">
      <c r="A13" s="14" t="s">
        <v>164</v>
      </c>
      <c r="B13" s="13" t="s">
        <v>696</v>
      </c>
      <c r="C13" s="13" t="s">
        <v>774</v>
      </c>
      <c r="D13" s="13" t="s">
        <v>697</v>
      </c>
      <c r="E13" s="13" t="s">
        <v>880</v>
      </c>
      <c r="F13" s="13" t="s">
        <v>698</v>
      </c>
      <c r="G13" s="27" t="s">
        <v>52</v>
      </c>
      <c r="H13" s="27" t="s">
        <v>43</v>
      </c>
      <c r="I13" s="27" t="s">
        <v>13</v>
      </c>
      <c r="J13" s="14"/>
      <c r="K13" s="27" t="s">
        <v>17</v>
      </c>
      <c r="L13" s="27" t="s">
        <v>38</v>
      </c>
      <c r="M13" s="26" t="s">
        <v>64</v>
      </c>
      <c r="N13" s="14"/>
      <c r="O13" s="14" t="str">
        <f>"172,5"</f>
        <v>172,5</v>
      </c>
      <c r="P13" s="14" t="str">
        <f>"100,7486"</f>
        <v>100,7486</v>
      </c>
      <c r="Q13" s="13"/>
    </row>
    <row r="14" spans="1:17">
      <c r="B14" s="5" t="s">
        <v>166</v>
      </c>
    </row>
    <row r="15" spans="1:17" ht="16">
      <c r="A15" s="33" t="s">
        <v>215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</row>
    <row r="16" spans="1:17">
      <c r="A16" s="8" t="s">
        <v>164</v>
      </c>
      <c r="B16" s="7" t="s">
        <v>281</v>
      </c>
      <c r="C16" s="7" t="s">
        <v>754</v>
      </c>
      <c r="D16" s="7" t="s">
        <v>282</v>
      </c>
      <c r="E16" s="7" t="s">
        <v>880</v>
      </c>
      <c r="F16" s="7" t="s">
        <v>838</v>
      </c>
      <c r="G16" s="21" t="s">
        <v>71</v>
      </c>
      <c r="H16" s="20" t="s">
        <v>71</v>
      </c>
      <c r="I16" s="20" t="s">
        <v>262</v>
      </c>
      <c r="J16" s="20" t="s">
        <v>629</v>
      </c>
      <c r="K16" s="20" t="s">
        <v>13</v>
      </c>
      <c r="L16" s="21" t="s">
        <v>54</v>
      </c>
      <c r="M16" s="21" t="s">
        <v>54</v>
      </c>
      <c r="N16" s="8"/>
      <c r="O16" s="8" t="str">
        <f>"222,5"</f>
        <v>222,5</v>
      </c>
      <c r="P16" s="8" t="str">
        <f>"121,6185"</f>
        <v>121,6185</v>
      </c>
      <c r="Q16" s="7"/>
    </row>
    <row r="17" spans="1:17">
      <c r="A17" s="10" t="s">
        <v>164</v>
      </c>
      <c r="B17" s="9" t="s">
        <v>281</v>
      </c>
      <c r="C17" s="9" t="s">
        <v>290</v>
      </c>
      <c r="D17" s="9" t="s">
        <v>282</v>
      </c>
      <c r="E17" s="9" t="s">
        <v>872</v>
      </c>
      <c r="F17" s="9" t="s">
        <v>838</v>
      </c>
      <c r="G17" s="22" t="s">
        <v>71</v>
      </c>
      <c r="H17" s="23" t="s">
        <v>71</v>
      </c>
      <c r="I17" s="23" t="s">
        <v>262</v>
      </c>
      <c r="J17" s="23" t="s">
        <v>629</v>
      </c>
      <c r="K17" s="23" t="s">
        <v>13</v>
      </c>
      <c r="L17" s="22" t="s">
        <v>54</v>
      </c>
      <c r="M17" s="22" t="s">
        <v>54</v>
      </c>
      <c r="N17" s="10"/>
      <c r="O17" s="10" t="str">
        <f>"222,5"</f>
        <v>222,5</v>
      </c>
      <c r="P17" s="10" t="str">
        <f>"121,6185"</f>
        <v>121,6185</v>
      </c>
      <c r="Q17" s="9"/>
    </row>
    <row r="18" spans="1:17">
      <c r="B18" s="5" t="s">
        <v>166</v>
      </c>
    </row>
  </sheetData>
  <mergeCells count="16"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2:N12"/>
    <mergeCell ref="A15:N15"/>
    <mergeCell ref="B3:B4"/>
    <mergeCell ref="O3:O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7" width="4.5" style="6" customWidth="1"/>
    <col min="8" max="9" width="5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19.5" style="5" customWidth="1"/>
    <col min="14" max="16384" width="9.1640625" style="3"/>
  </cols>
  <sheetData>
    <row r="1" spans="1:13" s="2" customFormat="1" ht="29" customHeight="1">
      <c r="A1" s="42" t="s">
        <v>738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169</v>
      </c>
      <c r="B3" s="34" t="s">
        <v>0</v>
      </c>
      <c r="C3" s="52" t="s">
        <v>879</v>
      </c>
      <c r="D3" s="52" t="s">
        <v>5</v>
      </c>
      <c r="E3" s="38" t="s">
        <v>871</v>
      </c>
      <c r="F3" s="38" t="s">
        <v>782</v>
      </c>
      <c r="G3" s="38" t="s">
        <v>622</v>
      </c>
      <c r="H3" s="38"/>
      <c r="I3" s="38"/>
      <c r="J3" s="38"/>
      <c r="K3" s="38" t="s">
        <v>298</v>
      </c>
      <c r="L3" s="38" t="s">
        <v>3</v>
      </c>
      <c r="M3" s="53" t="s">
        <v>2</v>
      </c>
    </row>
    <row r="4" spans="1:13" s="1" customFormat="1" ht="21" customHeight="1" thickBot="1">
      <c r="A4" s="51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54"/>
    </row>
    <row r="5" spans="1:13" ht="16">
      <c r="A5" s="36" t="s">
        <v>100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14" t="s">
        <v>164</v>
      </c>
      <c r="B6" s="13" t="s">
        <v>374</v>
      </c>
      <c r="C6" s="13" t="s">
        <v>375</v>
      </c>
      <c r="D6" s="13" t="s">
        <v>376</v>
      </c>
      <c r="E6" s="13" t="s">
        <v>872</v>
      </c>
      <c r="F6" s="13" t="s">
        <v>793</v>
      </c>
      <c r="G6" s="27" t="s">
        <v>587</v>
      </c>
      <c r="H6" s="27" t="s">
        <v>630</v>
      </c>
      <c r="I6" s="27" t="s">
        <v>14</v>
      </c>
      <c r="J6" s="14"/>
      <c r="K6" s="14" t="str">
        <f>"105,0"</f>
        <v>105,0</v>
      </c>
      <c r="L6" s="14" t="str">
        <f>"65,4570"</f>
        <v>65,4570</v>
      </c>
      <c r="M6" s="13" t="s">
        <v>378</v>
      </c>
    </row>
    <row r="7" spans="1:13">
      <c r="B7" s="5" t="s">
        <v>166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4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3.6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10" width="5.5" style="6" customWidth="1"/>
    <col min="11" max="11" width="10.5" style="6" bestFit="1" customWidth="1"/>
    <col min="12" max="12" width="7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42" t="s">
        <v>717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169</v>
      </c>
      <c r="B3" s="34" t="s">
        <v>0</v>
      </c>
      <c r="C3" s="52" t="s">
        <v>879</v>
      </c>
      <c r="D3" s="52" t="s">
        <v>5</v>
      </c>
      <c r="E3" s="38" t="s">
        <v>871</v>
      </c>
      <c r="F3" s="38" t="s">
        <v>782</v>
      </c>
      <c r="G3" s="38" t="s">
        <v>622</v>
      </c>
      <c r="H3" s="38"/>
      <c r="I3" s="38"/>
      <c r="J3" s="38"/>
      <c r="K3" s="38" t="s">
        <v>298</v>
      </c>
      <c r="L3" s="38" t="s">
        <v>3</v>
      </c>
      <c r="M3" s="53" t="s">
        <v>2</v>
      </c>
    </row>
    <row r="4" spans="1:13" s="1" customFormat="1" ht="21" customHeight="1" thickBot="1">
      <c r="A4" s="51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54"/>
    </row>
    <row r="5" spans="1:13" ht="16">
      <c r="A5" s="36" t="s">
        <v>125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14" t="s">
        <v>164</v>
      </c>
      <c r="B6" s="13" t="s">
        <v>623</v>
      </c>
      <c r="C6" s="13" t="s">
        <v>624</v>
      </c>
      <c r="D6" s="13" t="s">
        <v>625</v>
      </c>
      <c r="E6" s="13" t="s">
        <v>872</v>
      </c>
      <c r="F6" s="13" t="s">
        <v>793</v>
      </c>
      <c r="G6" s="27" t="s">
        <v>13</v>
      </c>
      <c r="H6" s="27" t="s">
        <v>242</v>
      </c>
      <c r="I6" s="27" t="s">
        <v>345</v>
      </c>
      <c r="J6" s="14"/>
      <c r="K6" s="14" t="str">
        <f>"112,5"</f>
        <v>112,5</v>
      </c>
      <c r="L6" s="14" t="str">
        <f>"67,6463"</f>
        <v>67,6463</v>
      </c>
      <c r="M6" s="13"/>
    </row>
    <row r="7" spans="1:13">
      <c r="B7" s="5" t="s">
        <v>166</v>
      </c>
    </row>
    <row r="8" spans="1:13" ht="16">
      <c r="A8" s="33" t="s">
        <v>277</v>
      </c>
      <c r="B8" s="33"/>
      <c r="C8" s="33"/>
      <c r="D8" s="33"/>
      <c r="E8" s="33"/>
      <c r="F8" s="33"/>
      <c r="G8" s="33"/>
      <c r="H8" s="33"/>
      <c r="I8" s="33"/>
      <c r="J8" s="33"/>
    </row>
    <row r="9" spans="1:13">
      <c r="A9" s="14" t="s">
        <v>167</v>
      </c>
      <c r="B9" s="13" t="s">
        <v>626</v>
      </c>
      <c r="C9" s="13" t="s">
        <v>627</v>
      </c>
      <c r="D9" s="13" t="s">
        <v>466</v>
      </c>
      <c r="E9" s="13" t="s">
        <v>872</v>
      </c>
      <c r="F9" s="13" t="s">
        <v>862</v>
      </c>
      <c r="G9" s="26" t="s">
        <v>58</v>
      </c>
      <c r="H9" s="26" t="s">
        <v>50</v>
      </c>
      <c r="I9" s="26" t="s">
        <v>50</v>
      </c>
      <c r="J9" s="14"/>
      <c r="K9" s="14" t="str">
        <f>"0.00"</f>
        <v>0.00</v>
      </c>
      <c r="L9" s="14" t="str">
        <f>"0,0000"</f>
        <v>0,0000</v>
      </c>
      <c r="M9" s="13" t="s">
        <v>628</v>
      </c>
    </row>
    <row r="10" spans="1:13">
      <c r="B10" s="5" t="s">
        <v>166</v>
      </c>
    </row>
    <row r="11" spans="1:13" ht="16">
      <c r="A11" s="33" t="s">
        <v>215</v>
      </c>
      <c r="B11" s="33"/>
      <c r="C11" s="33"/>
      <c r="D11" s="33"/>
      <c r="E11" s="33"/>
      <c r="F11" s="33"/>
      <c r="G11" s="33"/>
      <c r="H11" s="33"/>
      <c r="I11" s="33"/>
      <c r="J11" s="33"/>
    </row>
    <row r="12" spans="1:13">
      <c r="A12" s="8" t="s">
        <v>164</v>
      </c>
      <c r="B12" s="7" t="s">
        <v>281</v>
      </c>
      <c r="C12" s="7" t="s">
        <v>754</v>
      </c>
      <c r="D12" s="7" t="s">
        <v>282</v>
      </c>
      <c r="E12" s="7" t="s">
        <v>880</v>
      </c>
      <c r="F12" s="7" t="s">
        <v>838</v>
      </c>
      <c r="G12" s="21" t="s">
        <v>71</v>
      </c>
      <c r="H12" s="20" t="s">
        <v>71</v>
      </c>
      <c r="I12" s="20" t="s">
        <v>262</v>
      </c>
      <c r="J12" s="20" t="s">
        <v>629</v>
      </c>
      <c r="K12" s="8" t="str">
        <f>"122,5"</f>
        <v>122,5</v>
      </c>
      <c r="L12" s="8" t="str">
        <f>"66,9585"</f>
        <v>66,9585</v>
      </c>
      <c r="M12" s="7"/>
    </row>
    <row r="13" spans="1:13">
      <c r="A13" s="10" t="s">
        <v>164</v>
      </c>
      <c r="B13" s="9" t="s">
        <v>281</v>
      </c>
      <c r="C13" s="9" t="s">
        <v>290</v>
      </c>
      <c r="D13" s="9" t="s">
        <v>282</v>
      </c>
      <c r="E13" s="9" t="s">
        <v>872</v>
      </c>
      <c r="F13" s="9" t="s">
        <v>838</v>
      </c>
      <c r="G13" s="22" t="s">
        <v>71</v>
      </c>
      <c r="H13" s="23" t="s">
        <v>71</v>
      </c>
      <c r="I13" s="23" t="s">
        <v>262</v>
      </c>
      <c r="J13" s="23" t="s">
        <v>629</v>
      </c>
      <c r="K13" s="10" t="str">
        <f>"122,5"</f>
        <v>122,5</v>
      </c>
      <c r="L13" s="10" t="str">
        <f>"66,9585"</f>
        <v>66,9585</v>
      </c>
      <c r="M13" s="9"/>
    </row>
    <row r="14" spans="1:13">
      <c r="B14" s="5" t="s">
        <v>166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4"/>
  <sheetViews>
    <sheetView workbookViewId="0">
      <selection sqref="A1:M2"/>
    </sheetView>
  </sheetViews>
  <sheetFormatPr baseColWidth="10" defaultColWidth="9.1640625" defaultRowHeight="13"/>
  <cols>
    <col min="1" max="1" width="8.83203125" style="6" customWidth="1"/>
    <col min="2" max="2" width="20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7.33203125" style="5" bestFit="1" customWidth="1"/>
    <col min="7" max="10" width="5.5" style="6" customWidth="1"/>
    <col min="11" max="11" width="11.33203125" style="6" customWidth="1"/>
    <col min="12" max="12" width="7.5" style="6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42" t="s">
        <v>739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169</v>
      </c>
      <c r="B3" s="34" t="s">
        <v>0</v>
      </c>
      <c r="C3" s="52" t="s">
        <v>879</v>
      </c>
      <c r="D3" s="52" t="s">
        <v>5</v>
      </c>
      <c r="E3" s="38" t="s">
        <v>871</v>
      </c>
      <c r="F3" s="38" t="s">
        <v>782</v>
      </c>
      <c r="G3" s="38" t="s">
        <v>788</v>
      </c>
      <c r="H3" s="38"/>
      <c r="I3" s="38"/>
      <c r="J3" s="38"/>
      <c r="K3" s="38" t="s">
        <v>298</v>
      </c>
      <c r="L3" s="38" t="s">
        <v>3</v>
      </c>
      <c r="M3" s="53" t="s">
        <v>2</v>
      </c>
    </row>
    <row r="4" spans="1:13" s="1" customFormat="1" ht="21" customHeight="1" thickBot="1">
      <c r="A4" s="51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54"/>
    </row>
    <row r="5" spans="1:13" ht="16">
      <c r="A5" s="36" t="s">
        <v>46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14" t="s">
        <v>167</v>
      </c>
      <c r="B6" s="13" t="s">
        <v>657</v>
      </c>
      <c r="C6" s="13" t="s">
        <v>658</v>
      </c>
      <c r="D6" s="13" t="s">
        <v>57</v>
      </c>
      <c r="E6" s="13" t="s">
        <v>872</v>
      </c>
      <c r="F6" s="13" t="s">
        <v>793</v>
      </c>
      <c r="G6" s="26" t="s">
        <v>36</v>
      </c>
      <c r="H6" s="26" t="s">
        <v>37</v>
      </c>
      <c r="I6" s="26" t="s">
        <v>37</v>
      </c>
      <c r="J6" s="14"/>
      <c r="K6" s="14" t="str">
        <f>"0.00"</f>
        <v>0.00</v>
      </c>
      <c r="L6" s="14" t="str">
        <f>"0,0000"</f>
        <v>0,0000</v>
      </c>
      <c r="M6" s="13" t="s">
        <v>22</v>
      </c>
    </row>
    <row r="7" spans="1:13">
      <c r="B7" s="5" t="s">
        <v>166</v>
      </c>
    </row>
    <row r="8" spans="1:13" ht="16">
      <c r="A8" s="33" t="s">
        <v>67</v>
      </c>
      <c r="B8" s="33"/>
      <c r="C8" s="33"/>
      <c r="D8" s="33"/>
      <c r="E8" s="33"/>
      <c r="F8" s="33"/>
      <c r="G8" s="33"/>
      <c r="H8" s="33"/>
      <c r="I8" s="33"/>
      <c r="J8" s="33"/>
    </row>
    <row r="9" spans="1:13">
      <c r="A9" s="8" t="s">
        <v>164</v>
      </c>
      <c r="B9" s="7" t="s">
        <v>659</v>
      </c>
      <c r="C9" s="7" t="s">
        <v>660</v>
      </c>
      <c r="D9" s="7" t="s">
        <v>332</v>
      </c>
      <c r="E9" s="7" t="s">
        <v>872</v>
      </c>
      <c r="F9" s="7" t="s">
        <v>863</v>
      </c>
      <c r="G9" s="20" t="s">
        <v>53</v>
      </c>
      <c r="H9" s="20" t="s">
        <v>28</v>
      </c>
      <c r="I9" s="21" t="s">
        <v>29</v>
      </c>
      <c r="J9" s="8"/>
      <c r="K9" s="8" t="str">
        <f>"55,0"</f>
        <v>55,0</v>
      </c>
      <c r="L9" s="8" t="str">
        <f>"41,1620"</f>
        <v>41,1620</v>
      </c>
      <c r="M9" s="7"/>
    </row>
    <row r="10" spans="1:13">
      <c r="A10" s="12" t="s">
        <v>165</v>
      </c>
      <c r="B10" s="11" t="s">
        <v>661</v>
      </c>
      <c r="C10" s="11" t="s">
        <v>662</v>
      </c>
      <c r="D10" s="11" t="s">
        <v>663</v>
      </c>
      <c r="E10" s="11" t="s">
        <v>872</v>
      </c>
      <c r="F10" s="11" t="s">
        <v>864</v>
      </c>
      <c r="G10" s="24" t="s">
        <v>37</v>
      </c>
      <c r="H10" s="24" t="s">
        <v>59</v>
      </c>
      <c r="I10" s="24" t="s">
        <v>53</v>
      </c>
      <c r="J10" s="12"/>
      <c r="K10" s="12" t="str">
        <f>"50,0"</f>
        <v>50,0</v>
      </c>
      <c r="L10" s="12" t="str">
        <f>"37,4925"</f>
        <v>37,4925</v>
      </c>
      <c r="M10" s="11"/>
    </row>
    <row r="11" spans="1:13">
      <c r="A11" s="10" t="s">
        <v>164</v>
      </c>
      <c r="B11" s="9" t="s">
        <v>659</v>
      </c>
      <c r="C11" s="9" t="s">
        <v>775</v>
      </c>
      <c r="D11" s="9" t="s">
        <v>332</v>
      </c>
      <c r="E11" s="9" t="s">
        <v>878</v>
      </c>
      <c r="F11" s="9" t="s">
        <v>863</v>
      </c>
      <c r="G11" s="23" t="s">
        <v>53</v>
      </c>
      <c r="H11" s="23" t="s">
        <v>28</v>
      </c>
      <c r="I11" s="22" t="s">
        <v>29</v>
      </c>
      <c r="J11" s="10"/>
      <c r="K11" s="10" t="str">
        <f>"55,0"</f>
        <v>55,0</v>
      </c>
      <c r="L11" s="10" t="str">
        <f>"48,7358"</f>
        <v>48,7358</v>
      </c>
      <c r="M11" s="9"/>
    </row>
    <row r="12" spans="1:13">
      <c r="B12" s="5" t="s">
        <v>166</v>
      </c>
    </row>
    <row r="13" spans="1:13" ht="16">
      <c r="A13" s="33" t="s">
        <v>77</v>
      </c>
      <c r="B13" s="33"/>
      <c r="C13" s="33"/>
      <c r="D13" s="33"/>
      <c r="E13" s="33"/>
      <c r="F13" s="33"/>
      <c r="G13" s="33"/>
      <c r="H13" s="33"/>
      <c r="I13" s="33"/>
      <c r="J13" s="33"/>
    </row>
    <row r="14" spans="1:13">
      <c r="A14" s="8" t="s">
        <v>164</v>
      </c>
      <c r="B14" s="7" t="s">
        <v>664</v>
      </c>
      <c r="C14" s="7" t="s">
        <v>776</v>
      </c>
      <c r="D14" s="7" t="s">
        <v>665</v>
      </c>
      <c r="E14" s="7" t="s">
        <v>883</v>
      </c>
      <c r="F14" s="7" t="s">
        <v>865</v>
      </c>
      <c r="G14" s="20" t="s">
        <v>28</v>
      </c>
      <c r="H14" s="20" t="s">
        <v>16</v>
      </c>
      <c r="I14" s="20" t="s">
        <v>17</v>
      </c>
      <c r="J14" s="8"/>
      <c r="K14" s="8" t="str">
        <f>"65,0"</f>
        <v>65,0</v>
      </c>
      <c r="L14" s="8" t="str">
        <f>"45,3407"</f>
        <v>45,3407</v>
      </c>
      <c r="M14" s="7"/>
    </row>
    <row r="15" spans="1:13">
      <c r="A15" s="12" t="s">
        <v>165</v>
      </c>
      <c r="B15" s="11" t="s">
        <v>666</v>
      </c>
      <c r="C15" s="11" t="s">
        <v>777</v>
      </c>
      <c r="D15" s="11" t="s">
        <v>556</v>
      </c>
      <c r="E15" s="11" t="s">
        <v>883</v>
      </c>
      <c r="F15" s="11" t="s">
        <v>793</v>
      </c>
      <c r="G15" s="24" t="s">
        <v>53</v>
      </c>
      <c r="H15" s="25" t="s">
        <v>28</v>
      </c>
      <c r="I15" s="25" t="s">
        <v>28</v>
      </c>
      <c r="J15" s="12"/>
      <c r="K15" s="12" t="str">
        <f>"50,0"</f>
        <v>50,0</v>
      </c>
      <c r="L15" s="12" t="str">
        <f>"34,4275"</f>
        <v>34,4275</v>
      </c>
      <c r="M15" s="11" t="s">
        <v>667</v>
      </c>
    </row>
    <row r="16" spans="1:13">
      <c r="A16" s="12" t="s">
        <v>164</v>
      </c>
      <c r="B16" s="11" t="s">
        <v>668</v>
      </c>
      <c r="C16" s="11" t="s">
        <v>669</v>
      </c>
      <c r="D16" s="11" t="s">
        <v>670</v>
      </c>
      <c r="E16" s="11" t="s">
        <v>872</v>
      </c>
      <c r="F16" s="11" t="s">
        <v>866</v>
      </c>
      <c r="G16" s="24" t="s">
        <v>16</v>
      </c>
      <c r="H16" s="24" t="s">
        <v>17</v>
      </c>
      <c r="I16" s="25" t="s">
        <v>76</v>
      </c>
      <c r="J16" s="12"/>
      <c r="K16" s="12" t="str">
        <f>"65,0"</f>
        <v>65,0</v>
      </c>
      <c r="L16" s="12" t="str">
        <f>"45,7210"</f>
        <v>45,7210</v>
      </c>
      <c r="M16" s="11"/>
    </row>
    <row r="17" spans="1:13">
      <c r="A17" s="12" t="s">
        <v>165</v>
      </c>
      <c r="B17" s="11" t="s">
        <v>671</v>
      </c>
      <c r="C17" s="11" t="s">
        <v>672</v>
      </c>
      <c r="D17" s="11" t="s">
        <v>673</v>
      </c>
      <c r="E17" s="11" t="s">
        <v>872</v>
      </c>
      <c r="F17" s="11" t="s">
        <v>790</v>
      </c>
      <c r="G17" s="24" t="s">
        <v>16</v>
      </c>
      <c r="H17" s="25" t="s">
        <v>17</v>
      </c>
      <c r="I17" s="25" t="s">
        <v>17</v>
      </c>
      <c r="J17" s="12"/>
      <c r="K17" s="12" t="str">
        <f>"60,0"</f>
        <v>60,0</v>
      </c>
      <c r="L17" s="12" t="str">
        <f>"41,5590"</f>
        <v>41,5590</v>
      </c>
      <c r="M17" s="11" t="s">
        <v>22</v>
      </c>
    </row>
    <row r="18" spans="1:13">
      <c r="A18" s="12" t="s">
        <v>167</v>
      </c>
      <c r="B18" s="11" t="s">
        <v>340</v>
      </c>
      <c r="C18" s="11" t="s">
        <v>341</v>
      </c>
      <c r="D18" s="11" t="s">
        <v>342</v>
      </c>
      <c r="E18" s="11" t="s">
        <v>872</v>
      </c>
      <c r="F18" s="11" t="s">
        <v>818</v>
      </c>
      <c r="G18" s="25" t="s">
        <v>28</v>
      </c>
      <c r="H18" s="25" t="s">
        <v>16</v>
      </c>
      <c r="I18" s="25" t="s">
        <v>16</v>
      </c>
      <c r="J18" s="12"/>
      <c r="K18" s="12" t="str">
        <f>"0.00"</f>
        <v>0.00</v>
      </c>
      <c r="L18" s="12" t="str">
        <f>"0,0000"</f>
        <v>0,0000</v>
      </c>
      <c r="M18" s="11"/>
    </row>
    <row r="19" spans="1:13">
      <c r="A19" s="10" t="s">
        <v>164</v>
      </c>
      <c r="B19" s="9" t="s">
        <v>674</v>
      </c>
      <c r="C19" s="9" t="s">
        <v>778</v>
      </c>
      <c r="D19" s="9" t="s">
        <v>675</v>
      </c>
      <c r="E19" s="9" t="s">
        <v>875</v>
      </c>
      <c r="F19" s="9" t="s">
        <v>867</v>
      </c>
      <c r="G19" s="23" t="s">
        <v>28</v>
      </c>
      <c r="H19" s="23" t="s">
        <v>16</v>
      </c>
      <c r="I19" s="22" t="s">
        <v>17</v>
      </c>
      <c r="J19" s="10"/>
      <c r="K19" s="10" t="str">
        <f>"60,0"</f>
        <v>60,0</v>
      </c>
      <c r="L19" s="10" t="str">
        <f>"43,8957"</f>
        <v>43,8957</v>
      </c>
      <c r="M19" s="9"/>
    </row>
    <row r="20" spans="1:13">
      <c r="B20" s="5" t="s">
        <v>166</v>
      </c>
    </row>
    <row r="21" spans="1:13" ht="16">
      <c r="A21" s="33" t="s">
        <v>175</v>
      </c>
      <c r="B21" s="33"/>
      <c r="C21" s="33"/>
      <c r="D21" s="33"/>
      <c r="E21" s="33"/>
      <c r="F21" s="33"/>
      <c r="G21" s="33"/>
      <c r="H21" s="33"/>
      <c r="I21" s="33"/>
      <c r="J21" s="33"/>
    </row>
    <row r="22" spans="1:13">
      <c r="A22" s="8" t="s">
        <v>164</v>
      </c>
      <c r="B22" s="7" t="s">
        <v>676</v>
      </c>
      <c r="C22" s="7" t="s">
        <v>677</v>
      </c>
      <c r="D22" s="7" t="s">
        <v>678</v>
      </c>
      <c r="E22" s="7" t="s">
        <v>872</v>
      </c>
      <c r="F22" s="7" t="s">
        <v>868</v>
      </c>
      <c r="G22" s="20" t="s">
        <v>76</v>
      </c>
      <c r="H22" s="20" t="s">
        <v>34</v>
      </c>
      <c r="I22" s="20" t="s">
        <v>38</v>
      </c>
      <c r="J22" s="8"/>
      <c r="K22" s="8" t="str">
        <f>"72,5"</f>
        <v>72,5</v>
      </c>
      <c r="L22" s="8" t="str">
        <f>"47,1830"</f>
        <v>47,1830</v>
      </c>
      <c r="M22" s="7"/>
    </row>
    <row r="23" spans="1:13">
      <c r="A23" s="10" t="s">
        <v>165</v>
      </c>
      <c r="B23" s="9" t="s">
        <v>679</v>
      </c>
      <c r="C23" s="9" t="s">
        <v>680</v>
      </c>
      <c r="D23" s="9" t="s">
        <v>681</v>
      </c>
      <c r="E23" s="9" t="s">
        <v>872</v>
      </c>
      <c r="F23" s="9" t="s">
        <v>859</v>
      </c>
      <c r="G23" s="22" t="s">
        <v>29</v>
      </c>
      <c r="H23" s="23" t="s">
        <v>29</v>
      </c>
      <c r="I23" s="23" t="s">
        <v>16</v>
      </c>
      <c r="J23" s="10"/>
      <c r="K23" s="10" t="str">
        <f>"60,0"</f>
        <v>60,0</v>
      </c>
      <c r="L23" s="10" t="str">
        <f>"39,4380"</f>
        <v>39,4380</v>
      </c>
      <c r="M23" s="9"/>
    </row>
    <row r="24" spans="1:13">
      <c r="B24" s="5" t="s">
        <v>166</v>
      </c>
    </row>
    <row r="25" spans="1:13" ht="16">
      <c r="A25" s="33" t="s">
        <v>100</v>
      </c>
      <c r="B25" s="33"/>
      <c r="C25" s="33"/>
      <c r="D25" s="33"/>
      <c r="E25" s="33"/>
      <c r="F25" s="33"/>
      <c r="G25" s="33"/>
      <c r="H25" s="33"/>
      <c r="I25" s="33"/>
      <c r="J25" s="33"/>
    </row>
    <row r="26" spans="1:13">
      <c r="A26" s="8" t="s">
        <v>164</v>
      </c>
      <c r="B26" s="7" t="s">
        <v>374</v>
      </c>
      <c r="C26" s="7" t="s">
        <v>375</v>
      </c>
      <c r="D26" s="7" t="s">
        <v>376</v>
      </c>
      <c r="E26" s="7" t="s">
        <v>872</v>
      </c>
      <c r="F26" s="7" t="s">
        <v>793</v>
      </c>
      <c r="G26" s="20" t="s">
        <v>64</v>
      </c>
      <c r="H26" s="20" t="s">
        <v>50</v>
      </c>
      <c r="I26" s="21" t="s">
        <v>26</v>
      </c>
      <c r="J26" s="8"/>
      <c r="K26" s="8" t="str">
        <f>"82,5"</f>
        <v>82,5</v>
      </c>
      <c r="L26" s="8" t="str">
        <f>"51,4305"</f>
        <v>51,4305</v>
      </c>
      <c r="M26" s="7" t="s">
        <v>378</v>
      </c>
    </row>
    <row r="27" spans="1:13">
      <c r="A27" s="10" t="s">
        <v>164</v>
      </c>
      <c r="B27" s="9" t="s">
        <v>682</v>
      </c>
      <c r="C27" s="9" t="s">
        <v>779</v>
      </c>
      <c r="D27" s="9" t="s">
        <v>113</v>
      </c>
      <c r="E27" s="9" t="s">
        <v>875</v>
      </c>
      <c r="F27" s="9" t="s">
        <v>798</v>
      </c>
      <c r="G27" s="23" t="s">
        <v>29</v>
      </c>
      <c r="H27" s="10"/>
      <c r="I27" s="10"/>
      <c r="J27" s="10"/>
      <c r="K27" s="10" t="str">
        <f>"57,5"</f>
        <v>57,5</v>
      </c>
      <c r="L27" s="10" t="str">
        <f>"35,7103"</f>
        <v>35,7103</v>
      </c>
      <c r="M27" s="9" t="s">
        <v>683</v>
      </c>
    </row>
    <row r="28" spans="1:13">
      <c r="B28" s="5" t="s">
        <v>166</v>
      </c>
    </row>
    <row r="29" spans="1:13" ht="16">
      <c r="A29" s="33" t="s">
        <v>125</v>
      </c>
      <c r="B29" s="33"/>
      <c r="C29" s="33"/>
      <c r="D29" s="33"/>
      <c r="E29" s="33"/>
      <c r="F29" s="33"/>
      <c r="G29" s="33"/>
      <c r="H29" s="33"/>
      <c r="I29" s="33"/>
      <c r="J29" s="33"/>
    </row>
    <row r="30" spans="1:13">
      <c r="A30" s="14" t="s">
        <v>164</v>
      </c>
      <c r="B30" s="13" t="s">
        <v>684</v>
      </c>
      <c r="C30" s="13" t="s">
        <v>685</v>
      </c>
      <c r="D30" s="13" t="s">
        <v>392</v>
      </c>
      <c r="E30" s="13" t="s">
        <v>872</v>
      </c>
      <c r="F30" s="13" t="s">
        <v>822</v>
      </c>
      <c r="G30" s="27" t="s">
        <v>64</v>
      </c>
      <c r="H30" s="27" t="s">
        <v>26</v>
      </c>
      <c r="I30" s="27" t="s">
        <v>51</v>
      </c>
      <c r="J30" s="14"/>
      <c r="K30" s="14" t="str">
        <f>"87,5"</f>
        <v>87,5</v>
      </c>
      <c r="L30" s="14" t="str">
        <f>"50,9731"</f>
        <v>50,9731</v>
      </c>
      <c r="M30" s="13"/>
    </row>
    <row r="31" spans="1:13">
      <c r="B31" s="5" t="s">
        <v>166</v>
      </c>
    </row>
    <row r="32" spans="1:13" ht="16">
      <c r="A32" s="33" t="s">
        <v>277</v>
      </c>
      <c r="B32" s="33"/>
      <c r="C32" s="33"/>
      <c r="D32" s="33"/>
      <c r="E32" s="33"/>
      <c r="F32" s="33"/>
      <c r="G32" s="33"/>
      <c r="H32" s="33"/>
      <c r="I32" s="33"/>
      <c r="J32" s="33"/>
    </row>
    <row r="33" spans="1:13">
      <c r="A33" s="14" t="s">
        <v>164</v>
      </c>
      <c r="B33" s="13" t="s">
        <v>412</v>
      </c>
      <c r="C33" s="13" t="s">
        <v>413</v>
      </c>
      <c r="D33" s="13" t="s">
        <v>414</v>
      </c>
      <c r="E33" s="13" t="s">
        <v>872</v>
      </c>
      <c r="F33" s="13" t="s">
        <v>812</v>
      </c>
      <c r="G33" s="26" t="s">
        <v>64</v>
      </c>
      <c r="H33" s="27" t="s">
        <v>64</v>
      </c>
      <c r="I33" s="26" t="s">
        <v>26</v>
      </c>
      <c r="J33" s="14"/>
      <c r="K33" s="14" t="str">
        <f>"75,0"</f>
        <v>75,0</v>
      </c>
      <c r="L33" s="14" t="str">
        <f>"42,3412"</f>
        <v>42,3412</v>
      </c>
      <c r="M33" s="13"/>
    </row>
    <row r="34" spans="1:13">
      <c r="B34" s="5" t="s">
        <v>166</v>
      </c>
    </row>
    <row r="37" spans="1:13" ht="18">
      <c r="B37" s="15" t="s">
        <v>140</v>
      </c>
      <c r="C37" s="15"/>
    </row>
    <row r="38" spans="1:13" ht="16">
      <c r="B38" s="16" t="s">
        <v>155</v>
      </c>
      <c r="C38" s="16"/>
    </row>
    <row r="39" spans="1:13" ht="14">
      <c r="B39" s="17"/>
      <c r="C39" s="18" t="s">
        <v>142</v>
      </c>
    </row>
    <row r="40" spans="1:13" ht="14">
      <c r="A40" s="1"/>
      <c r="B40" s="19" t="s">
        <v>143</v>
      </c>
      <c r="C40" s="19" t="s">
        <v>144</v>
      </c>
      <c r="D40" s="19" t="s">
        <v>145</v>
      </c>
      <c r="E40" s="19" t="s">
        <v>295</v>
      </c>
      <c r="F40" s="19" t="s">
        <v>546</v>
      </c>
    </row>
    <row r="41" spans="1:13">
      <c r="B41" s="5" t="s">
        <v>374</v>
      </c>
      <c r="C41" s="5" t="s">
        <v>142</v>
      </c>
      <c r="D41" s="6" t="s">
        <v>159</v>
      </c>
      <c r="E41" s="6" t="s">
        <v>50</v>
      </c>
      <c r="F41" s="6" t="s">
        <v>686</v>
      </c>
    </row>
    <row r="42" spans="1:13">
      <c r="B42" s="5" t="s">
        <v>684</v>
      </c>
      <c r="C42" s="5" t="s">
        <v>142</v>
      </c>
      <c r="D42" s="6" t="s">
        <v>157</v>
      </c>
      <c r="E42" s="6" t="s">
        <v>51</v>
      </c>
      <c r="F42" s="6" t="s">
        <v>687</v>
      </c>
    </row>
    <row r="43" spans="1:13">
      <c r="B43" s="5" t="s">
        <v>676</v>
      </c>
      <c r="C43" s="5" t="s">
        <v>142</v>
      </c>
      <c r="D43" s="6" t="s">
        <v>222</v>
      </c>
      <c r="E43" s="6" t="s">
        <v>38</v>
      </c>
      <c r="F43" s="6" t="s">
        <v>688</v>
      </c>
    </row>
    <row r="44" spans="1:13">
      <c r="B44" s="5" t="s">
        <v>166</v>
      </c>
    </row>
  </sheetData>
  <mergeCells count="18">
    <mergeCell ref="A1:M2"/>
    <mergeCell ref="A3:A4"/>
    <mergeCell ref="C3:C4"/>
    <mergeCell ref="D3:D4"/>
    <mergeCell ref="E3:E4"/>
    <mergeCell ref="F3:F4"/>
    <mergeCell ref="G3:J3"/>
    <mergeCell ref="A32:J32"/>
    <mergeCell ref="K3:K4"/>
    <mergeCell ref="L3:L4"/>
    <mergeCell ref="M3:M4"/>
    <mergeCell ref="A5:J5"/>
    <mergeCell ref="B3:B4"/>
    <mergeCell ref="A8:J8"/>
    <mergeCell ref="A13:J13"/>
    <mergeCell ref="A21:J21"/>
    <mergeCell ref="A25:J25"/>
    <mergeCell ref="A29:J29"/>
  </mergeCells>
  <pageMargins left="0.7" right="0.7" top="0.75" bottom="0.75" header="0.3" footer="0.3"/>
  <pageSetup paperSize="9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0"/>
  <sheetViews>
    <sheetView tabSelected="1" workbookViewId="0">
      <selection sqref="A1:M2"/>
    </sheetView>
  </sheetViews>
  <sheetFormatPr baseColWidth="10" defaultColWidth="9.1640625" defaultRowHeight="13"/>
  <cols>
    <col min="1" max="1" width="10.1640625" style="6" customWidth="1"/>
    <col min="2" max="2" width="18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1.6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19.6640625" style="5" customWidth="1"/>
    <col min="14" max="16384" width="9.1640625" style="3"/>
  </cols>
  <sheetData>
    <row r="1" spans="1:13" s="2" customFormat="1" ht="29" customHeight="1">
      <c r="A1" s="42" t="s">
        <v>740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169</v>
      </c>
      <c r="B3" s="34" t="s">
        <v>0</v>
      </c>
      <c r="C3" s="52" t="s">
        <v>879</v>
      </c>
      <c r="D3" s="52" t="s">
        <v>5</v>
      </c>
      <c r="E3" s="38" t="s">
        <v>871</v>
      </c>
      <c r="F3" s="38" t="s">
        <v>782</v>
      </c>
      <c r="G3" s="38" t="s">
        <v>788</v>
      </c>
      <c r="H3" s="38"/>
      <c r="I3" s="38"/>
      <c r="J3" s="38"/>
      <c r="K3" s="38" t="s">
        <v>298</v>
      </c>
      <c r="L3" s="38" t="s">
        <v>3</v>
      </c>
      <c r="M3" s="53" t="s">
        <v>2</v>
      </c>
    </row>
    <row r="4" spans="1:13" s="1" customFormat="1" ht="21" customHeight="1" thickBot="1">
      <c r="A4" s="51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54"/>
    </row>
    <row r="5" spans="1:13" ht="16">
      <c r="A5" s="36" t="s">
        <v>46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14" t="s">
        <v>164</v>
      </c>
      <c r="B6" s="13" t="s">
        <v>631</v>
      </c>
      <c r="C6" s="13" t="s">
        <v>632</v>
      </c>
      <c r="D6" s="13" t="s">
        <v>633</v>
      </c>
      <c r="E6" s="13" t="s">
        <v>872</v>
      </c>
      <c r="F6" s="13" t="s">
        <v>795</v>
      </c>
      <c r="G6" s="27" t="s">
        <v>53</v>
      </c>
      <c r="H6" s="27" t="s">
        <v>173</v>
      </c>
      <c r="I6" s="27" t="s">
        <v>634</v>
      </c>
      <c r="J6" s="27" t="s">
        <v>28</v>
      </c>
      <c r="K6" s="14" t="str">
        <f>"54,0"</f>
        <v>54,0</v>
      </c>
      <c r="L6" s="14" t="str">
        <f>"45,0468"</f>
        <v>45,0468</v>
      </c>
      <c r="M6" s="13" t="s">
        <v>635</v>
      </c>
    </row>
    <row r="7" spans="1:13">
      <c r="B7" s="5" t="s">
        <v>166</v>
      </c>
    </row>
    <row r="8" spans="1:13" ht="16">
      <c r="A8" s="33" t="s">
        <v>67</v>
      </c>
      <c r="B8" s="33"/>
      <c r="C8" s="33"/>
      <c r="D8" s="33"/>
      <c r="E8" s="33"/>
      <c r="F8" s="33"/>
      <c r="G8" s="33"/>
      <c r="H8" s="33"/>
      <c r="I8" s="33"/>
      <c r="J8" s="33"/>
    </row>
    <row r="9" spans="1:13">
      <c r="A9" s="14" t="s">
        <v>164</v>
      </c>
      <c r="B9" s="13" t="s">
        <v>636</v>
      </c>
      <c r="C9" s="13" t="s">
        <v>637</v>
      </c>
      <c r="D9" s="13" t="s">
        <v>638</v>
      </c>
      <c r="E9" s="13" t="s">
        <v>872</v>
      </c>
      <c r="F9" s="13" t="s">
        <v>869</v>
      </c>
      <c r="G9" s="27" t="s">
        <v>16</v>
      </c>
      <c r="H9" s="26" t="s">
        <v>233</v>
      </c>
      <c r="I9" s="27" t="s">
        <v>233</v>
      </c>
      <c r="J9" s="14"/>
      <c r="K9" s="14" t="str">
        <f>"62,5"</f>
        <v>62,5</v>
      </c>
      <c r="L9" s="14" t="str">
        <f>"48,6625"</f>
        <v>48,6625</v>
      </c>
      <c r="M9" s="13"/>
    </row>
    <row r="10" spans="1:13">
      <c r="B10" s="5" t="s">
        <v>166</v>
      </c>
    </row>
    <row r="11" spans="1:13" ht="16">
      <c r="A11" s="33" t="s">
        <v>77</v>
      </c>
      <c r="B11" s="33"/>
      <c r="C11" s="33"/>
      <c r="D11" s="33"/>
      <c r="E11" s="33"/>
      <c r="F11" s="33"/>
      <c r="G11" s="33"/>
      <c r="H11" s="33"/>
      <c r="I11" s="33"/>
      <c r="J11" s="33"/>
    </row>
    <row r="12" spans="1:13">
      <c r="A12" s="14" t="s">
        <v>164</v>
      </c>
      <c r="B12" s="13" t="s">
        <v>639</v>
      </c>
      <c r="C12" s="13" t="s">
        <v>640</v>
      </c>
      <c r="D12" s="13" t="s">
        <v>556</v>
      </c>
      <c r="E12" s="13" t="s">
        <v>872</v>
      </c>
      <c r="F12" s="13" t="s">
        <v>860</v>
      </c>
      <c r="G12" s="27" t="s">
        <v>26</v>
      </c>
      <c r="H12" s="27" t="s">
        <v>51</v>
      </c>
      <c r="I12" s="27" t="s">
        <v>27</v>
      </c>
      <c r="J12" s="14"/>
      <c r="K12" s="14" t="str">
        <f>"90,0"</f>
        <v>90,0</v>
      </c>
      <c r="L12" s="14" t="str">
        <f>"61,9695"</f>
        <v>61,9695</v>
      </c>
      <c r="M12" s="13"/>
    </row>
    <row r="13" spans="1:13">
      <c r="B13" s="5" t="s">
        <v>166</v>
      </c>
    </row>
    <row r="14" spans="1:13" ht="16">
      <c r="A14" s="33" t="s">
        <v>175</v>
      </c>
      <c r="B14" s="33"/>
      <c r="C14" s="33"/>
      <c r="D14" s="33"/>
      <c r="E14" s="33"/>
      <c r="F14" s="33"/>
      <c r="G14" s="33"/>
      <c r="H14" s="33"/>
      <c r="I14" s="33"/>
      <c r="J14" s="33"/>
    </row>
    <row r="15" spans="1:13">
      <c r="A15" s="8" t="s">
        <v>164</v>
      </c>
      <c r="B15" s="7" t="s">
        <v>515</v>
      </c>
      <c r="C15" s="7" t="s">
        <v>32</v>
      </c>
      <c r="D15" s="7" t="s">
        <v>516</v>
      </c>
      <c r="E15" s="7" t="s">
        <v>872</v>
      </c>
      <c r="F15" s="7" t="s">
        <v>845</v>
      </c>
      <c r="G15" s="20" t="s">
        <v>76</v>
      </c>
      <c r="H15" s="21" t="s">
        <v>38</v>
      </c>
      <c r="I15" s="20" t="s">
        <v>38</v>
      </c>
      <c r="J15" s="8"/>
      <c r="K15" s="8" t="str">
        <f>"72,5"</f>
        <v>72,5</v>
      </c>
      <c r="L15" s="8" t="str">
        <f>"47,2954"</f>
        <v>47,2954</v>
      </c>
      <c r="M15" s="7"/>
    </row>
    <row r="16" spans="1:13">
      <c r="A16" s="10" t="s">
        <v>164</v>
      </c>
      <c r="B16" s="9" t="s">
        <v>641</v>
      </c>
      <c r="C16" s="9" t="s">
        <v>780</v>
      </c>
      <c r="D16" s="9" t="s">
        <v>367</v>
      </c>
      <c r="E16" s="9" t="s">
        <v>878</v>
      </c>
      <c r="F16" s="9" t="s">
        <v>793</v>
      </c>
      <c r="G16" s="23" t="s">
        <v>53</v>
      </c>
      <c r="H16" s="23" t="s">
        <v>28</v>
      </c>
      <c r="I16" s="22" t="s">
        <v>29</v>
      </c>
      <c r="J16" s="10"/>
      <c r="K16" s="10" t="str">
        <f>"55,0"</f>
        <v>55,0</v>
      </c>
      <c r="L16" s="10" t="str">
        <f>"46,5118"</f>
        <v>46,5118</v>
      </c>
      <c r="M16" s="9"/>
    </row>
    <row r="17" spans="1:13">
      <c r="B17" s="5" t="s">
        <v>166</v>
      </c>
    </row>
    <row r="18" spans="1:13" ht="16">
      <c r="A18" s="33" t="s">
        <v>100</v>
      </c>
      <c r="B18" s="33"/>
      <c r="C18" s="33"/>
      <c r="D18" s="33"/>
      <c r="E18" s="33"/>
      <c r="F18" s="33"/>
      <c r="G18" s="33"/>
      <c r="H18" s="33"/>
      <c r="I18" s="33"/>
      <c r="J18" s="33"/>
    </row>
    <row r="19" spans="1:13">
      <c r="A19" s="8" t="s">
        <v>164</v>
      </c>
      <c r="B19" s="7" t="s">
        <v>642</v>
      </c>
      <c r="C19" s="7" t="s">
        <v>643</v>
      </c>
      <c r="D19" s="7" t="s">
        <v>644</v>
      </c>
      <c r="E19" s="7" t="s">
        <v>872</v>
      </c>
      <c r="F19" s="7" t="s">
        <v>835</v>
      </c>
      <c r="G19" s="20" t="s">
        <v>38</v>
      </c>
      <c r="H19" s="21" t="s">
        <v>645</v>
      </c>
      <c r="I19" s="20" t="s">
        <v>645</v>
      </c>
      <c r="J19" s="8"/>
      <c r="K19" s="8" t="str">
        <f>"76,0"</f>
        <v>76,0</v>
      </c>
      <c r="L19" s="8" t="str">
        <f>"46,8806"</f>
        <v>46,8806</v>
      </c>
      <c r="M19" s="7"/>
    </row>
    <row r="20" spans="1:13">
      <c r="A20" s="12" t="s">
        <v>165</v>
      </c>
      <c r="B20" s="11" t="s">
        <v>646</v>
      </c>
      <c r="C20" s="11" t="s">
        <v>647</v>
      </c>
      <c r="D20" s="11" t="s">
        <v>209</v>
      </c>
      <c r="E20" s="11" t="s">
        <v>872</v>
      </c>
      <c r="F20" s="11" t="s">
        <v>821</v>
      </c>
      <c r="G20" s="24" t="s">
        <v>34</v>
      </c>
      <c r="H20" s="24" t="s">
        <v>38</v>
      </c>
      <c r="I20" s="25" t="s">
        <v>65</v>
      </c>
      <c r="J20" s="12"/>
      <c r="K20" s="12" t="str">
        <f>"72,5"</f>
        <v>72,5</v>
      </c>
      <c r="L20" s="12" t="str">
        <f>"45,7982"</f>
        <v>45,7982</v>
      </c>
      <c r="M20" s="11"/>
    </row>
    <row r="21" spans="1:13">
      <c r="A21" s="12" t="s">
        <v>168</v>
      </c>
      <c r="B21" s="11" t="s">
        <v>648</v>
      </c>
      <c r="C21" s="11" t="s">
        <v>649</v>
      </c>
      <c r="D21" s="11" t="s">
        <v>650</v>
      </c>
      <c r="E21" s="11" t="s">
        <v>872</v>
      </c>
      <c r="F21" s="11" t="s">
        <v>870</v>
      </c>
      <c r="G21" s="24" t="s">
        <v>53</v>
      </c>
      <c r="H21" s="24" t="s">
        <v>16</v>
      </c>
      <c r="I21" s="25" t="s">
        <v>34</v>
      </c>
      <c r="J21" s="12"/>
      <c r="K21" s="12" t="str">
        <f>"60,0"</f>
        <v>60,0</v>
      </c>
      <c r="L21" s="12" t="str">
        <f>"36,8250"</f>
        <v>36,8250</v>
      </c>
      <c r="M21" s="11"/>
    </row>
    <row r="22" spans="1:13">
      <c r="A22" s="10" t="s">
        <v>164</v>
      </c>
      <c r="B22" s="9" t="s">
        <v>642</v>
      </c>
      <c r="C22" s="9" t="s">
        <v>781</v>
      </c>
      <c r="D22" s="9" t="s">
        <v>644</v>
      </c>
      <c r="E22" s="9" t="s">
        <v>875</v>
      </c>
      <c r="F22" s="9" t="s">
        <v>835</v>
      </c>
      <c r="G22" s="23" t="s">
        <v>38</v>
      </c>
      <c r="H22" s="22" t="s">
        <v>645</v>
      </c>
      <c r="I22" s="23" t="s">
        <v>645</v>
      </c>
      <c r="J22" s="10"/>
      <c r="K22" s="10" t="str">
        <f>"76,0"</f>
        <v>76,0</v>
      </c>
      <c r="L22" s="10" t="str">
        <f>"50,7248"</f>
        <v>50,7248</v>
      </c>
      <c r="M22" s="9"/>
    </row>
    <row r="23" spans="1:13">
      <c r="B23" s="5" t="s">
        <v>166</v>
      </c>
    </row>
    <row r="24" spans="1:13" ht="16">
      <c r="A24" s="33" t="s">
        <v>277</v>
      </c>
      <c r="B24" s="33"/>
      <c r="C24" s="33"/>
      <c r="D24" s="33"/>
      <c r="E24" s="33"/>
      <c r="F24" s="33"/>
      <c r="G24" s="33"/>
      <c r="H24" s="33"/>
      <c r="I24" s="33"/>
      <c r="J24" s="33"/>
    </row>
    <row r="25" spans="1:13">
      <c r="A25" s="14" t="s">
        <v>164</v>
      </c>
      <c r="B25" s="13" t="s">
        <v>651</v>
      </c>
      <c r="C25" s="13" t="s">
        <v>652</v>
      </c>
      <c r="D25" s="13" t="s">
        <v>653</v>
      </c>
      <c r="E25" s="13" t="s">
        <v>872</v>
      </c>
      <c r="F25" s="13" t="s">
        <v>793</v>
      </c>
      <c r="G25" s="27" t="s">
        <v>27</v>
      </c>
      <c r="H25" s="27" t="s">
        <v>43</v>
      </c>
      <c r="I25" s="26" t="s">
        <v>13</v>
      </c>
      <c r="J25" s="14"/>
      <c r="K25" s="14" t="str">
        <f>"95,0"</f>
        <v>95,0</v>
      </c>
      <c r="L25" s="14" t="str">
        <f>"53,6940"</f>
        <v>53,6940</v>
      </c>
      <c r="M25" s="13"/>
    </row>
    <row r="26" spans="1:13">
      <c r="B26" s="5" t="s">
        <v>166</v>
      </c>
    </row>
    <row r="27" spans="1:13" ht="16">
      <c r="A27" s="33" t="s">
        <v>215</v>
      </c>
      <c r="B27" s="33"/>
      <c r="C27" s="33"/>
      <c r="D27" s="33"/>
      <c r="E27" s="33"/>
      <c r="F27" s="33"/>
      <c r="G27" s="33"/>
      <c r="H27" s="33"/>
      <c r="I27" s="33"/>
      <c r="J27" s="33"/>
    </row>
    <row r="28" spans="1:13">
      <c r="A28" s="8" t="s">
        <v>164</v>
      </c>
      <c r="B28" s="7" t="s">
        <v>281</v>
      </c>
      <c r="C28" s="7" t="s">
        <v>754</v>
      </c>
      <c r="D28" s="7" t="s">
        <v>282</v>
      </c>
      <c r="E28" s="7" t="s">
        <v>880</v>
      </c>
      <c r="F28" s="7" t="s">
        <v>838</v>
      </c>
      <c r="G28" s="20" t="s">
        <v>13</v>
      </c>
      <c r="H28" s="21" t="s">
        <v>54</v>
      </c>
      <c r="I28" s="21" t="s">
        <v>54</v>
      </c>
      <c r="J28" s="8"/>
      <c r="K28" s="8" t="str">
        <f>"100,0"</f>
        <v>100,0</v>
      </c>
      <c r="L28" s="8" t="str">
        <f>"54,6600"</f>
        <v>54,6600</v>
      </c>
      <c r="M28" s="7"/>
    </row>
    <row r="29" spans="1:13">
      <c r="A29" s="10" t="s">
        <v>164</v>
      </c>
      <c r="B29" s="9" t="s">
        <v>281</v>
      </c>
      <c r="C29" s="9" t="s">
        <v>290</v>
      </c>
      <c r="D29" s="9" t="s">
        <v>282</v>
      </c>
      <c r="E29" s="9" t="s">
        <v>872</v>
      </c>
      <c r="F29" s="9" t="s">
        <v>838</v>
      </c>
      <c r="G29" s="23" t="s">
        <v>13</v>
      </c>
      <c r="H29" s="22" t="s">
        <v>54</v>
      </c>
      <c r="I29" s="22" t="s">
        <v>54</v>
      </c>
      <c r="J29" s="10"/>
      <c r="K29" s="10" t="str">
        <f>"100,0"</f>
        <v>100,0</v>
      </c>
      <c r="L29" s="10" t="str">
        <f>"54,6600"</f>
        <v>54,6600</v>
      </c>
      <c r="M29" s="9"/>
    </row>
    <row r="30" spans="1:13">
      <c r="B30" s="5" t="s">
        <v>166</v>
      </c>
    </row>
    <row r="33" spans="1:6" ht="18">
      <c r="B33" s="15" t="s">
        <v>140</v>
      </c>
      <c r="C33" s="15"/>
    </row>
    <row r="34" spans="1:6" ht="16">
      <c r="B34" s="16" t="s">
        <v>155</v>
      </c>
      <c r="C34" s="16"/>
    </row>
    <row r="35" spans="1:6" ht="14">
      <c r="B35" s="17"/>
      <c r="C35" s="18" t="s">
        <v>142</v>
      </c>
    </row>
    <row r="36" spans="1:6" ht="14">
      <c r="A36" s="1"/>
      <c r="B36" s="19" t="s">
        <v>143</v>
      </c>
      <c r="C36" s="19" t="s">
        <v>144</v>
      </c>
      <c r="D36" s="19" t="s">
        <v>145</v>
      </c>
      <c r="E36" s="19" t="s">
        <v>295</v>
      </c>
      <c r="F36" s="19" t="s">
        <v>546</v>
      </c>
    </row>
    <row r="37" spans="1:6">
      <c r="B37" s="5" t="s">
        <v>639</v>
      </c>
      <c r="C37" s="5" t="s">
        <v>142</v>
      </c>
      <c r="D37" s="6" t="s">
        <v>156</v>
      </c>
      <c r="E37" s="6" t="s">
        <v>27</v>
      </c>
      <c r="F37" s="6" t="s">
        <v>655</v>
      </c>
    </row>
    <row r="38" spans="1:6">
      <c r="B38" s="5" t="s">
        <v>281</v>
      </c>
      <c r="C38" s="5" t="s">
        <v>142</v>
      </c>
      <c r="D38" s="6" t="s">
        <v>223</v>
      </c>
      <c r="E38" s="6" t="s">
        <v>13</v>
      </c>
      <c r="F38" s="6" t="s">
        <v>654</v>
      </c>
    </row>
    <row r="39" spans="1:6">
      <c r="B39" s="5" t="s">
        <v>651</v>
      </c>
      <c r="C39" s="5" t="s">
        <v>142</v>
      </c>
      <c r="D39" s="6" t="s">
        <v>471</v>
      </c>
      <c r="E39" s="6" t="s">
        <v>43</v>
      </c>
      <c r="F39" s="6" t="s">
        <v>656</v>
      </c>
    </row>
    <row r="40" spans="1:6">
      <c r="B40" s="5" t="s">
        <v>166</v>
      </c>
    </row>
  </sheetData>
  <mergeCells count="18">
    <mergeCell ref="A1:M2"/>
    <mergeCell ref="A3:A4"/>
    <mergeCell ref="C3:C4"/>
    <mergeCell ref="D3:D4"/>
    <mergeCell ref="E3:E4"/>
    <mergeCell ref="F3:F4"/>
    <mergeCell ref="G3:J3"/>
    <mergeCell ref="A27:J27"/>
    <mergeCell ref="K3:K4"/>
    <mergeCell ref="L3:L4"/>
    <mergeCell ref="M3:M4"/>
    <mergeCell ref="A5:J5"/>
    <mergeCell ref="B3:B4"/>
    <mergeCell ref="A8:J8"/>
    <mergeCell ref="A11:J11"/>
    <mergeCell ref="A14:J14"/>
    <mergeCell ref="A18:J18"/>
    <mergeCell ref="A24:J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U7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4.832031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8" width="5.5" style="6" customWidth="1"/>
    <col min="19" max="19" width="7.83203125" style="6" bestFit="1" customWidth="1"/>
    <col min="20" max="20" width="8.5" style="6" bestFit="1" customWidth="1"/>
    <col min="21" max="21" width="15.5" style="5" bestFit="1" customWidth="1"/>
    <col min="22" max="16384" width="9.1640625" style="3"/>
  </cols>
  <sheetData>
    <row r="1" spans="1:21" s="2" customFormat="1" ht="29" customHeight="1">
      <c r="A1" s="42" t="s">
        <v>720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</row>
    <row r="2" spans="1:21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s="1" customFormat="1" ht="12.75" customHeight="1">
      <c r="A3" s="50" t="s">
        <v>169</v>
      </c>
      <c r="B3" s="34" t="s">
        <v>0</v>
      </c>
      <c r="C3" s="52" t="s">
        <v>879</v>
      </c>
      <c r="D3" s="52" t="s">
        <v>5</v>
      </c>
      <c r="E3" s="38" t="s">
        <v>871</v>
      </c>
      <c r="F3" s="38" t="s">
        <v>782</v>
      </c>
      <c r="G3" s="38" t="s">
        <v>6</v>
      </c>
      <c r="H3" s="38"/>
      <c r="I3" s="38"/>
      <c r="J3" s="38"/>
      <c r="K3" s="38" t="s">
        <v>7</v>
      </c>
      <c r="L3" s="38"/>
      <c r="M3" s="38"/>
      <c r="N3" s="38"/>
      <c r="O3" s="38" t="s">
        <v>8</v>
      </c>
      <c r="P3" s="38"/>
      <c r="Q3" s="38"/>
      <c r="R3" s="38"/>
      <c r="S3" s="38" t="s">
        <v>1</v>
      </c>
      <c r="T3" s="38" t="s">
        <v>3</v>
      </c>
      <c r="U3" s="53" t="s">
        <v>2</v>
      </c>
    </row>
    <row r="4" spans="1:21" s="1" customFormat="1" ht="21" customHeight="1" thickBot="1">
      <c r="A4" s="51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9"/>
      <c r="T4" s="39"/>
      <c r="U4" s="54"/>
    </row>
    <row r="5" spans="1:21" ht="16">
      <c r="A5" s="36" t="s">
        <v>77</v>
      </c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21">
      <c r="A6" s="14" t="s">
        <v>164</v>
      </c>
      <c r="B6" s="13" t="s">
        <v>225</v>
      </c>
      <c r="C6" s="13" t="s">
        <v>226</v>
      </c>
      <c r="D6" s="13" t="s">
        <v>227</v>
      </c>
      <c r="E6" s="13" t="s">
        <v>875</v>
      </c>
      <c r="F6" s="13" t="s">
        <v>793</v>
      </c>
      <c r="G6" s="27" t="s">
        <v>114</v>
      </c>
      <c r="H6" s="27" t="s">
        <v>104</v>
      </c>
      <c r="I6" s="27" t="s">
        <v>228</v>
      </c>
      <c r="J6" s="14"/>
      <c r="K6" s="27" t="s">
        <v>18</v>
      </c>
      <c r="L6" s="27" t="s">
        <v>99</v>
      </c>
      <c r="M6" s="26" t="s">
        <v>20</v>
      </c>
      <c r="N6" s="14"/>
      <c r="O6" s="26" t="s">
        <v>114</v>
      </c>
      <c r="P6" s="27" t="s">
        <v>114</v>
      </c>
      <c r="Q6" s="27" t="s">
        <v>214</v>
      </c>
      <c r="R6" s="27" t="s">
        <v>229</v>
      </c>
      <c r="S6" s="14" t="str">
        <f>"547,5"</f>
        <v>547,5</v>
      </c>
      <c r="T6" s="14" t="str">
        <f>"624,6296"</f>
        <v>624,6296</v>
      </c>
      <c r="U6" s="13"/>
    </row>
    <row r="7" spans="1:21">
      <c r="B7" s="5" t="s">
        <v>166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U25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8.332031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8" bestFit="1" customWidth="1"/>
    <col min="20" max="20" width="8.5" style="6" bestFit="1" customWidth="1"/>
    <col min="21" max="21" width="18.83203125" style="5" bestFit="1" customWidth="1"/>
    <col min="22" max="16384" width="9.1640625" style="3"/>
  </cols>
  <sheetData>
    <row r="1" spans="1:21" s="2" customFormat="1" ht="29" customHeight="1">
      <c r="A1" s="42" t="s">
        <v>721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</row>
    <row r="2" spans="1:21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s="1" customFormat="1" ht="12.75" customHeight="1">
      <c r="A3" s="50" t="s">
        <v>169</v>
      </c>
      <c r="B3" s="34" t="s">
        <v>0</v>
      </c>
      <c r="C3" s="52" t="s">
        <v>879</v>
      </c>
      <c r="D3" s="52" t="s">
        <v>5</v>
      </c>
      <c r="E3" s="38" t="s">
        <v>871</v>
      </c>
      <c r="F3" s="38" t="s">
        <v>782</v>
      </c>
      <c r="G3" s="38" t="s">
        <v>6</v>
      </c>
      <c r="H3" s="38"/>
      <c r="I3" s="38"/>
      <c r="J3" s="38"/>
      <c r="K3" s="38" t="s">
        <v>7</v>
      </c>
      <c r="L3" s="38"/>
      <c r="M3" s="38"/>
      <c r="N3" s="38"/>
      <c r="O3" s="38" t="s">
        <v>8</v>
      </c>
      <c r="P3" s="38"/>
      <c r="Q3" s="38"/>
      <c r="R3" s="38"/>
      <c r="S3" s="40" t="s">
        <v>1</v>
      </c>
      <c r="T3" s="38" t="s">
        <v>3</v>
      </c>
      <c r="U3" s="53" t="s">
        <v>2</v>
      </c>
    </row>
    <row r="4" spans="1:21" s="1" customFormat="1" ht="21" customHeight="1" thickBot="1">
      <c r="A4" s="51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1"/>
      <c r="T4" s="39"/>
      <c r="U4" s="54"/>
    </row>
    <row r="5" spans="1:21" ht="16">
      <c r="A5" s="36" t="s">
        <v>77</v>
      </c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21">
      <c r="A6" s="14" t="s">
        <v>164</v>
      </c>
      <c r="B6" s="13" t="s">
        <v>170</v>
      </c>
      <c r="C6" s="13" t="s">
        <v>171</v>
      </c>
      <c r="D6" s="13" t="s">
        <v>172</v>
      </c>
      <c r="E6" s="13" t="s">
        <v>875</v>
      </c>
      <c r="F6" s="13" t="s">
        <v>793</v>
      </c>
      <c r="G6" s="26" t="s">
        <v>26</v>
      </c>
      <c r="H6" s="27" t="s">
        <v>26</v>
      </c>
      <c r="I6" s="27" t="s">
        <v>27</v>
      </c>
      <c r="J6" s="14"/>
      <c r="K6" s="26" t="s">
        <v>59</v>
      </c>
      <c r="L6" s="26" t="s">
        <v>173</v>
      </c>
      <c r="M6" s="27" t="s">
        <v>173</v>
      </c>
      <c r="N6" s="14"/>
      <c r="O6" s="26" t="s">
        <v>43</v>
      </c>
      <c r="P6" s="26" t="s">
        <v>14</v>
      </c>
      <c r="Q6" s="27" t="s">
        <v>14</v>
      </c>
      <c r="R6" s="14"/>
      <c r="S6" s="32" t="str">
        <f>"247,5"</f>
        <v>247,5</v>
      </c>
      <c r="T6" s="14" t="str">
        <f>"420,1111"</f>
        <v>420,1111</v>
      </c>
      <c r="U6" s="13" t="s">
        <v>174</v>
      </c>
    </row>
    <row r="7" spans="1:21">
      <c r="B7" s="5" t="s">
        <v>166</v>
      </c>
    </row>
    <row r="8" spans="1:21" ht="16">
      <c r="A8" s="33" t="s">
        <v>175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21">
      <c r="A9" s="8" t="s">
        <v>164</v>
      </c>
      <c r="B9" s="7" t="s">
        <v>176</v>
      </c>
      <c r="C9" s="7" t="s">
        <v>747</v>
      </c>
      <c r="D9" s="7" t="s">
        <v>177</v>
      </c>
      <c r="E9" s="7" t="s">
        <v>880</v>
      </c>
      <c r="F9" s="7" t="s">
        <v>804</v>
      </c>
      <c r="G9" s="20" t="s">
        <v>178</v>
      </c>
      <c r="H9" s="20" t="s">
        <v>107</v>
      </c>
      <c r="I9" s="8"/>
      <c r="J9" s="8"/>
      <c r="K9" s="20" t="s">
        <v>91</v>
      </c>
      <c r="L9" s="20" t="s">
        <v>93</v>
      </c>
      <c r="M9" s="21" t="s">
        <v>84</v>
      </c>
      <c r="N9" s="8"/>
      <c r="O9" s="20" t="s">
        <v>178</v>
      </c>
      <c r="P9" s="20" t="s">
        <v>179</v>
      </c>
      <c r="Q9" s="21" t="s">
        <v>137</v>
      </c>
      <c r="R9" s="8"/>
      <c r="S9" s="29" t="str">
        <f>"650,0"</f>
        <v>650,0</v>
      </c>
      <c r="T9" s="8" t="str">
        <f>"680,1600"</f>
        <v>680,1600</v>
      </c>
      <c r="U9" s="7"/>
    </row>
    <row r="10" spans="1:21">
      <c r="A10" s="12" t="s">
        <v>165</v>
      </c>
      <c r="B10" s="11" t="s">
        <v>180</v>
      </c>
      <c r="C10" s="11" t="s">
        <v>748</v>
      </c>
      <c r="D10" s="11" t="s">
        <v>181</v>
      </c>
      <c r="E10" s="11" t="s">
        <v>880</v>
      </c>
      <c r="F10" s="11" t="s">
        <v>805</v>
      </c>
      <c r="G10" s="24" t="s">
        <v>182</v>
      </c>
      <c r="H10" s="25" t="s">
        <v>114</v>
      </c>
      <c r="I10" s="25" t="s">
        <v>114</v>
      </c>
      <c r="J10" s="12"/>
      <c r="K10" s="24" t="s">
        <v>60</v>
      </c>
      <c r="L10" s="25" t="s">
        <v>97</v>
      </c>
      <c r="M10" s="25" t="s">
        <v>44</v>
      </c>
      <c r="N10" s="12"/>
      <c r="O10" s="24" t="s">
        <v>183</v>
      </c>
      <c r="P10" s="25" t="s">
        <v>115</v>
      </c>
      <c r="Q10" s="24" t="s">
        <v>184</v>
      </c>
      <c r="R10" s="12"/>
      <c r="S10" s="31" t="str">
        <f>"502,5"</f>
        <v>502,5</v>
      </c>
      <c r="T10" s="12" t="str">
        <f>"526,2180"</f>
        <v>526,2180</v>
      </c>
      <c r="U10" s="11"/>
    </row>
    <row r="11" spans="1:21">
      <c r="A11" s="12" t="s">
        <v>164</v>
      </c>
      <c r="B11" s="11" t="s">
        <v>185</v>
      </c>
      <c r="C11" s="11" t="s">
        <v>186</v>
      </c>
      <c r="D11" s="11" t="s">
        <v>187</v>
      </c>
      <c r="E11" s="11" t="s">
        <v>872</v>
      </c>
      <c r="F11" s="11" t="s">
        <v>806</v>
      </c>
      <c r="G11" s="25" t="s">
        <v>188</v>
      </c>
      <c r="H11" s="24" t="s">
        <v>188</v>
      </c>
      <c r="I11" s="24" t="s">
        <v>189</v>
      </c>
      <c r="J11" s="12"/>
      <c r="K11" s="25" t="s">
        <v>91</v>
      </c>
      <c r="L11" s="24" t="s">
        <v>91</v>
      </c>
      <c r="M11" s="24" t="s">
        <v>182</v>
      </c>
      <c r="N11" s="12"/>
      <c r="O11" s="24" t="s">
        <v>179</v>
      </c>
      <c r="P11" s="25" t="s">
        <v>137</v>
      </c>
      <c r="Q11" s="25" t="s">
        <v>137</v>
      </c>
      <c r="R11" s="12"/>
      <c r="S11" s="31" t="str">
        <f>"680,0"</f>
        <v>680,0</v>
      </c>
      <c r="T11" s="12" t="str">
        <f>"699,9920"</f>
        <v>699,9920</v>
      </c>
      <c r="U11" s="11"/>
    </row>
    <row r="12" spans="1:21">
      <c r="A12" s="12" t="s">
        <v>165</v>
      </c>
      <c r="B12" s="11" t="s">
        <v>176</v>
      </c>
      <c r="C12" s="11" t="s">
        <v>190</v>
      </c>
      <c r="D12" s="11" t="s">
        <v>177</v>
      </c>
      <c r="E12" s="11" t="s">
        <v>872</v>
      </c>
      <c r="F12" s="11" t="s">
        <v>804</v>
      </c>
      <c r="G12" s="24" t="s">
        <v>178</v>
      </c>
      <c r="H12" s="24" t="s">
        <v>107</v>
      </c>
      <c r="I12" s="12"/>
      <c r="J12" s="12"/>
      <c r="K12" s="24" t="s">
        <v>91</v>
      </c>
      <c r="L12" s="24" t="s">
        <v>93</v>
      </c>
      <c r="M12" s="25" t="s">
        <v>84</v>
      </c>
      <c r="N12" s="12"/>
      <c r="O12" s="24" t="s">
        <v>178</v>
      </c>
      <c r="P12" s="24" t="s">
        <v>179</v>
      </c>
      <c r="Q12" s="25" t="s">
        <v>137</v>
      </c>
      <c r="R12" s="12"/>
      <c r="S12" s="31" t="str">
        <f>"650,0"</f>
        <v>650,0</v>
      </c>
      <c r="T12" s="12" t="str">
        <f>"680,1600"</f>
        <v>680,1600</v>
      </c>
      <c r="U12" s="11"/>
    </row>
    <row r="13" spans="1:21">
      <c r="A13" s="12" t="s">
        <v>168</v>
      </c>
      <c r="B13" s="11" t="s">
        <v>191</v>
      </c>
      <c r="C13" s="11" t="s">
        <v>192</v>
      </c>
      <c r="D13" s="11" t="s">
        <v>193</v>
      </c>
      <c r="E13" s="11" t="s">
        <v>872</v>
      </c>
      <c r="F13" s="11" t="s">
        <v>793</v>
      </c>
      <c r="G13" s="24" t="s">
        <v>104</v>
      </c>
      <c r="H13" s="25" t="s">
        <v>115</v>
      </c>
      <c r="I13" s="25" t="s">
        <v>115</v>
      </c>
      <c r="J13" s="12"/>
      <c r="K13" s="25" t="s">
        <v>19</v>
      </c>
      <c r="L13" s="24" t="s">
        <v>19</v>
      </c>
      <c r="M13" s="24" t="s">
        <v>20</v>
      </c>
      <c r="N13" s="12"/>
      <c r="O13" s="24" t="s">
        <v>105</v>
      </c>
      <c r="P13" s="24" t="s">
        <v>116</v>
      </c>
      <c r="Q13" s="25" t="s">
        <v>194</v>
      </c>
      <c r="R13" s="12"/>
      <c r="S13" s="31" t="str">
        <f>"560,0"</f>
        <v>560,0</v>
      </c>
      <c r="T13" s="12" t="str">
        <f>"617,6800"</f>
        <v>617,6800</v>
      </c>
      <c r="U13" s="11"/>
    </row>
    <row r="14" spans="1:21">
      <c r="A14" s="10" t="s">
        <v>224</v>
      </c>
      <c r="B14" s="9" t="s">
        <v>195</v>
      </c>
      <c r="C14" s="9" t="s">
        <v>196</v>
      </c>
      <c r="D14" s="9" t="s">
        <v>197</v>
      </c>
      <c r="E14" s="9" t="s">
        <v>872</v>
      </c>
      <c r="F14" s="9" t="s">
        <v>807</v>
      </c>
      <c r="G14" s="22" t="s">
        <v>121</v>
      </c>
      <c r="H14" s="23" t="s">
        <v>114</v>
      </c>
      <c r="I14" s="22" t="s">
        <v>105</v>
      </c>
      <c r="J14" s="10"/>
      <c r="K14" s="23" t="s">
        <v>15</v>
      </c>
      <c r="L14" s="23" t="s">
        <v>97</v>
      </c>
      <c r="M14" s="23" t="s">
        <v>18</v>
      </c>
      <c r="N14" s="10"/>
      <c r="O14" s="23" t="s">
        <v>121</v>
      </c>
      <c r="P14" s="23" t="s">
        <v>104</v>
      </c>
      <c r="Q14" s="22" t="s">
        <v>105</v>
      </c>
      <c r="R14" s="10"/>
      <c r="S14" s="30" t="str">
        <f>"525,0"</f>
        <v>525,0</v>
      </c>
      <c r="T14" s="10" t="str">
        <f>"565,9500"</f>
        <v>565,9500</v>
      </c>
      <c r="U14" s="9" t="s">
        <v>881</v>
      </c>
    </row>
    <row r="15" spans="1:21">
      <c r="B15" s="5" t="s">
        <v>166</v>
      </c>
    </row>
    <row r="16" spans="1:21" ht="16">
      <c r="A16" s="33" t="s">
        <v>100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</row>
    <row r="17" spans="1:21">
      <c r="A17" s="8" t="s">
        <v>164</v>
      </c>
      <c r="B17" s="7" t="s">
        <v>198</v>
      </c>
      <c r="C17" s="7" t="s">
        <v>199</v>
      </c>
      <c r="D17" s="7" t="s">
        <v>200</v>
      </c>
      <c r="E17" s="7" t="s">
        <v>872</v>
      </c>
      <c r="F17" s="7" t="s">
        <v>793</v>
      </c>
      <c r="G17" s="20" t="s">
        <v>189</v>
      </c>
      <c r="H17" s="20" t="s">
        <v>201</v>
      </c>
      <c r="I17" s="21" t="s">
        <v>202</v>
      </c>
      <c r="J17" s="8"/>
      <c r="K17" s="20" t="s">
        <v>84</v>
      </c>
      <c r="L17" s="20" t="s">
        <v>121</v>
      </c>
      <c r="M17" s="20" t="s">
        <v>203</v>
      </c>
      <c r="N17" s="8"/>
      <c r="O17" s="20" t="s">
        <v>204</v>
      </c>
      <c r="P17" s="20" t="s">
        <v>205</v>
      </c>
      <c r="Q17" s="20" t="s">
        <v>206</v>
      </c>
      <c r="R17" s="8"/>
      <c r="S17" s="29" t="str">
        <f>"780,0"</f>
        <v>780,0</v>
      </c>
      <c r="T17" s="8" t="str">
        <f>"756,6000"</f>
        <v>756,6000</v>
      </c>
      <c r="U17" s="7"/>
    </row>
    <row r="18" spans="1:21">
      <c r="A18" s="10" t="s">
        <v>167</v>
      </c>
      <c r="B18" s="9" t="s">
        <v>207</v>
      </c>
      <c r="C18" s="9" t="s">
        <v>208</v>
      </c>
      <c r="D18" s="9" t="s">
        <v>209</v>
      </c>
      <c r="E18" s="9" t="s">
        <v>872</v>
      </c>
      <c r="F18" s="9" t="s">
        <v>808</v>
      </c>
      <c r="G18" s="22" t="s">
        <v>121</v>
      </c>
      <c r="H18" s="22" t="s">
        <v>121</v>
      </c>
      <c r="I18" s="22" t="s">
        <v>121</v>
      </c>
      <c r="J18" s="10"/>
      <c r="K18" s="22"/>
      <c r="L18" s="10"/>
      <c r="M18" s="10"/>
      <c r="N18" s="10"/>
      <c r="O18" s="22"/>
      <c r="P18" s="10"/>
      <c r="Q18" s="10"/>
      <c r="R18" s="10"/>
      <c r="S18" s="30">
        <v>0</v>
      </c>
      <c r="T18" s="10" t="str">
        <f>"0,0000"</f>
        <v>0,0000</v>
      </c>
      <c r="U18" s="9"/>
    </row>
    <row r="19" spans="1:21">
      <c r="B19" s="5" t="s">
        <v>166</v>
      </c>
    </row>
    <row r="20" spans="1:21" ht="16">
      <c r="A20" s="33" t="s">
        <v>125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</row>
    <row r="21" spans="1:21">
      <c r="A21" s="14" t="s">
        <v>164</v>
      </c>
      <c r="B21" s="13" t="s">
        <v>210</v>
      </c>
      <c r="C21" s="13" t="s">
        <v>211</v>
      </c>
      <c r="D21" s="13" t="s">
        <v>212</v>
      </c>
      <c r="E21" s="13" t="s">
        <v>872</v>
      </c>
      <c r="F21" s="13" t="s">
        <v>809</v>
      </c>
      <c r="G21" s="26" t="s">
        <v>205</v>
      </c>
      <c r="H21" s="27" t="s">
        <v>205</v>
      </c>
      <c r="I21" s="26" t="s">
        <v>213</v>
      </c>
      <c r="J21" s="14"/>
      <c r="K21" s="27" t="s">
        <v>114</v>
      </c>
      <c r="L21" s="27" t="s">
        <v>214</v>
      </c>
      <c r="M21" s="26" t="s">
        <v>105</v>
      </c>
      <c r="N21" s="14"/>
      <c r="O21" s="27" t="s">
        <v>139</v>
      </c>
      <c r="P21" s="27" t="s">
        <v>204</v>
      </c>
      <c r="Q21" s="27" t="s">
        <v>206</v>
      </c>
      <c r="R21" s="14"/>
      <c r="S21" s="32" t="str">
        <f>"817,5"</f>
        <v>817,5</v>
      </c>
      <c r="T21" s="14" t="str">
        <f>"759,4575"</f>
        <v>759,4575</v>
      </c>
      <c r="U21" s="13" t="s">
        <v>715</v>
      </c>
    </row>
    <row r="22" spans="1:21">
      <c r="B22" s="5" t="s">
        <v>166</v>
      </c>
    </row>
    <row r="23" spans="1:21" ht="16">
      <c r="A23" s="33" t="s">
        <v>215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</row>
    <row r="24" spans="1:21">
      <c r="A24" s="14" t="s">
        <v>164</v>
      </c>
      <c r="B24" s="13" t="s">
        <v>216</v>
      </c>
      <c r="C24" s="13" t="s">
        <v>217</v>
      </c>
      <c r="D24" s="13" t="s">
        <v>218</v>
      </c>
      <c r="E24" s="13" t="s">
        <v>872</v>
      </c>
      <c r="F24" s="13" t="s">
        <v>810</v>
      </c>
      <c r="G24" s="27" t="s">
        <v>189</v>
      </c>
      <c r="H24" s="27" t="s">
        <v>139</v>
      </c>
      <c r="I24" s="26" t="s">
        <v>219</v>
      </c>
      <c r="J24" s="14"/>
      <c r="K24" s="27" t="s">
        <v>115</v>
      </c>
      <c r="L24" s="27" t="s">
        <v>116</v>
      </c>
      <c r="M24" s="27" t="s">
        <v>220</v>
      </c>
      <c r="N24" s="14"/>
      <c r="O24" s="27" t="s">
        <v>204</v>
      </c>
      <c r="P24" s="27" t="s">
        <v>206</v>
      </c>
      <c r="Q24" s="26" t="s">
        <v>221</v>
      </c>
      <c r="R24" s="14"/>
      <c r="S24" s="32" t="str">
        <f>"807,5"</f>
        <v>807,5</v>
      </c>
      <c r="T24" s="14" t="str">
        <f>"708,9850"</f>
        <v>708,9850</v>
      </c>
      <c r="U24" s="13" t="s">
        <v>716</v>
      </c>
    </row>
    <row r="25" spans="1:21">
      <c r="B25" s="5" t="s">
        <v>166</v>
      </c>
    </row>
  </sheetData>
  <mergeCells count="18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A16:R16"/>
    <mergeCell ref="A20:R20"/>
    <mergeCell ref="A23:R23"/>
    <mergeCell ref="B3:B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14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20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15.5" style="5" bestFit="1" customWidth="1"/>
    <col min="18" max="16384" width="9.1640625" style="3"/>
  </cols>
  <sheetData>
    <row r="1" spans="1:17" s="2" customFormat="1" ht="29" customHeight="1">
      <c r="A1" s="42" t="s">
        <v>722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5"/>
    </row>
    <row r="2" spans="1:17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9"/>
    </row>
    <row r="3" spans="1:17" s="1" customFormat="1" ht="12.75" customHeight="1">
      <c r="A3" s="50" t="s">
        <v>169</v>
      </c>
      <c r="B3" s="34" t="s">
        <v>0</v>
      </c>
      <c r="C3" s="52" t="s">
        <v>879</v>
      </c>
      <c r="D3" s="52" t="s">
        <v>5</v>
      </c>
      <c r="E3" s="38" t="s">
        <v>871</v>
      </c>
      <c r="F3" s="38" t="s">
        <v>782</v>
      </c>
      <c r="G3" s="38" t="s">
        <v>7</v>
      </c>
      <c r="H3" s="38"/>
      <c r="I3" s="38"/>
      <c r="J3" s="38"/>
      <c r="K3" s="38" t="s">
        <v>8</v>
      </c>
      <c r="L3" s="38"/>
      <c r="M3" s="38"/>
      <c r="N3" s="38"/>
      <c r="O3" s="38" t="s">
        <v>1</v>
      </c>
      <c r="P3" s="38" t="s">
        <v>3</v>
      </c>
      <c r="Q3" s="53" t="s">
        <v>2</v>
      </c>
    </row>
    <row r="4" spans="1:17" s="1" customFormat="1" ht="21" customHeight="1" thickBot="1">
      <c r="A4" s="51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9"/>
      <c r="P4" s="39"/>
      <c r="Q4" s="54"/>
    </row>
    <row r="5" spans="1:17" ht="16">
      <c r="A5" s="36" t="s">
        <v>46</v>
      </c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7">
      <c r="A6" s="14" t="s">
        <v>164</v>
      </c>
      <c r="B6" s="13" t="s">
        <v>501</v>
      </c>
      <c r="C6" s="13" t="s">
        <v>502</v>
      </c>
      <c r="D6" s="13" t="s">
        <v>503</v>
      </c>
      <c r="E6" s="13" t="s">
        <v>872</v>
      </c>
      <c r="F6" s="13" t="s">
        <v>811</v>
      </c>
      <c r="G6" s="27" t="s">
        <v>28</v>
      </c>
      <c r="H6" s="27" t="s">
        <v>29</v>
      </c>
      <c r="I6" s="26" t="s">
        <v>16</v>
      </c>
      <c r="J6" s="14"/>
      <c r="K6" s="27" t="s">
        <v>18</v>
      </c>
      <c r="L6" s="26" t="s">
        <v>106</v>
      </c>
      <c r="M6" s="14"/>
      <c r="N6" s="14"/>
      <c r="O6" s="14" t="str">
        <f>"192,5"</f>
        <v>192,5</v>
      </c>
      <c r="P6" s="14" t="str">
        <f>"348,0400"</f>
        <v>348,0400</v>
      </c>
      <c r="Q6" s="13"/>
    </row>
    <row r="7" spans="1:17">
      <c r="B7" s="5" t="s">
        <v>166</v>
      </c>
    </row>
    <row r="8" spans="1:17" ht="16">
      <c r="A8" s="33" t="s">
        <v>100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7">
      <c r="A9" s="8" t="s">
        <v>164</v>
      </c>
      <c r="B9" s="7" t="s">
        <v>504</v>
      </c>
      <c r="C9" s="7" t="s">
        <v>505</v>
      </c>
      <c r="D9" s="7" t="s">
        <v>506</v>
      </c>
      <c r="E9" s="7" t="s">
        <v>872</v>
      </c>
      <c r="F9" s="7" t="s">
        <v>812</v>
      </c>
      <c r="G9" s="20" t="s">
        <v>21</v>
      </c>
      <c r="H9" s="21" t="s">
        <v>90</v>
      </c>
      <c r="I9" s="20" t="s">
        <v>90</v>
      </c>
      <c r="J9" s="8"/>
      <c r="K9" s="20" t="s">
        <v>104</v>
      </c>
      <c r="L9" s="20" t="s">
        <v>105</v>
      </c>
      <c r="M9" s="20" t="s">
        <v>136</v>
      </c>
      <c r="N9" s="8"/>
      <c r="O9" s="8" t="str">
        <f>"375,0"</f>
        <v>375,0</v>
      </c>
      <c r="P9" s="8" t="str">
        <f>"375,0000"</f>
        <v>375,0000</v>
      </c>
      <c r="Q9" s="7"/>
    </row>
    <row r="10" spans="1:17">
      <c r="A10" s="10" t="s">
        <v>165</v>
      </c>
      <c r="B10" s="9" t="s">
        <v>118</v>
      </c>
      <c r="C10" s="9" t="s">
        <v>119</v>
      </c>
      <c r="D10" s="9" t="s">
        <v>120</v>
      </c>
      <c r="E10" s="9" t="s">
        <v>872</v>
      </c>
      <c r="F10" s="9" t="s">
        <v>797</v>
      </c>
      <c r="G10" s="23" t="s">
        <v>97</v>
      </c>
      <c r="H10" s="22" t="s">
        <v>122</v>
      </c>
      <c r="I10" s="22" t="s">
        <v>122</v>
      </c>
      <c r="J10" s="10"/>
      <c r="K10" s="23" t="s">
        <v>105</v>
      </c>
      <c r="L10" s="23" t="s">
        <v>123</v>
      </c>
      <c r="M10" s="22" t="s">
        <v>107</v>
      </c>
      <c r="N10" s="10"/>
      <c r="O10" s="10" t="str">
        <f>"350,0"</f>
        <v>350,0</v>
      </c>
      <c r="P10" s="10" t="str">
        <f>"350,2800"</f>
        <v>350,2800</v>
      </c>
      <c r="Q10" s="9"/>
    </row>
    <row r="11" spans="1:17">
      <c r="B11" s="5" t="s">
        <v>166</v>
      </c>
    </row>
    <row r="12" spans="1:17" ht="16">
      <c r="A12" s="33" t="s">
        <v>125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</row>
    <row r="13" spans="1:17">
      <c r="A13" s="14" t="s">
        <v>164</v>
      </c>
      <c r="B13" s="13" t="s">
        <v>507</v>
      </c>
      <c r="C13" s="13" t="s">
        <v>508</v>
      </c>
      <c r="D13" s="13" t="s">
        <v>509</v>
      </c>
      <c r="E13" s="13" t="s">
        <v>875</v>
      </c>
      <c r="F13" s="13" t="s">
        <v>793</v>
      </c>
      <c r="G13" s="27" t="s">
        <v>13</v>
      </c>
      <c r="H13" s="27" t="s">
        <v>15</v>
      </c>
      <c r="I13" s="27" t="s">
        <v>71</v>
      </c>
      <c r="J13" s="14"/>
      <c r="K13" s="27" t="s">
        <v>91</v>
      </c>
      <c r="L13" s="27" t="s">
        <v>182</v>
      </c>
      <c r="M13" s="26" t="s">
        <v>203</v>
      </c>
      <c r="N13" s="14"/>
      <c r="O13" s="14" t="str">
        <f>"290,0"</f>
        <v>290,0</v>
      </c>
      <c r="P13" s="14" t="str">
        <f>"281,3852"</f>
        <v>281,3852</v>
      </c>
      <c r="Q13" s="13"/>
    </row>
    <row r="14" spans="1:17">
      <c r="B14" s="5" t="s">
        <v>166</v>
      </c>
    </row>
  </sheetData>
  <mergeCells count="15"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2:N12"/>
    <mergeCell ref="B3:B4"/>
    <mergeCell ref="O3:O4"/>
    <mergeCell ref="P3:P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7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9.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15.5" style="5" bestFit="1" customWidth="1"/>
    <col min="18" max="16384" width="9.1640625" style="3"/>
  </cols>
  <sheetData>
    <row r="1" spans="1:17" s="2" customFormat="1" ht="29" customHeight="1">
      <c r="A1" s="42" t="s">
        <v>723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5"/>
    </row>
    <row r="2" spans="1:17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9"/>
    </row>
    <row r="3" spans="1:17" s="1" customFormat="1" ht="12.75" customHeight="1">
      <c r="A3" s="50" t="s">
        <v>169</v>
      </c>
      <c r="B3" s="34" t="s">
        <v>0</v>
      </c>
      <c r="C3" s="52" t="s">
        <v>879</v>
      </c>
      <c r="D3" s="52" t="s">
        <v>5</v>
      </c>
      <c r="E3" s="38" t="s">
        <v>871</v>
      </c>
      <c r="F3" s="38" t="s">
        <v>782</v>
      </c>
      <c r="G3" s="38" t="s">
        <v>7</v>
      </c>
      <c r="H3" s="38"/>
      <c r="I3" s="38"/>
      <c r="J3" s="38"/>
      <c r="K3" s="38" t="s">
        <v>8</v>
      </c>
      <c r="L3" s="38"/>
      <c r="M3" s="38"/>
      <c r="N3" s="38"/>
      <c r="O3" s="38" t="s">
        <v>1</v>
      </c>
      <c r="P3" s="38" t="s">
        <v>3</v>
      </c>
      <c r="Q3" s="53" t="s">
        <v>2</v>
      </c>
    </row>
    <row r="4" spans="1:17" s="1" customFormat="1" ht="21" customHeight="1" thickBot="1">
      <c r="A4" s="51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9"/>
      <c r="P4" s="39"/>
      <c r="Q4" s="54"/>
    </row>
    <row r="5" spans="1:17" ht="16">
      <c r="A5" s="36" t="s">
        <v>100</v>
      </c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7">
      <c r="A6" s="14" t="s">
        <v>164</v>
      </c>
      <c r="B6" s="13" t="s">
        <v>498</v>
      </c>
      <c r="C6" s="13" t="s">
        <v>499</v>
      </c>
      <c r="D6" s="13" t="s">
        <v>500</v>
      </c>
      <c r="E6" s="13" t="s">
        <v>872</v>
      </c>
      <c r="F6" s="13" t="s">
        <v>813</v>
      </c>
      <c r="G6" s="27" t="s">
        <v>93</v>
      </c>
      <c r="H6" s="27" t="s">
        <v>254</v>
      </c>
      <c r="I6" s="27" t="s">
        <v>255</v>
      </c>
      <c r="J6" s="14"/>
      <c r="K6" s="27" t="s">
        <v>137</v>
      </c>
      <c r="L6" s="27" t="s">
        <v>139</v>
      </c>
      <c r="M6" s="26" t="s">
        <v>201</v>
      </c>
      <c r="N6" s="14"/>
      <c r="O6" s="14" t="str">
        <f>"452,5"</f>
        <v>452,5</v>
      </c>
      <c r="P6" s="14" t="str">
        <f>"439,4680"</f>
        <v>439,4680</v>
      </c>
      <c r="Q6" s="13"/>
    </row>
    <row r="7" spans="1:17">
      <c r="B7" s="5" t="s">
        <v>166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33203125" style="5" customWidth="1"/>
    <col min="3" max="3" width="27.5" style="5" bestFit="1" customWidth="1"/>
    <col min="4" max="4" width="21.5" style="5" bestFit="1" customWidth="1"/>
    <col min="5" max="5" width="21.5" style="5" customWidth="1"/>
    <col min="6" max="6" width="15.5" style="5" bestFit="1" customWidth="1"/>
    <col min="7" max="9" width="5.5" style="6" customWidth="1"/>
    <col min="10" max="10" width="4.83203125" style="6" customWidth="1"/>
    <col min="11" max="11" width="12.1640625" style="6" customWidth="1"/>
    <col min="12" max="12" width="8.5" style="6" bestFit="1" customWidth="1"/>
    <col min="13" max="13" width="20" style="5" customWidth="1"/>
    <col min="14" max="16384" width="9.1640625" style="3"/>
  </cols>
  <sheetData>
    <row r="1" spans="1:13" s="2" customFormat="1" ht="29" customHeight="1">
      <c r="A1" s="42" t="s">
        <v>724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169</v>
      </c>
      <c r="B3" s="34" t="s">
        <v>0</v>
      </c>
      <c r="C3" s="52" t="s">
        <v>879</v>
      </c>
      <c r="D3" s="52" t="s">
        <v>5</v>
      </c>
      <c r="E3" s="55" t="s">
        <v>871</v>
      </c>
      <c r="F3" s="38" t="s">
        <v>782</v>
      </c>
      <c r="G3" s="38" t="s">
        <v>6</v>
      </c>
      <c r="H3" s="38"/>
      <c r="I3" s="38"/>
      <c r="J3" s="38"/>
      <c r="K3" s="38" t="s">
        <v>298</v>
      </c>
      <c r="L3" s="38" t="s">
        <v>3</v>
      </c>
      <c r="M3" s="53" t="s">
        <v>2</v>
      </c>
    </row>
    <row r="4" spans="1:13" s="1" customFormat="1" ht="21" customHeight="1" thickBot="1">
      <c r="A4" s="51"/>
      <c r="B4" s="35"/>
      <c r="C4" s="39"/>
      <c r="D4" s="39"/>
      <c r="E4" s="56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54"/>
    </row>
    <row r="5" spans="1:13" ht="16">
      <c r="A5" s="36" t="s">
        <v>100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14" t="s">
        <v>164</v>
      </c>
      <c r="B6" s="13" t="s">
        <v>457</v>
      </c>
      <c r="C6" s="13" t="s">
        <v>458</v>
      </c>
      <c r="D6" s="13" t="s">
        <v>497</v>
      </c>
      <c r="E6" s="13" t="s">
        <v>874</v>
      </c>
      <c r="F6" s="13" t="s">
        <v>814</v>
      </c>
      <c r="G6" s="27" t="s">
        <v>84</v>
      </c>
      <c r="H6" s="26" t="s">
        <v>121</v>
      </c>
      <c r="I6" s="27" t="s">
        <v>121</v>
      </c>
      <c r="J6" s="14"/>
      <c r="K6" s="14" t="str">
        <f>"180,0"</f>
        <v>180,0</v>
      </c>
      <c r="L6" s="14" t="str">
        <f>"284,3633"</f>
        <v>284,3633</v>
      </c>
      <c r="M6" s="13"/>
    </row>
    <row r="7" spans="1:13">
      <c r="B7" s="5" t="s">
        <v>166</v>
      </c>
    </row>
    <row r="8" spans="1:13">
      <c r="B8" s="5" t="s">
        <v>166</v>
      </c>
    </row>
  </sheetData>
  <mergeCells count="12">
    <mergeCell ref="A5:J5"/>
    <mergeCell ref="B3:B4"/>
    <mergeCell ref="A1:M2"/>
    <mergeCell ref="A3:A4"/>
    <mergeCell ref="C3:C4"/>
    <mergeCell ref="D3:D4"/>
    <mergeCell ref="F3:F4"/>
    <mergeCell ref="G3:J3"/>
    <mergeCell ref="K3:K4"/>
    <mergeCell ref="L3:L4"/>
    <mergeCell ref="M3:M4"/>
    <mergeCell ref="E3:E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100"/>
  <sheetViews>
    <sheetView workbookViewId="0">
      <selection sqref="A1:M2"/>
    </sheetView>
  </sheetViews>
  <sheetFormatPr baseColWidth="10" defaultColWidth="9.1640625" defaultRowHeight="13"/>
  <cols>
    <col min="1" max="1" width="9.5" style="6" customWidth="1"/>
    <col min="2" max="2" width="23.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10" width="5.5" style="6" customWidth="1"/>
    <col min="11" max="11" width="10.5" style="28" bestFit="1" customWidth="1"/>
    <col min="12" max="12" width="8.5" style="28" bestFit="1" customWidth="1"/>
    <col min="13" max="13" width="26.33203125" style="5" bestFit="1" customWidth="1"/>
    <col min="14" max="16384" width="9.1640625" style="3"/>
  </cols>
  <sheetData>
    <row r="1" spans="1:13" s="2" customFormat="1" ht="29" customHeight="1">
      <c r="A1" s="42" t="s">
        <v>725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169</v>
      </c>
      <c r="B3" s="34" t="s">
        <v>0</v>
      </c>
      <c r="C3" s="52" t="s">
        <v>879</v>
      </c>
      <c r="D3" s="52" t="s">
        <v>5</v>
      </c>
      <c r="E3" s="38" t="s">
        <v>871</v>
      </c>
      <c r="F3" s="38" t="s">
        <v>782</v>
      </c>
      <c r="G3" s="38" t="s">
        <v>7</v>
      </c>
      <c r="H3" s="38"/>
      <c r="I3" s="38"/>
      <c r="J3" s="38"/>
      <c r="K3" s="40" t="s">
        <v>298</v>
      </c>
      <c r="L3" s="40" t="s">
        <v>3</v>
      </c>
      <c r="M3" s="53" t="s">
        <v>2</v>
      </c>
    </row>
    <row r="4" spans="1:13" s="1" customFormat="1" ht="21" customHeight="1" thickBot="1">
      <c r="A4" s="51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54"/>
    </row>
    <row r="5" spans="1:13" ht="16">
      <c r="A5" s="36" t="s">
        <v>9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8" t="s">
        <v>164</v>
      </c>
      <c r="B6" s="7" t="s">
        <v>299</v>
      </c>
      <c r="C6" s="7" t="s">
        <v>300</v>
      </c>
      <c r="D6" s="7" t="s">
        <v>301</v>
      </c>
      <c r="E6" s="7" t="s">
        <v>872</v>
      </c>
      <c r="F6" s="7" t="s">
        <v>793</v>
      </c>
      <c r="G6" s="21" t="s">
        <v>34</v>
      </c>
      <c r="H6" s="21" t="s">
        <v>34</v>
      </c>
      <c r="I6" s="20" t="s">
        <v>34</v>
      </c>
      <c r="J6" s="21" t="s">
        <v>64</v>
      </c>
      <c r="K6" s="29" t="str">
        <f>"70,0"</f>
        <v>70,0</v>
      </c>
      <c r="L6" s="29" t="str">
        <f>"169,4700"</f>
        <v>169,4700</v>
      </c>
      <c r="M6" s="7" t="s">
        <v>713</v>
      </c>
    </row>
    <row r="7" spans="1:13">
      <c r="A7" s="12" t="s">
        <v>165</v>
      </c>
      <c r="B7" s="11" t="s">
        <v>23</v>
      </c>
      <c r="C7" s="11" t="s">
        <v>24</v>
      </c>
      <c r="D7" s="11" t="s">
        <v>25</v>
      </c>
      <c r="E7" s="11" t="s">
        <v>872</v>
      </c>
      <c r="F7" s="11" t="s">
        <v>791</v>
      </c>
      <c r="G7" s="24" t="s">
        <v>28</v>
      </c>
      <c r="H7" s="24" t="s">
        <v>29</v>
      </c>
      <c r="I7" s="25" t="s">
        <v>16</v>
      </c>
      <c r="J7" s="12"/>
      <c r="K7" s="31" t="str">
        <f>"57,5"</f>
        <v>57,5</v>
      </c>
      <c r="L7" s="31" t="str">
        <f>"138,0345"</f>
        <v>138,0345</v>
      </c>
      <c r="M7" s="11"/>
    </row>
    <row r="8" spans="1:13">
      <c r="A8" s="10" t="s">
        <v>168</v>
      </c>
      <c r="B8" s="9" t="s">
        <v>302</v>
      </c>
      <c r="C8" s="9" t="s">
        <v>303</v>
      </c>
      <c r="D8" s="9" t="s">
        <v>12</v>
      </c>
      <c r="E8" s="9" t="s">
        <v>872</v>
      </c>
      <c r="F8" s="9" t="s">
        <v>793</v>
      </c>
      <c r="G8" s="22" t="s">
        <v>53</v>
      </c>
      <c r="H8" s="22" t="s">
        <v>53</v>
      </c>
      <c r="I8" s="23" t="s">
        <v>53</v>
      </c>
      <c r="J8" s="10"/>
      <c r="K8" s="30" t="str">
        <f>"50,0"</f>
        <v>50,0</v>
      </c>
      <c r="L8" s="30" t="str">
        <f>"116,7100"</f>
        <v>116,7100</v>
      </c>
      <c r="M8" s="9" t="s">
        <v>304</v>
      </c>
    </row>
    <row r="9" spans="1:13">
      <c r="B9" s="5" t="s">
        <v>166</v>
      </c>
    </row>
    <row r="10" spans="1:13" ht="16">
      <c r="A10" s="33" t="s">
        <v>305</v>
      </c>
      <c r="B10" s="33"/>
      <c r="C10" s="33"/>
      <c r="D10" s="33"/>
      <c r="E10" s="33"/>
      <c r="F10" s="33"/>
      <c r="G10" s="33"/>
      <c r="H10" s="33"/>
      <c r="I10" s="33"/>
      <c r="J10" s="33"/>
    </row>
    <row r="11" spans="1:13">
      <c r="A11" s="14" t="s">
        <v>164</v>
      </c>
      <c r="B11" s="13" t="s">
        <v>306</v>
      </c>
      <c r="C11" s="13" t="s">
        <v>307</v>
      </c>
      <c r="D11" s="13" t="s">
        <v>308</v>
      </c>
      <c r="E11" s="13" t="s">
        <v>872</v>
      </c>
      <c r="F11" s="13" t="s">
        <v>793</v>
      </c>
      <c r="G11" s="26" t="s">
        <v>28</v>
      </c>
      <c r="H11" s="27" t="s">
        <v>28</v>
      </c>
      <c r="I11" s="26" t="s">
        <v>29</v>
      </c>
      <c r="J11" s="14"/>
      <c r="K11" s="32" t="str">
        <f>"55,0"</f>
        <v>55,0</v>
      </c>
      <c r="L11" s="32" t="str">
        <f>"116,9740"</f>
        <v>116,9740</v>
      </c>
      <c r="M11" s="13" t="s">
        <v>309</v>
      </c>
    </row>
    <row r="12" spans="1:13">
      <c r="B12" s="5" t="s">
        <v>166</v>
      </c>
    </row>
    <row r="13" spans="1:13" ht="16">
      <c r="A13" s="33" t="s">
        <v>46</v>
      </c>
      <c r="B13" s="33"/>
      <c r="C13" s="33"/>
      <c r="D13" s="33"/>
      <c r="E13" s="33"/>
      <c r="F13" s="33"/>
      <c r="G13" s="33"/>
      <c r="H13" s="33"/>
      <c r="I13" s="33"/>
      <c r="J13" s="33"/>
    </row>
    <row r="14" spans="1:13">
      <c r="A14" s="8" t="s">
        <v>164</v>
      </c>
      <c r="B14" s="7" t="s">
        <v>310</v>
      </c>
      <c r="C14" s="7" t="s">
        <v>311</v>
      </c>
      <c r="D14" s="7" t="s">
        <v>312</v>
      </c>
      <c r="E14" s="7" t="s">
        <v>872</v>
      </c>
      <c r="F14" s="7" t="s">
        <v>793</v>
      </c>
      <c r="G14" s="20" t="s">
        <v>76</v>
      </c>
      <c r="H14" s="21" t="s">
        <v>34</v>
      </c>
      <c r="I14" s="21" t="s">
        <v>34</v>
      </c>
      <c r="J14" s="8"/>
      <c r="K14" s="29" t="str">
        <f>"67,5"</f>
        <v>67,5</v>
      </c>
      <c r="L14" s="29" t="str">
        <f>"122,5935"</f>
        <v>122,5935</v>
      </c>
      <c r="M14" s="7" t="s">
        <v>313</v>
      </c>
    </row>
    <row r="15" spans="1:13">
      <c r="A15" s="12" t="s">
        <v>164</v>
      </c>
      <c r="B15" s="11" t="s">
        <v>310</v>
      </c>
      <c r="C15" s="11" t="s">
        <v>314</v>
      </c>
      <c r="D15" s="11" t="s">
        <v>312</v>
      </c>
      <c r="E15" s="11" t="s">
        <v>875</v>
      </c>
      <c r="F15" s="11" t="s">
        <v>793</v>
      </c>
      <c r="G15" s="24" t="s">
        <v>76</v>
      </c>
      <c r="H15" s="25" t="s">
        <v>34</v>
      </c>
      <c r="I15" s="25" t="s">
        <v>34</v>
      </c>
      <c r="J15" s="12"/>
      <c r="K15" s="31" t="str">
        <f>"67,5"</f>
        <v>67,5</v>
      </c>
      <c r="L15" s="31" t="str">
        <f>"123,2065"</f>
        <v>123,2065</v>
      </c>
      <c r="M15" s="11" t="s">
        <v>313</v>
      </c>
    </row>
    <row r="16" spans="1:13">
      <c r="A16" s="10" t="s">
        <v>165</v>
      </c>
      <c r="B16" s="9" t="s">
        <v>315</v>
      </c>
      <c r="C16" s="9" t="s">
        <v>316</v>
      </c>
      <c r="D16" s="9" t="s">
        <v>317</v>
      </c>
      <c r="E16" s="9" t="s">
        <v>875</v>
      </c>
      <c r="F16" s="9" t="s">
        <v>790</v>
      </c>
      <c r="G16" s="22" t="s">
        <v>28</v>
      </c>
      <c r="H16" s="23" t="s">
        <v>29</v>
      </c>
      <c r="I16" s="23" t="s">
        <v>16</v>
      </c>
      <c r="J16" s="10"/>
      <c r="K16" s="30" t="str">
        <f>"60,0"</f>
        <v>60,0</v>
      </c>
      <c r="L16" s="30" t="str">
        <f>"116,2817"</f>
        <v>116,2817</v>
      </c>
      <c r="M16" s="9" t="s">
        <v>22</v>
      </c>
    </row>
    <row r="17" spans="1:13">
      <c r="B17" s="5" t="s">
        <v>166</v>
      </c>
    </row>
    <row r="18" spans="1:13" ht="16">
      <c r="A18" s="33" t="s">
        <v>67</v>
      </c>
      <c r="B18" s="33"/>
      <c r="C18" s="33"/>
      <c r="D18" s="33"/>
      <c r="E18" s="33"/>
      <c r="F18" s="33"/>
      <c r="G18" s="33"/>
      <c r="H18" s="33"/>
      <c r="I18" s="33"/>
      <c r="J18" s="33"/>
    </row>
    <row r="19" spans="1:13">
      <c r="A19" s="8" t="s">
        <v>164</v>
      </c>
      <c r="B19" s="7" t="s">
        <v>318</v>
      </c>
      <c r="C19" s="7" t="s">
        <v>749</v>
      </c>
      <c r="D19" s="7" t="s">
        <v>319</v>
      </c>
      <c r="E19" s="7" t="s">
        <v>877</v>
      </c>
      <c r="F19" s="7" t="s">
        <v>815</v>
      </c>
      <c r="G19" s="20" t="s">
        <v>26</v>
      </c>
      <c r="H19" s="8"/>
      <c r="I19" s="8"/>
      <c r="J19" s="8"/>
      <c r="K19" s="29" t="str">
        <f>"85,0"</f>
        <v>85,0</v>
      </c>
      <c r="L19" s="29" t="str">
        <f>"141,5760"</f>
        <v>141,5760</v>
      </c>
      <c r="M19" s="7" t="s">
        <v>320</v>
      </c>
    </row>
    <row r="20" spans="1:13">
      <c r="A20" s="10" t="s">
        <v>164</v>
      </c>
      <c r="B20" s="9" t="s">
        <v>321</v>
      </c>
      <c r="C20" s="9" t="s">
        <v>322</v>
      </c>
      <c r="D20" s="9" t="s">
        <v>323</v>
      </c>
      <c r="E20" s="9" t="s">
        <v>872</v>
      </c>
      <c r="F20" s="9" t="s">
        <v>816</v>
      </c>
      <c r="G20" s="22" t="s">
        <v>58</v>
      </c>
      <c r="H20" s="23" t="s">
        <v>58</v>
      </c>
      <c r="I20" s="22" t="s">
        <v>26</v>
      </c>
      <c r="J20" s="10"/>
      <c r="K20" s="30" t="str">
        <f>"80,0"</f>
        <v>80,0</v>
      </c>
      <c r="L20" s="30" t="str">
        <f>"132,1440"</f>
        <v>132,1440</v>
      </c>
      <c r="M20" s="9"/>
    </row>
    <row r="21" spans="1:13">
      <c r="B21" s="5" t="s">
        <v>166</v>
      </c>
    </row>
    <row r="22" spans="1:13" ht="16">
      <c r="A22" s="33" t="s">
        <v>324</v>
      </c>
      <c r="B22" s="33"/>
      <c r="C22" s="33"/>
      <c r="D22" s="33"/>
      <c r="E22" s="33"/>
      <c r="F22" s="33"/>
      <c r="G22" s="33"/>
      <c r="H22" s="33"/>
      <c r="I22" s="33"/>
      <c r="J22" s="33"/>
    </row>
    <row r="23" spans="1:13">
      <c r="A23" s="14" t="s">
        <v>167</v>
      </c>
      <c r="B23" s="13" t="s">
        <v>325</v>
      </c>
      <c r="C23" s="13" t="s">
        <v>326</v>
      </c>
      <c r="D23" s="13" t="s">
        <v>327</v>
      </c>
      <c r="E23" s="13" t="s">
        <v>875</v>
      </c>
      <c r="F23" s="13" t="s">
        <v>793</v>
      </c>
      <c r="G23" s="26" t="s">
        <v>58</v>
      </c>
      <c r="H23" s="26" t="s">
        <v>58</v>
      </c>
      <c r="I23" s="26" t="s">
        <v>58</v>
      </c>
      <c r="J23" s="14"/>
      <c r="K23" s="32">
        <v>0</v>
      </c>
      <c r="L23" s="32" t="str">
        <f>"0,0000"</f>
        <v>0,0000</v>
      </c>
      <c r="M23" s="13"/>
    </row>
    <row r="24" spans="1:13">
      <c r="B24" s="5" t="s">
        <v>166</v>
      </c>
    </row>
    <row r="25" spans="1:13" ht="16">
      <c r="A25" s="33" t="s">
        <v>46</v>
      </c>
      <c r="B25" s="33"/>
      <c r="C25" s="33"/>
      <c r="D25" s="33"/>
      <c r="E25" s="33"/>
      <c r="F25" s="33"/>
      <c r="G25" s="33"/>
      <c r="H25" s="33"/>
      <c r="I25" s="33"/>
      <c r="J25" s="33"/>
    </row>
    <row r="26" spans="1:13">
      <c r="A26" s="14" t="s">
        <v>164</v>
      </c>
      <c r="B26" s="13" t="s">
        <v>328</v>
      </c>
      <c r="C26" s="13" t="s">
        <v>750</v>
      </c>
      <c r="D26" s="13" t="s">
        <v>329</v>
      </c>
      <c r="E26" s="13" t="s">
        <v>873</v>
      </c>
      <c r="F26" s="13" t="s">
        <v>793</v>
      </c>
      <c r="G26" s="27" t="s">
        <v>34</v>
      </c>
      <c r="H26" s="26" t="s">
        <v>64</v>
      </c>
      <c r="I26" s="26" t="s">
        <v>64</v>
      </c>
      <c r="J26" s="14"/>
      <c r="K26" s="32" t="str">
        <f>"70,0"</f>
        <v>70,0</v>
      </c>
      <c r="L26" s="32" t="str">
        <f>"101,4440"</f>
        <v>101,4440</v>
      </c>
      <c r="M26" s="13" t="s">
        <v>330</v>
      </c>
    </row>
    <row r="27" spans="1:13">
      <c r="B27" s="5" t="s">
        <v>166</v>
      </c>
    </row>
    <row r="28" spans="1:13" ht="16">
      <c r="A28" s="33" t="s">
        <v>67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13">
      <c r="A29" s="8" t="s">
        <v>164</v>
      </c>
      <c r="B29" s="7" t="s">
        <v>331</v>
      </c>
      <c r="C29" s="7" t="s">
        <v>751</v>
      </c>
      <c r="D29" s="7" t="s">
        <v>332</v>
      </c>
      <c r="E29" s="7" t="s">
        <v>880</v>
      </c>
      <c r="F29" s="7" t="s">
        <v>817</v>
      </c>
      <c r="G29" s="20" t="s">
        <v>43</v>
      </c>
      <c r="H29" s="20" t="s">
        <v>13</v>
      </c>
      <c r="I29" s="21" t="s">
        <v>242</v>
      </c>
      <c r="J29" s="8"/>
      <c r="K29" s="29" t="str">
        <f>"100,0"</f>
        <v>100,0</v>
      </c>
      <c r="L29" s="29" t="str">
        <f>"123,7000"</f>
        <v>123,7000</v>
      </c>
      <c r="M29" s="7"/>
    </row>
    <row r="30" spans="1:13">
      <c r="A30" s="10" t="s">
        <v>164</v>
      </c>
      <c r="B30" s="9" t="s">
        <v>333</v>
      </c>
      <c r="C30" s="9" t="s">
        <v>334</v>
      </c>
      <c r="D30" s="9" t="s">
        <v>335</v>
      </c>
      <c r="E30" s="9" t="s">
        <v>872</v>
      </c>
      <c r="F30" s="9" t="s">
        <v>793</v>
      </c>
      <c r="G30" s="23" t="s">
        <v>60</v>
      </c>
      <c r="H30" s="22" t="s">
        <v>97</v>
      </c>
      <c r="I30" s="22" t="s">
        <v>97</v>
      </c>
      <c r="J30" s="10"/>
      <c r="K30" s="30" t="str">
        <f>"120,0"</f>
        <v>120,0</v>
      </c>
      <c r="L30" s="30" t="str">
        <f>"149,9520"</f>
        <v>149,9520</v>
      </c>
      <c r="M30" s="9" t="s">
        <v>336</v>
      </c>
    </row>
    <row r="31" spans="1:13">
      <c r="B31" s="5" t="s">
        <v>166</v>
      </c>
    </row>
    <row r="32" spans="1:13" ht="16">
      <c r="A32" s="33" t="s">
        <v>77</v>
      </c>
      <c r="B32" s="33"/>
      <c r="C32" s="33"/>
      <c r="D32" s="33"/>
      <c r="E32" s="33"/>
      <c r="F32" s="33"/>
      <c r="G32" s="33"/>
      <c r="H32" s="33"/>
      <c r="I32" s="33"/>
      <c r="J32" s="33"/>
    </row>
    <row r="33" spans="1:13">
      <c r="A33" s="8" t="s">
        <v>164</v>
      </c>
      <c r="B33" s="7" t="s">
        <v>337</v>
      </c>
      <c r="C33" s="7" t="s">
        <v>752</v>
      </c>
      <c r="D33" s="7" t="s">
        <v>338</v>
      </c>
      <c r="E33" s="7" t="s">
        <v>880</v>
      </c>
      <c r="F33" s="7" t="s">
        <v>793</v>
      </c>
      <c r="G33" s="20" t="s">
        <v>20</v>
      </c>
      <c r="H33" s="20" t="s">
        <v>83</v>
      </c>
      <c r="I33" s="20" t="s">
        <v>339</v>
      </c>
      <c r="J33" s="8"/>
      <c r="K33" s="29" t="str">
        <f>"157,5"</f>
        <v>157,5</v>
      </c>
      <c r="L33" s="29" t="str">
        <f>"193,4100"</f>
        <v>193,4100</v>
      </c>
      <c r="M33" s="7" t="s">
        <v>313</v>
      </c>
    </row>
    <row r="34" spans="1:13">
      <c r="A34" s="12" t="s">
        <v>164</v>
      </c>
      <c r="B34" s="11" t="s">
        <v>248</v>
      </c>
      <c r="C34" s="11" t="s">
        <v>249</v>
      </c>
      <c r="D34" s="11" t="s">
        <v>250</v>
      </c>
      <c r="E34" s="11" t="s">
        <v>872</v>
      </c>
      <c r="F34" s="11" t="s">
        <v>793</v>
      </c>
      <c r="G34" s="24" t="s">
        <v>20</v>
      </c>
      <c r="H34" s="24" t="s">
        <v>21</v>
      </c>
      <c r="I34" s="25" t="s">
        <v>90</v>
      </c>
      <c r="J34" s="12"/>
      <c r="K34" s="31" t="str">
        <f>"150,0"</f>
        <v>150,0</v>
      </c>
      <c r="L34" s="31" t="str">
        <f>"168,3600"</f>
        <v>168,3600</v>
      </c>
      <c r="M34" s="11"/>
    </row>
    <row r="35" spans="1:13">
      <c r="A35" s="12" t="s">
        <v>165</v>
      </c>
      <c r="B35" s="11" t="s">
        <v>340</v>
      </c>
      <c r="C35" s="11" t="s">
        <v>341</v>
      </c>
      <c r="D35" s="11" t="s">
        <v>342</v>
      </c>
      <c r="E35" s="11" t="s">
        <v>872</v>
      </c>
      <c r="F35" s="11" t="s">
        <v>818</v>
      </c>
      <c r="G35" s="24" t="s">
        <v>44</v>
      </c>
      <c r="H35" s="25" t="s">
        <v>18</v>
      </c>
      <c r="I35" s="25" t="s">
        <v>18</v>
      </c>
      <c r="J35" s="12"/>
      <c r="K35" s="31" t="str">
        <f>"130,0"</f>
        <v>130,0</v>
      </c>
      <c r="L35" s="31" t="str">
        <f>"146,5360"</f>
        <v>146,5360</v>
      </c>
      <c r="M35" s="11"/>
    </row>
    <row r="36" spans="1:13">
      <c r="A36" s="12" t="s">
        <v>168</v>
      </c>
      <c r="B36" s="11" t="s">
        <v>343</v>
      </c>
      <c r="C36" s="11" t="s">
        <v>344</v>
      </c>
      <c r="D36" s="11" t="s">
        <v>227</v>
      </c>
      <c r="E36" s="11" t="s">
        <v>872</v>
      </c>
      <c r="F36" s="11" t="s">
        <v>792</v>
      </c>
      <c r="G36" s="24" t="s">
        <v>14</v>
      </c>
      <c r="H36" s="24" t="s">
        <v>345</v>
      </c>
      <c r="I36" s="24" t="s">
        <v>262</v>
      </c>
      <c r="J36" s="12"/>
      <c r="K36" s="31" t="str">
        <f>"122,5"</f>
        <v>122,5</v>
      </c>
      <c r="L36" s="31" t="str">
        <f>"139,0620"</f>
        <v>139,0620</v>
      </c>
      <c r="M36" s="11" t="s">
        <v>39</v>
      </c>
    </row>
    <row r="37" spans="1:13">
      <c r="A37" s="12" t="s">
        <v>224</v>
      </c>
      <c r="B37" s="11" t="s">
        <v>346</v>
      </c>
      <c r="C37" s="11" t="s">
        <v>347</v>
      </c>
      <c r="D37" s="11" t="s">
        <v>348</v>
      </c>
      <c r="E37" s="11" t="s">
        <v>872</v>
      </c>
      <c r="F37" s="11" t="s">
        <v>819</v>
      </c>
      <c r="G37" s="24" t="s">
        <v>60</v>
      </c>
      <c r="H37" s="25" t="s">
        <v>97</v>
      </c>
      <c r="I37" s="25" t="s">
        <v>97</v>
      </c>
      <c r="J37" s="12"/>
      <c r="K37" s="31" t="str">
        <f>"120,0"</f>
        <v>120,0</v>
      </c>
      <c r="L37" s="31" t="str">
        <f>"136,8720"</f>
        <v>136,8720</v>
      </c>
      <c r="M37" s="11"/>
    </row>
    <row r="38" spans="1:13">
      <c r="A38" s="12" t="s">
        <v>164</v>
      </c>
      <c r="B38" s="11" t="s">
        <v>349</v>
      </c>
      <c r="C38" s="11" t="s">
        <v>350</v>
      </c>
      <c r="D38" s="11" t="s">
        <v>351</v>
      </c>
      <c r="E38" s="11" t="s">
        <v>872</v>
      </c>
      <c r="F38" s="11" t="s">
        <v>820</v>
      </c>
      <c r="G38" s="24" t="s">
        <v>21</v>
      </c>
      <c r="H38" s="24" t="s">
        <v>90</v>
      </c>
      <c r="I38" s="12"/>
      <c r="J38" s="12"/>
      <c r="K38" s="31" t="str">
        <f>"155,0"</f>
        <v>155,0</v>
      </c>
      <c r="L38" s="31" t="str">
        <f>"192,5760"</f>
        <v>192,5760</v>
      </c>
      <c r="M38" s="11"/>
    </row>
    <row r="39" spans="1:13">
      <c r="A39" s="10" t="s">
        <v>165</v>
      </c>
      <c r="B39" s="9" t="s">
        <v>352</v>
      </c>
      <c r="C39" s="9" t="s">
        <v>353</v>
      </c>
      <c r="D39" s="9" t="s">
        <v>342</v>
      </c>
      <c r="E39" s="9" t="s">
        <v>872</v>
      </c>
      <c r="F39" s="9" t="s">
        <v>821</v>
      </c>
      <c r="G39" s="23" t="s">
        <v>262</v>
      </c>
      <c r="H39" s="23" t="s">
        <v>97</v>
      </c>
      <c r="I39" s="22" t="s">
        <v>44</v>
      </c>
      <c r="J39" s="10"/>
      <c r="K39" s="30" t="str">
        <f>"125,0"</f>
        <v>125,0</v>
      </c>
      <c r="L39" s="30" t="str">
        <f>"159,4988"</f>
        <v>159,4988</v>
      </c>
      <c r="M39" s="9" t="s">
        <v>354</v>
      </c>
    </row>
    <row r="40" spans="1:13">
      <c r="B40" s="5" t="s">
        <v>166</v>
      </c>
    </row>
    <row r="41" spans="1:13" ht="16">
      <c r="A41" s="33" t="s">
        <v>175</v>
      </c>
      <c r="B41" s="33"/>
      <c r="C41" s="33"/>
      <c r="D41" s="33"/>
      <c r="E41" s="33"/>
      <c r="F41" s="33"/>
      <c r="G41" s="33"/>
      <c r="H41" s="33"/>
      <c r="I41" s="33"/>
      <c r="J41" s="33"/>
    </row>
    <row r="42" spans="1:13">
      <c r="A42" s="8" t="s">
        <v>164</v>
      </c>
      <c r="B42" s="7" t="s">
        <v>355</v>
      </c>
      <c r="C42" s="7" t="s">
        <v>753</v>
      </c>
      <c r="D42" s="7" t="s">
        <v>356</v>
      </c>
      <c r="E42" s="7" t="s">
        <v>873</v>
      </c>
      <c r="F42" s="7" t="s">
        <v>819</v>
      </c>
      <c r="G42" s="20" t="s">
        <v>64</v>
      </c>
      <c r="H42" s="20" t="s">
        <v>58</v>
      </c>
      <c r="I42" s="21" t="s">
        <v>26</v>
      </c>
      <c r="J42" s="8"/>
      <c r="K42" s="29" t="str">
        <f>"80,0"</f>
        <v>80,0</v>
      </c>
      <c r="L42" s="29" t="str">
        <f>"83,1840"</f>
        <v>83,1840</v>
      </c>
      <c r="M42" s="7" t="s">
        <v>357</v>
      </c>
    </row>
    <row r="43" spans="1:13">
      <c r="A43" s="12" t="s">
        <v>164</v>
      </c>
      <c r="B43" s="11" t="s">
        <v>358</v>
      </c>
      <c r="C43" s="11" t="s">
        <v>359</v>
      </c>
      <c r="D43" s="11" t="s">
        <v>360</v>
      </c>
      <c r="E43" s="11" t="s">
        <v>872</v>
      </c>
      <c r="F43" s="11" t="s">
        <v>791</v>
      </c>
      <c r="G43" s="24" t="s">
        <v>21</v>
      </c>
      <c r="H43" s="25" t="s">
        <v>90</v>
      </c>
      <c r="I43" s="24" t="s">
        <v>90</v>
      </c>
      <c r="J43" s="12"/>
      <c r="K43" s="31" t="str">
        <f>"155,0"</f>
        <v>155,0</v>
      </c>
      <c r="L43" s="31" t="str">
        <f>"159,8980"</f>
        <v>159,8980</v>
      </c>
      <c r="M43" s="11"/>
    </row>
    <row r="44" spans="1:13">
      <c r="A44" s="12" t="s">
        <v>165</v>
      </c>
      <c r="B44" s="11" t="s">
        <v>361</v>
      </c>
      <c r="C44" s="11" t="s">
        <v>362</v>
      </c>
      <c r="D44" s="11" t="s">
        <v>363</v>
      </c>
      <c r="E44" s="11" t="s">
        <v>872</v>
      </c>
      <c r="F44" s="11" t="s">
        <v>822</v>
      </c>
      <c r="G44" s="24" t="s">
        <v>19</v>
      </c>
      <c r="H44" s="24" t="s">
        <v>20</v>
      </c>
      <c r="I44" s="25" t="s">
        <v>21</v>
      </c>
      <c r="J44" s="12"/>
      <c r="K44" s="31" t="str">
        <f>"145,0"</f>
        <v>145,0</v>
      </c>
      <c r="L44" s="31" t="str">
        <f>"152,1340"</f>
        <v>152,1340</v>
      </c>
      <c r="M44" s="11" t="s">
        <v>364</v>
      </c>
    </row>
    <row r="45" spans="1:13">
      <c r="A45" s="12" t="s">
        <v>168</v>
      </c>
      <c r="B45" s="11" t="s">
        <v>365</v>
      </c>
      <c r="C45" s="11" t="s">
        <v>366</v>
      </c>
      <c r="D45" s="11" t="s">
        <v>367</v>
      </c>
      <c r="E45" s="11" t="s">
        <v>872</v>
      </c>
      <c r="F45" s="11" t="s">
        <v>823</v>
      </c>
      <c r="G45" s="24" t="s">
        <v>122</v>
      </c>
      <c r="H45" s="25" t="s">
        <v>19</v>
      </c>
      <c r="I45" s="25" t="s">
        <v>106</v>
      </c>
      <c r="J45" s="12"/>
      <c r="K45" s="31" t="str">
        <f>"132,5"</f>
        <v>132,5</v>
      </c>
      <c r="L45" s="31" t="str">
        <f>"138,8600"</f>
        <v>138,8600</v>
      </c>
      <c r="M45" s="11" t="s">
        <v>714</v>
      </c>
    </row>
    <row r="46" spans="1:13">
      <c r="A46" s="12" t="s">
        <v>224</v>
      </c>
      <c r="B46" s="11" t="s">
        <v>368</v>
      </c>
      <c r="C46" s="11" t="s">
        <v>369</v>
      </c>
      <c r="D46" s="11" t="s">
        <v>370</v>
      </c>
      <c r="E46" s="11" t="s">
        <v>872</v>
      </c>
      <c r="F46" s="11" t="s">
        <v>792</v>
      </c>
      <c r="G46" s="24" t="s">
        <v>92</v>
      </c>
      <c r="H46" s="25" t="s">
        <v>122</v>
      </c>
      <c r="I46" s="25" t="s">
        <v>122</v>
      </c>
      <c r="J46" s="12"/>
      <c r="K46" s="31" t="str">
        <f>"127,5"</f>
        <v>127,5</v>
      </c>
      <c r="L46" s="31" t="str">
        <f>"139,4340"</f>
        <v>139,4340</v>
      </c>
      <c r="M46" s="11" t="s">
        <v>39</v>
      </c>
    </row>
    <row r="47" spans="1:13">
      <c r="A47" s="12" t="s">
        <v>164</v>
      </c>
      <c r="B47" s="11" t="s">
        <v>371</v>
      </c>
      <c r="C47" s="11" t="s">
        <v>372</v>
      </c>
      <c r="D47" s="11" t="s">
        <v>373</v>
      </c>
      <c r="E47" s="11" t="s">
        <v>878</v>
      </c>
      <c r="F47" s="11" t="s">
        <v>824</v>
      </c>
      <c r="G47" s="24" t="s">
        <v>21</v>
      </c>
      <c r="H47" s="24" t="s">
        <v>90</v>
      </c>
      <c r="I47" s="24" t="s">
        <v>339</v>
      </c>
      <c r="J47" s="12"/>
      <c r="K47" s="31" t="str">
        <f>"157,5"</f>
        <v>157,5</v>
      </c>
      <c r="L47" s="31" t="str">
        <f>"187,5730"</f>
        <v>187,5730</v>
      </c>
      <c r="M47" s="11"/>
    </row>
    <row r="48" spans="1:13">
      <c r="A48" s="10" t="s">
        <v>164</v>
      </c>
      <c r="B48" s="9" t="s">
        <v>257</v>
      </c>
      <c r="C48" s="9" t="s">
        <v>258</v>
      </c>
      <c r="D48" s="9" t="s">
        <v>259</v>
      </c>
      <c r="E48" s="9" t="s">
        <v>882</v>
      </c>
      <c r="F48" s="9" t="s">
        <v>825</v>
      </c>
      <c r="G48" s="23" t="s">
        <v>260</v>
      </c>
      <c r="H48" s="23" t="s">
        <v>261</v>
      </c>
      <c r="I48" s="23" t="s">
        <v>262</v>
      </c>
      <c r="J48" s="10"/>
      <c r="K48" s="30" t="str">
        <f>"122,5"</f>
        <v>122,5</v>
      </c>
      <c r="L48" s="30" t="str">
        <f>"245,9202"</f>
        <v>245,9202</v>
      </c>
      <c r="M48" s="9"/>
    </row>
    <row r="49" spans="1:13">
      <c r="B49" s="5" t="s">
        <v>166</v>
      </c>
    </row>
    <row r="50" spans="1:13" ht="16">
      <c r="A50" s="33" t="s">
        <v>100</v>
      </c>
      <c r="B50" s="33"/>
      <c r="C50" s="33"/>
      <c r="D50" s="33"/>
      <c r="E50" s="33"/>
      <c r="F50" s="33"/>
      <c r="G50" s="33"/>
      <c r="H50" s="33"/>
      <c r="I50" s="33"/>
      <c r="J50" s="33"/>
    </row>
    <row r="51" spans="1:13">
      <c r="A51" s="8" t="s">
        <v>164</v>
      </c>
      <c r="B51" s="7" t="s">
        <v>374</v>
      </c>
      <c r="C51" s="7" t="s">
        <v>375</v>
      </c>
      <c r="D51" s="7" t="s">
        <v>376</v>
      </c>
      <c r="E51" s="7" t="s">
        <v>872</v>
      </c>
      <c r="F51" s="7" t="s">
        <v>793</v>
      </c>
      <c r="G51" s="20" t="s">
        <v>203</v>
      </c>
      <c r="H51" s="20" t="s">
        <v>114</v>
      </c>
      <c r="I51" s="20" t="s">
        <v>377</v>
      </c>
      <c r="J51" s="8"/>
      <c r="K51" s="29" t="str">
        <f>"192,5"</f>
        <v>192,5</v>
      </c>
      <c r="L51" s="29" t="str">
        <f>"190,4210"</f>
        <v>190,4210</v>
      </c>
      <c r="M51" s="7" t="s">
        <v>378</v>
      </c>
    </row>
    <row r="52" spans="1:13">
      <c r="A52" s="12" t="s">
        <v>165</v>
      </c>
      <c r="B52" s="11" t="s">
        <v>379</v>
      </c>
      <c r="C52" s="11" t="s">
        <v>380</v>
      </c>
      <c r="D52" s="11" t="s">
        <v>381</v>
      </c>
      <c r="E52" s="11" t="s">
        <v>872</v>
      </c>
      <c r="F52" s="11" t="s">
        <v>792</v>
      </c>
      <c r="G52" s="24" t="s">
        <v>84</v>
      </c>
      <c r="H52" s="24" t="s">
        <v>182</v>
      </c>
      <c r="I52" s="25" t="s">
        <v>255</v>
      </c>
      <c r="J52" s="12"/>
      <c r="K52" s="31" t="str">
        <f>"175,0"</f>
        <v>175,0</v>
      </c>
      <c r="L52" s="31" t="str">
        <f>"169,8900"</f>
        <v>169,8900</v>
      </c>
      <c r="M52" s="11" t="s">
        <v>39</v>
      </c>
    </row>
    <row r="53" spans="1:13">
      <c r="A53" s="12" t="s">
        <v>167</v>
      </c>
      <c r="B53" s="11" t="s">
        <v>382</v>
      </c>
      <c r="C53" s="11" t="s">
        <v>383</v>
      </c>
      <c r="D53" s="11" t="s">
        <v>269</v>
      </c>
      <c r="E53" s="11" t="s">
        <v>872</v>
      </c>
      <c r="F53" s="11" t="s">
        <v>826</v>
      </c>
      <c r="G53" s="25" t="s">
        <v>92</v>
      </c>
      <c r="H53" s="25" t="s">
        <v>122</v>
      </c>
      <c r="I53" s="25" t="s">
        <v>122</v>
      </c>
      <c r="J53" s="12"/>
      <c r="K53" s="31">
        <v>0</v>
      </c>
      <c r="L53" s="31" t="str">
        <f>"0,0000"</f>
        <v>0,0000</v>
      </c>
      <c r="M53" s="11" t="s">
        <v>22</v>
      </c>
    </row>
    <row r="54" spans="1:13">
      <c r="A54" s="12" t="s">
        <v>167</v>
      </c>
      <c r="B54" s="11" t="s">
        <v>267</v>
      </c>
      <c r="C54" s="11" t="s">
        <v>268</v>
      </c>
      <c r="D54" s="11" t="s">
        <v>269</v>
      </c>
      <c r="E54" s="11" t="s">
        <v>872</v>
      </c>
      <c r="F54" s="11" t="s">
        <v>827</v>
      </c>
      <c r="G54" s="25" t="s">
        <v>183</v>
      </c>
      <c r="H54" s="25" t="s">
        <v>183</v>
      </c>
      <c r="I54" s="25" t="s">
        <v>183</v>
      </c>
      <c r="J54" s="12"/>
      <c r="K54" s="31">
        <v>0</v>
      </c>
      <c r="L54" s="31" t="str">
        <f>"0,0000"</f>
        <v>0,0000</v>
      </c>
      <c r="M54" s="11" t="s">
        <v>270</v>
      </c>
    </row>
    <row r="55" spans="1:13">
      <c r="A55" s="12" t="s">
        <v>167</v>
      </c>
      <c r="B55" s="11" t="s">
        <v>384</v>
      </c>
      <c r="C55" s="11" t="s">
        <v>385</v>
      </c>
      <c r="D55" s="11" t="s">
        <v>269</v>
      </c>
      <c r="E55" s="11" t="s">
        <v>875</v>
      </c>
      <c r="F55" s="11" t="s">
        <v>828</v>
      </c>
      <c r="G55" s="25" t="s">
        <v>106</v>
      </c>
      <c r="H55" s="25" t="s">
        <v>83</v>
      </c>
      <c r="I55" s="12"/>
      <c r="J55" s="12"/>
      <c r="K55" s="31">
        <v>0</v>
      </c>
      <c r="L55" s="31" t="str">
        <f>"0,0000"</f>
        <v>0,0000</v>
      </c>
      <c r="M55" s="11" t="s">
        <v>386</v>
      </c>
    </row>
    <row r="56" spans="1:13">
      <c r="A56" s="10" t="s">
        <v>164</v>
      </c>
      <c r="B56" s="9" t="s">
        <v>387</v>
      </c>
      <c r="C56" s="9" t="s">
        <v>388</v>
      </c>
      <c r="D56" s="9" t="s">
        <v>389</v>
      </c>
      <c r="E56" s="9" t="s">
        <v>874</v>
      </c>
      <c r="F56" s="9" t="s">
        <v>793</v>
      </c>
      <c r="G56" s="23" t="s">
        <v>71</v>
      </c>
      <c r="H56" s="23" t="s">
        <v>60</v>
      </c>
      <c r="I56" s="22" t="s">
        <v>97</v>
      </c>
      <c r="J56" s="10"/>
      <c r="K56" s="30" t="str">
        <f>"120,0"</f>
        <v>120,0</v>
      </c>
      <c r="L56" s="30" t="str">
        <f>"171,0727"</f>
        <v>171,0727</v>
      </c>
      <c r="M56" s="9"/>
    </row>
    <row r="57" spans="1:13">
      <c r="B57" s="5" t="s">
        <v>166</v>
      </c>
    </row>
    <row r="58" spans="1:13" ht="16">
      <c r="A58" s="33" t="s">
        <v>125</v>
      </c>
      <c r="B58" s="33"/>
      <c r="C58" s="33"/>
      <c r="D58" s="33"/>
      <c r="E58" s="33"/>
      <c r="F58" s="33"/>
      <c r="G58" s="33"/>
      <c r="H58" s="33"/>
      <c r="I58" s="33"/>
      <c r="J58" s="33"/>
    </row>
    <row r="59" spans="1:13">
      <c r="A59" s="8" t="s">
        <v>164</v>
      </c>
      <c r="B59" s="7" t="s">
        <v>390</v>
      </c>
      <c r="C59" s="7" t="s">
        <v>391</v>
      </c>
      <c r="D59" s="7" t="s">
        <v>392</v>
      </c>
      <c r="E59" s="7" t="s">
        <v>872</v>
      </c>
      <c r="F59" s="7" t="s">
        <v>829</v>
      </c>
      <c r="G59" s="20" t="s">
        <v>114</v>
      </c>
      <c r="H59" s="20" t="s">
        <v>104</v>
      </c>
      <c r="I59" s="21" t="s">
        <v>115</v>
      </c>
      <c r="J59" s="8"/>
      <c r="K59" s="29" t="str">
        <f>"200,0"</f>
        <v>200,0</v>
      </c>
      <c r="L59" s="29" t="str">
        <f>"183,4000"</f>
        <v>183,4000</v>
      </c>
      <c r="M59" s="7" t="s">
        <v>393</v>
      </c>
    </row>
    <row r="60" spans="1:13">
      <c r="A60" s="12" t="s">
        <v>165</v>
      </c>
      <c r="B60" s="11" t="s">
        <v>394</v>
      </c>
      <c r="C60" s="11" t="s">
        <v>395</v>
      </c>
      <c r="D60" s="11" t="s">
        <v>237</v>
      </c>
      <c r="E60" s="11" t="s">
        <v>872</v>
      </c>
      <c r="F60" s="11" t="s">
        <v>830</v>
      </c>
      <c r="G60" s="24" t="s">
        <v>182</v>
      </c>
      <c r="H60" s="25" t="s">
        <v>85</v>
      </c>
      <c r="I60" s="24" t="s">
        <v>85</v>
      </c>
      <c r="J60" s="25" t="s">
        <v>294</v>
      </c>
      <c r="K60" s="31" t="str">
        <f>"182,5"</f>
        <v>182,5</v>
      </c>
      <c r="L60" s="31" t="str">
        <f>"167,8635"</f>
        <v>167,8635</v>
      </c>
      <c r="M60" s="11"/>
    </row>
    <row r="61" spans="1:13">
      <c r="A61" s="12" t="s">
        <v>168</v>
      </c>
      <c r="B61" s="11" t="s">
        <v>396</v>
      </c>
      <c r="C61" s="11" t="s">
        <v>397</v>
      </c>
      <c r="D61" s="11" t="s">
        <v>398</v>
      </c>
      <c r="E61" s="11" t="s">
        <v>872</v>
      </c>
      <c r="F61" s="11" t="s">
        <v>826</v>
      </c>
      <c r="G61" s="24" t="s">
        <v>121</v>
      </c>
      <c r="H61" s="25" t="s">
        <v>114</v>
      </c>
      <c r="I61" s="25" t="s">
        <v>114</v>
      </c>
      <c r="J61" s="12"/>
      <c r="K61" s="31" t="str">
        <f>"180,0"</f>
        <v>180,0</v>
      </c>
      <c r="L61" s="31" t="str">
        <f>"165,4560"</f>
        <v>165,4560</v>
      </c>
      <c r="M61" s="11" t="s">
        <v>266</v>
      </c>
    </row>
    <row r="62" spans="1:13">
      <c r="A62" s="12" t="s">
        <v>164</v>
      </c>
      <c r="B62" s="11" t="s">
        <v>399</v>
      </c>
      <c r="C62" s="11" t="s">
        <v>400</v>
      </c>
      <c r="D62" s="11" t="s">
        <v>401</v>
      </c>
      <c r="E62" s="11" t="s">
        <v>875</v>
      </c>
      <c r="F62" s="11" t="s">
        <v>831</v>
      </c>
      <c r="G62" s="24" t="s">
        <v>20</v>
      </c>
      <c r="H62" s="24" t="s">
        <v>90</v>
      </c>
      <c r="I62" s="24" t="s">
        <v>402</v>
      </c>
      <c r="J62" s="12"/>
      <c r="K62" s="31" t="str">
        <f>"162,5"</f>
        <v>162,5</v>
      </c>
      <c r="L62" s="31" t="str">
        <f>"152,5487"</f>
        <v>152,5487</v>
      </c>
      <c r="M62" s="11" t="s">
        <v>403</v>
      </c>
    </row>
    <row r="63" spans="1:13">
      <c r="A63" s="12" t="s">
        <v>164</v>
      </c>
      <c r="B63" s="11" t="s">
        <v>394</v>
      </c>
      <c r="C63" s="11" t="s">
        <v>404</v>
      </c>
      <c r="D63" s="11" t="s">
        <v>237</v>
      </c>
      <c r="E63" s="11" t="s">
        <v>878</v>
      </c>
      <c r="F63" s="11" t="s">
        <v>830</v>
      </c>
      <c r="G63" s="24" t="s">
        <v>182</v>
      </c>
      <c r="H63" s="25" t="s">
        <v>85</v>
      </c>
      <c r="I63" s="24" t="s">
        <v>85</v>
      </c>
      <c r="J63" s="25" t="s">
        <v>294</v>
      </c>
      <c r="K63" s="31" t="str">
        <f>"182,5"</f>
        <v>182,5</v>
      </c>
      <c r="L63" s="31" t="str">
        <f>"196,0646"</f>
        <v>196,0646</v>
      </c>
      <c r="M63" s="11"/>
    </row>
    <row r="64" spans="1:13">
      <c r="A64" s="10" t="s">
        <v>164</v>
      </c>
      <c r="B64" s="9" t="s">
        <v>405</v>
      </c>
      <c r="C64" s="9" t="s">
        <v>406</v>
      </c>
      <c r="D64" s="9" t="s">
        <v>407</v>
      </c>
      <c r="E64" s="9" t="s">
        <v>874</v>
      </c>
      <c r="F64" s="9" t="s">
        <v>825</v>
      </c>
      <c r="G64" s="23" t="s">
        <v>122</v>
      </c>
      <c r="H64" s="23" t="s">
        <v>19</v>
      </c>
      <c r="I64" s="22" t="s">
        <v>408</v>
      </c>
      <c r="J64" s="10"/>
      <c r="K64" s="30" t="str">
        <f>"140,0"</f>
        <v>140,0</v>
      </c>
      <c r="L64" s="30" t="str">
        <f>"201,0900"</f>
        <v>201,0900</v>
      </c>
      <c r="M64" s="9"/>
    </row>
    <row r="65" spans="1:13">
      <c r="B65" s="5" t="s">
        <v>166</v>
      </c>
    </row>
    <row r="66" spans="1:13" ht="16">
      <c r="A66" s="33" t="s">
        <v>277</v>
      </c>
      <c r="B66" s="33"/>
      <c r="C66" s="33"/>
      <c r="D66" s="33"/>
      <c r="E66" s="33"/>
      <c r="F66" s="33"/>
      <c r="G66" s="33"/>
      <c r="H66" s="33"/>
      <c r="I66" s="33"/>
      <c r="J66" s="33"/>
    </row>
    <row r="67" spans="1:13">
      <c r="A67" s="8" t="s">
        <v>164</v>
      </c>
      <c r="B67" s="7" t="s">
        <v>409</v>
      </c>
      <c r="C67" s="7" t="s">
        <v>410</v>
      </c>
      <c r="D67" s="7" t="s">
        <v>411</v>
      </c>
      <c r="E67" s="7" t="s">
        <v>872</v>
      </c>
      <c r="F67" s="7" t="s">
        <v>832</v>
      </c>
      <c r="G67" s="20" t="s">
        <v>182</v>
      </c>
      <c r="H67" s="20" t="s">
        <v>203</v>
      </c>
      <c r="I67" s="21" t="s">
        <v>114</v>
      </c>
      <c r="J67" s="8"/>
      <c r="K67" s="29" t="str">
        <f>"185,0"</f>
        <v>185,0</v>
      </c>
      <c r="L67" s="29" t="str">
        <f>"164,6870"</f>
        <v>164,6870</v>
      </c>
      <c r="M67" s="7" t="s">
        <v>783</v>
      </c>
    </row>
    <row r="68" spans="1:13">
      <c r="A68" s="12" t="s">
        <v>165</v>
      </c>
      <c r="B68" s="11" t="s">
        <v>412</v>
      </c>
      <c r="C68" s="11" t="s">
        <v>413</v>
      </c>
      <c r="D68" s="11" t="s">
        <v>414</v>
      </c>
      <c r="E68" s="11" t="s">
        <v>872</v>
      </c>
      <c r="F68" s="11" t="s">
        <v>812</v>
      </c>
      <c r="G68" s="24" t="s">
        <v>203</v>
      </c>
      <c r="H68" s="25" t="s">
        <v>114</v>
      </c>
      <c r="I68" s="25" t="s">
        <v>114</v>
      </c>
      <c r="J68" s="12"/>
      <c r="K68" s="31" t="str">
        <f>"185,0"</f>
        <v>185,0</v>
      </c>
      <c r="L68" s="31" t="str">
        <f>"164,3910"</f>
        <v>164,3910</v>
      </c>
      <c r="M68" s="11"/>
    </row>
    <row r="69" spans="1:13">
      <c r="A69" s="12" t="s">
        <v>168</v>
      </c>
      <c r="B69" s="11" t="s">
        <v>415</v>
      </c>
      <c r="C69" s="11" t="s">
        <v>416</v>
      </c>
      <c r="D69" s="11" t="s">
        <v>417</v>
      </c>
      <c r="E69" s="11" t="s">
        <v>872</v>
      </c>
      <c r="F69" s="11" t="s">
        <v>792</v>
      </c>
      <c r="G69" s="24" t="s">
        <v>60</v>
      </c>
      <c r="H69" s="24" t="s">
        <v>44</v>
      </c>
      <c r="I69" s="25" t="s">
        <v>18</v>
      </c>
      <c r="J69" s="12"/>
      <c r="K69" s="31" t="str">
        <f>"130,0"</f>
        <v>130,0</v>
      </c>
      <c r="L69" s="31" t="str">
        <f>"116,3500"</f>
        <v>116,3500</v>
      </c>
      <c r="M69" s="11" t="s">
        <v>39</v>
      </c>
    </row>
    <row r="70" spans="1:13">
      <c r="A70" s="10" t="s">
        <v>164</v>
      </c>
      <c r="B70" s="9" t="s">
        <v>418</v>
      </c>
      <c r="C70" s="9" t="s">
        <v>419</v>
      </c>
      <c r="D70" s="9" t="s">
        <v>420</v>
      </c>
      <c r="E70" s="9" t="s">
        <v>874</v>
      </c>
      <c r="F70" s="9" t="s">
        <v>833</v>
      </c>
      <c r="G70" s="23" t="s">
        <v>18</v>
      </c>
      <c r="H70" s="23" t="s">
        <v>19</v>
      </c>
      <c r="I70" s="23" t="s">
        <v>20</v>
      </c>
      <c r="J70" s="22" t="s">
        <v>421</v>
      </c>
      <c r="K70" s="30" t="str">
        <f>"145,0"</f>
        <v>145,0</v>
      </c>
      <c r="L70" s="30" t="str">
        <f>"180,9382"</f>
        <v>180,9382</v>
      </c>
      <c r="M70" s="9" t="s">
        <v>422</v>
      </c>
    </row>
    <row r="71" spans="1:13">
      <c r="B71" s="5" t="s">
        <v>166</v>
      </c>
    </row>
    <row r="72" spans="1:13" ht="16">
      <c r="A72" s="33" t="s">
        <v>423</v>
      </c>
      <c r="B72" s="33"/>
      <c r="C72" s="33"/>
      <c r="D72" s="33"/>
      <c r="E72" s="33"/>
      <c r="F72" s="33"/>
      <c r="G72" s="33"/>
      <c r="H72" s="33"/>
      <c r="I72" s="33"/>
      <c r="J72" s="33"/>
    </row>
    <row r="73" spans="1:13">
      <c r="A73" s="14" t="s">
        <v>164</v>
      </c>
      <c r="B73" s="13" t="s">
        <v>424</v>
      </c>
      <c r="C73" s="13" t="s">
        <v>425</v>
      </c>
      <c r="D73" s="13" t="s">
        <v>426</v>
      </c>
      <c r="E73" s="13" t="s">
        <v>878</v>
      </c>
      <c r="F73" s="13" t="s">
        <v>793</v>
      </c>
      <c r="G73" s="27" t="s">
        <v>93</v>
      </c>
      <c r="H73" s="27" t="s">
        <v>254</v>
      </c>
      <c r="I73" s="27" t="s">
        <v>255</v>
      </c>
      <c r="J73" s="27" t="s">
        <v>121</v>
      </c>
      <c r="K73" s="32" t="str">
        <f>"177,5"</f>
        <v>177,5</v>
      </c>
      <c r="L73" s="32" t="str">
        <f>"191,8379"</f>
        <v>191,8379</v>
      </c>
      <c r="M73" s="13"/>
    </row>
    <row r="74" spans="1:13">
      <c r="B74" s="5" t="s">
        <v>166</v>
      </c>
    </row>
    <row r="75" spans="1:13" ht="16">
      <c r="A75" s="33" t="s">
        <v>243</v>
      </c>
      <c r="B75" s="33"/>
      <c r="C75" s="33"/>
      <c r="D75" s="33"/>
      <c r="E75" s="33"/>
      <c r="F75" s="33"/>
      <c r="G75" s="33"/>
      <c r="H75" s="33"/>
      <c r="I75" s="33"/>
      <c r="J75" s="33"/>
    </row>
    <row r="76" spans="1:13">
      <c r="A76" s="14" t="s">
        <v>164</v>
      </c>
      <c r="B76" s="13" t="s">
        <v>427</v>
      </c>
      <c r="C76" s="13" t="s">
        <v>428</v>
      </c>
      <c r="D76" s="13" t="s">
        <v>429</v>
      </c>
      <c r="E76" s="13" t="s">
        <v>875</v>
      </c>
      <c r="F76" s="13" t="s">
        <v>834</v>
      </c>
      <c r="G76" s="27" t="s">
        <v>136</v>
      </c>
      <c r="H76" s="27" t="s">
        <v>430</v>
      </c>
      <c r="I76" s="14"/>
      <c r="J76" s="14"/>
      <c r="K76" s="32" t="str">
        <f>"232,5"</f>
        <v>232,5</v>
      </c>
      <c r="L76" s="32" t="str">
        <f>"215,2331"</f>
        <v>215,2331</v>
      </c>
      <c r="M76" s="13"/>
    </row>
    <row r="77" spans="1:13">
      <c r="B77" s="5" t="s">
        <v>166</v>
      </c>
    </row>
    <row r="80" spans="1:13" ht="18">
      <c r="B80" s="15" t="s">
        <v>140</v>
      </c>
      <c r="C80" s="15"/>
    </row>
    <row r="81" spans="1:6" ht="16">
      <c r="B81" s="16" t="s">
        <v>141</v>
      </c>
      <c r="C81" s="16"/>
    </row>
    <row r="82" spans="1:6" ht="14">
      <c r="B82" s="17"/>
      <c r="C82" s="18" t="s">
        <v>142</v>
      </c>
    </row>
    <row r="83" spans="1:6" ht="14">
      <c r="A83" s="1"/>
      <c r="B83" s="19" t="s">
        <v>143</v>
      </c>
      <c r="C83" s="19" t="s">
        <v>144</v>
      </c>
      <c r="D83" s="19" t="s">
        <v>742</v>
      </c>
      <c r="E83" s="19" t="s">
        <v>295</v>
      </c>
      <c r="F83" s="19" t="s">
        <v>147</v>
      </c>
    </row>
    <row r="84" spans="1:6">
      <c r="B84" s="5" t="s">
        <v>299</v>
      </c>
      <c r="C84" s="5" t="s">
        <v>142</v>
      </c>
      <c r="D84" s="6" t="s">
        <v>148</v>
      </c>
      <c r="E84" s="6" t="s">
        <v>34</v>
      </c>
      <c r="F84" s="6" t="s">
        <v>431</v>
      </c>
    </row>
    <row r="85" spans="1:6">
      <c r="B85" s="5" t="s">
        <v>23</v>
      </c>
      <c r="C85" s="5" t="s">
        <v>142</v>
      </c>
      <c r="D85" s="6" t="s">
        <v>148</v>
      </c>
      <c r="E85" s="6" t="s">
        <v>29</v>
      </c>
      <c r="F85" s="6" t="s">
        <v>432</v>
      </c>
    </row>
    <row r="86" spans="1:6">
      <c r="B86" s="5" t="s">
        <v>321</v>
      </c>
      <c r="C86" s="5" t="s">
        <v>142</v>
      </c>
      <c r="D86" s="6" t="s">
        <v>152</v>
      </c>
      <c r="E86" s="6" t="s">
        <v>58</v>
      </c>
      <c r="F86" s="6" t="s">
        <v>433</v>
      </c>
    </row>
    <row r="88" spans="1:6" ht="16">
      <c r="B88" s="16" t="s">
        <v>155</v>
      </c>
      <c r="C88" s="16"/>
    </row>
    <row r="89" spans="1:6" ht="14">
      <c r="B89" s="17"/>
      <c r="C89" s="18" t="s">
        <v>142</v>
      </c>
    </row>
    <row r="90" spans="1:6" ht="14">
      <c r="A90" s="1"/>
      <c r="B90" s="19" t="s">
        <v>143</v>
      </c>
      <c r="C90" s="19" t="s">
        <v>144</v>
      </c>
      <c r="D90" s="19" t="s">
        <v>742</v>
      </c>
      <c r="E90" s="19" t="s">
        <v>295</v>
      </c>
      <c r="F90" s="19" t="s">
        <v>147</v>
      </c>
    </row>
    <row r="91" spans="1:6">
      <c r="B91" s="5" t="s">
        <v>374</v>
      </c>
      <c r="C91" s="5" t="s">
        <v>142</v>
      </c>
      <c r="D91" s="6" t="s">
        <v>159</v>
      </c>
      <c r="E91" s="6" t="s">
        <v>377</v>
      </c>
      <c r="F91" s="6" t="s">
        <v>434</v>
      </c>
    </row>
    <row r="92" spans="1:6">
      <c r="B92" s="5" t="s">
        <v>390</v>
      </c>
      <c r="C92" s="5" t="s">
        <v>142</v>
      </c>
      <c r="D92" s="6" t="s">
        <v>157</v>
      </c>
      <c r="E92" s="6" t="s">
        <v>104</v>
      </c>
      <c r="F92" s="6" t="s">
        <v>435</v>
      </c>
    </row>
    <row r="93" spans="1:6">
      <c r="B93" s="5" t="s">
        <v>379</v>
      </c>
      <c r="C93" s="5" t="s">
        <v>142</v>
      </c>
      <c r="D93" s="6" t="s">
        <v>159</v>
      </c>
      <c r="E93" s="6" t="s">
        <v>182</v>
      </c>
      <c r="F93" s="6" t="s">
        <v>436</v>
      </c>
    </row>
    <row r="95" spans="1:6" ht="14">
      <c r="B95" s="17"/>
      <c r="C95" s="18" t="s">
        <v>160</v>
      </c>
    </row>
    <row r="96" spans="1:6" ht="14">
      <c r="A96" s="1"/>
      <c r="B96" s="19" t="s">
        <v>143</v>
      </c>
      <c r="C96" s="19" t="s">
        <v>144</v>
      </c>
      <c r="D96" s="19" t="s">
        <v>742</v>
      </c>
      <c r="E96" s="19" t="s">
        <v>295</v>
      </c>
      <c r="F96" s="19" t="s">
        <v>147</v>
      </c>
    </row>
    <row r="97" spans="2:6">
      <c r="B97" s="5" t="s">
        <v>257</v>
      </c>
      <c r="C97" s="5" t="s">
        <v>296</v>
      </c>
      <c r="D97" s="6" t="s">
        <v>222</v>
      </c>
      <c r="E97" s="6" t="s">
        <v>262</v>
      </c>
      <c r="F97" s="6" t="s">
        <v>297</v>
      </c>
    </row>
    <row r="98" spans="2:6">
      <c r="B98" s="5" t="s">
        <v>427</v>
      </c>
      <c r="C98" s="5" t="s">
        <v>163</v>
      </c>
      <c r="D98" s="6" t="s">
        <v>246</v>
      </c>
      <c r="E98" s="6" t="s">
        <v>430</v>
      </c>
      <c r="F98" s="6" t="s">
        <v>437</v>
      </c>
    </row>
    <row r="99" spans="2:6">
      <c r="B99" s="5" t="s">
        <v>405</v>
      </c>
      <c r="C99" s="5" t="s">
        <v>162</v>
      </c>
      <c r="D99" s="6" t="s">
        <v>157</v>
      </c>
      <c r="E99" s="6" t="s">
        <v>19</v>
      </c>
      <c r="F99" s="6" t="s">
        <v>438</v>
      </c>
    </row>
    <row r="100" spans="2:6">
      <c r="B100" s="5" t="s">
        <v>166</v>
      </c>
    </row>
  </sheetData>
  <mergeCells count="25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75:J75"/>
    <mergeCell ref="B3:B4"/>
    <mergeCell ref="A32:J32"/>
    <mergeCell ref="A41:J41"/>
    <mergeCell ref="A50:J50"/>
    <mergeCell ref="A58:J58"/>
    <mergeCell ref="A66:J66"/>
    <mergeCell ref="A72:J72"/>
    <mergeCell ref="A10:J10"/>
    <mergeCell ref="A13:J13"/>
    <mergeCell ref="A18:J18"/>
    <mergeCell ref="A22:J22"/>
    <mergeCell ref="A25:J25"/>
    <mergeCell ref="A28:J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2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1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9.33203125" style="5" bestFit="1" customWidth="1"/>
    <col min="7" max="10" width="5.5" style="6" customWidth="1"/>
    <col min="11" max="11" width="10.83203125" style="6" customWidth="1"/>
    <col min="12" max="12" width="8.5" style="6" bestFit="1" customWidth="1"/>
    <col min="13" max="13" width="18.5" style="5" customWidth="1"/>
    <col min="14" max="16384" width="9.1640625" style="3"/>
  </cols>
  <sheetData>
    <row r="1" spans="1:13" s="2" customFormat="1" ht="29" customHeight="1">
      <c r="A1" s="42" t="s">
        <v>726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169</v>
      </c>
      <c r="B3" s="34" t="s">
        <v>0</v>
      </c>
      <c r="C3" s="52" t="s">
        <v>879</v>
      </c>
      <c r="D3" s="52" t="s">
        <v>5</v>
      </c>
      <c r="E3" s="38" t="s">
        <v>871</v>
      </c>
      <c r="F3" s="38" t="s">
        <v>782</v>
      </c>
      <c r="G3" s="38" t="s">
        <v>7</v>
      </c>
      <c r="H3" s="38"/>
      <c r="I3" s="38"/>
      <c r="J3" s="38"/>
      <c r="K3" s="38" t="s">
        <v>298</v>
      </c>
      <c r="L3" s="38" t="s">
        <v>3</v>
      </c>
      <c r="M3" s="53" t="s">
        <v>2</v>
      </c>
    </row>
    <row r="4" spans="1:13" s="1" customFormat="1" ht="21" customHeight="1" thickBot="1">
      <c r="A4" s="51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54"/>
    </row>
    <row r="5" spans="1:13" ht="16">
      <c r="A5" s="36" t="s">
        <v>77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14" t="s">
        <v>164</v>
      </c>
      <c r="B6" s="13" t="s">
        <v>248</v>
      </c>
      <c r="C6" s="13" t="s">
        <v>249</v>
      </c>
      <c r="D6" s="13" t="s">
        <v>250</v>
      </c>
      <c r="E6" s="13" t="s">
        <v>872</v>
      </c>
      <c r="F6" s="13" t="s">
        <v>793</v>
      </c>
      <c r="G6" s="27" t="s">
        <v>20</v>
      </c>
      <c r="H6" s="27" t="s">
        <v>21</v>
      </c>
      <c r="I6" s="26" t="s">
        <v>90</v>
      </c>
      <c r="J6" s="14"/>
      <c r="K6" s="14" t="str">
        <f>"150,0"</f>
        <v>150,0</v>
      </c>
      <c r="L6" s="14" t="str">
        <f>"168,3600"</f>
        <v>168,3600</v>
      </c>
      <c r="M6" s="13"/>
    </row>
    <row r="7" spans="1:13">
      <c r="B7" s="5" t="s">
        <v>166</v>
      </c>
    </row>
    <row r="8" spans="1:13" ht="16">
      <c r="A8" s="33" t="s">
        <v>175</v>
      </c>
      <c r="B8" s="33"/>
      <c r="C8" s="33"/>
      <c r="D8" s="33"/>
      <c r="E8" s="33"/>
      <c r="F8" s="33"/>
      <c r="G8" s="33"/>
      <c r="H8" s="33"/>
      <c r="I8" s="33"/>
      <c r="J8" s="33"/>
    </row>
    <row r="9" spans="1:13">
      <c r="A9" s="8" t="s">
        <v>164</v>
      </c>
      <c r="B9" s="7" t="s">
        <v>251</v>
      </c>
      <c r="C9" s="7" t="s">
        <v>252</v>
      </c>
      <c r="D9" s="7" t="s">
        <v>253</v>
      </c>
      <c r="E9" s="7" t="s">
        <v>872</v>
      </c>
      <c r="F9" s="7" t="s">
        <v>798</v>
      </c>
      <c r="G9" s="20" t="s">
        <v>254</v>
      </c>
      <c r="H9" s="20" t="s">
        <v>255</v>
      </c>
      <c r="I9" s="21" t="s">
        <v>121</v>
      </c>
      <c r="J9" s="8"/>
      <c r="K9" s="8" t="str">
        <f>"177,5"</f>
        <v>177,5</v>
      </c>
      <c r="L9" s="8" t="str">
        <f>"182,7895"</f>
        <v>182,7895</v>
      </c>
      <c r="M9" s="7" t="s">
        <v>256</v>
      </c>
    </row>
    <row r="10" spans="1:13">
      <c r="A10" s="10" t="s">
        <v>164</v>
      </c>
      <c r="B10" s="9" t="s">
        <v>257</v>
      </c>
      <c r="C10" s="9" t="s">
        <v>258</v>
      </c>
      <c r="D10" s="9" t="s">
        <v>259</v>
      </c>
      <c r="E10" s="9" t="s">
        <v>882</v>
      </c>
      <c r="F10" s="9" t="s">
        <v>825</v>
      </c>
      <c r="G10" s="23" t="s">
        <v>260</v>
      </c>
      <c r="H10" s="23" t="s">
        <v>261</v>
      </c>
      <c r="I10" s="23" t="s">
        <v>262</v>
      </c>
      <c r="J10" s="10"/>
      <c r="K10" s="10" t="str">
        <f>"122,5"</f>
        <v>122,5</v>
      </c>
      <c r="L10" s="10" t="str">
        <f>"245,9202"</f>
        <v>245,9202</v>
      </c>
      <c r="M10" s="9"/>
    </row>
    <row r="11" spans="1:13">
      <c r="B11" s="5" t="s">
        <v>166</v>
      </c>
    </row>
    <row r="12" spans="1:13" ht="16">
      <c r="A12" s="33" t="s">
        <v>100</v>
      </c>
      <c r="B12" s="33"/>
      <c r="C12" s="33"/>
      <c r="D12" s="33"/>
      <c r="E12" s="33"/>
      <c r="F12" s="33"/>
      <c r="G12" s="33"/>
      <c r="H12" s="33"/>
      <c r="I12" s="33"/>
      <c r="J12" s="33"/>
    </row>
    <row r="13" spans="1:13">
      <c r="A13" s="8" t="s">
        <v>164</v>
      </c>
      <c r="B13" s="7" t="s">
        <v>263</v>
      </c>
      <c r="C13" s="7" t="s">
        <v>264</v>
      </c>
      <c r="D13" s="7" t="s">
        <v>265</v>
      </c>
      <c r="E13" s="7" t="s">
        <v>872</v>
      </c>
      <c r="F13" s="7" t="s">
        <v>835</v>
      </c>
      <c r="G13" s="21" t="s">
        <v>104</v>
      </c>
      <c r="H13" s="20" t="s">
        <v>104</v>
      </c>
      <c r="I13" s="21" t="s">
        <v>115</v>
      </c>
      <c r="J13" s="8"/>
      <c r="K13" s="8" t="str">
        <f>"200,0"</f>
        <v>200,0</v>
      </c>
      <c r="L13" s="8" t="str">
        <f>"195,8000"</f>
        <v>195,8000</v>
      </c>
      <c r="M13" s="7" t="s">
        <v>266</v>
      </c>
    </row>
    <row r="14" spans="1:13">
      <c r="A14" s="12" t="s">
        <v>165</v>
      </c>
      <c r="B14" s="11" t="s">
        <v>267</v>
      </c>
      <c r="C14" s="11" t="s">
        <v>268</v>
      </c>
      <c r="D14" s="11" t="s">
        <v>269</v>
      </c>
      <c r="E14" s="11" t="s">
        <v>872</v>
      </c>
      <c r="F14" s="11" t="s">
        <v>827</v>
      </c>
      <c r="G14" s="25" t="s">
        <v>114</v>
      </c>
      <c r="H14" s="24" t="s">
        <v>114</v>
      </c>
      <c r="I14" s="24" t="s">
        <v>183</v>
      </c>
      <c r="J14" s="12"/>
      <c r="K14" s="12" t="str">
        <f>"195,0"</f>
        <v>195,0</v>
      </c>
      <c r="L14" s="12" t="str">
        <f>"189,0330"</f>
        <v>189,0330</v>
      </c>
      <c r="M14" s="11" t="s">
        <v>270</v>
      </c>
    </row>
    <row r="15" spans="1:13">
      <c r="A15" s="12" t="s">
        <v>164</v>
      </c>
      <c r="B15" s="11" t="s">
        <v>271</v>
      </c>
      <c r="C15" s="11" t="s">
        <v>272</v>
      </c>
      <c r="D15" s="11" t="s">
        <v>273</v>
      </c>
      <c r="E15" s="11" t="s">
        <v>874</v>
      </c>
      <c r="F15" s="11" t="s">
        <v>836</v>
      </c>
      <c r="G15" s="24" t="s">
        <v>19</v>
      </c>
      <c r="H15" s="24" t="s">
        <v>21</v>
      </c>
      <c r="I15" s="24" t="s">
        <v>90</v>
      </c>
      <c r="J15" s="12"/>
      <c r="K15" s="12" t="str">
        <f>"155,0"</f>
        <v>155,0</v>
      </c>
      <c r="L15" s="12" t="str">
        <f>"216,2529"</f>
        <v>216,2529</v>
      </c>
      <c r="M15" s="11"/>
    </row>
    <row r="16" spans="1:13">
      <c r="A16" s="10" t="s">
        <v>165</v>
      </c>
      <c r="B16" s="9" t="s">
        <v>274</v>
      </c>
      <c r="C16" s="9" t="s">
        <v>275</v>
      </c>
      <c r="D16" s="9" t="s">
        <v>276</v>
      </c>
      <c r="E16" s="9" t="s">
        <v>874</v>
      </c>
      <c r="F16" s="9" t="s">
        <v>830</v>
      </c>
      <c r="G16" s="23" t="s">
        <v>13</v>
      </c>
      <c r="H16" s="23" t="s">
        <v>71</v>
      </c>
      <c r="I16" s="23" t="s">
        <v>60</v>
      </c>
      <c r="J16" s="10"/>
      <c r="K16" s="10" t="str">
        <f>"120,0"</f>
        <v>120,0</v>
      </c>
      <c r="L16" s="10" t="str">
        <f>"183,2928"</f>
        <v>183,2928</v>
      </c>
      <c r="M16" s="9"/>
    </row>
    <row r="17" spans="1:13">
      <c r="B17" s="5" t="s">
        <v>166</v>
      </c>
    </row>
    <row r="18" spans="1:13" ht="16">
      <c r="A18" s="33" t="s">
        <v>277</v>
      </c>
      <c r="B18" s="33"/>
      <c r="C18" s="33"/>
      <c r="D18" s="33"/>
      <c r="E18" s="33"/>
      <c r="F18" s="33"/>
      <c r="G18" s="33"/>
      <c r="H18" s="33"/>
      <c r="I18" s="33"/>
      <c r="J18" s="33"/>
    </row>
    <row r="19" spans="1:13">
      <c r="A19" s="14" t="s">
        <v>164</v>
      </c>
      <c r="B19" s="13" t="s">
        <v>278</v>
      </c>
      <c r="C19" s="13" t="s">
        <v>279</v>
      </c>
      <c r="D19" s="13" t="s">
        <v>280</v>
      </c>
      <c r="E19" s="13" t="s">
        <v>875</v>
      </c>
      <c r="F19" s="13" t="s">
        <v>837</v>
      </c>
      <c r="G19" s="27" t="s">
        <v>84</v>
      </c>
      <c r="H19" s="27" t="s">
        <v>121</v>
      </c>
      <c r="I19" s="26" t="s">
        <v>203</v>
      </c>
      <c r="J19" s="14"/>
      <c r="K19" s="14" t="str">
        <f>"180,0"</f>
        <v>180,0</v>
      </c>
      <c r="L19" s="14" t="str">
        <f>"183,2617"</f>
        <v>183,2617</v>
      </c>
      <c r="M19" s="13"/>
    </row>
    <row r="20" spans="1:13">
      <c r="B20" s="5" t="s">
        <v>166</v>
      </c>
    </row>
    <row r="21" spans="1:13" ht="16">
      <c r="A21" s="33" t="s">
        <v>215</v>
      </c>
      <c r="B21" s="33"/>
      <c r="C21" s="33"/>
      <c r="D21" s="33"/>
      <c r="E21" s="33"/>
      <c r="F21" s="33"/>
      <c r="G21" s="33"/>
      <c r="H21" s="33"/>
      <c r="I21" s="33"/>
      <c r="J21" s="33"/>
    </row>
    <row r="22" spans="1:13">
      <c r="A22" s="8" t="s">
        <v>164</v>
      </c>
      <c r="B22" s="7" t="s">
        <v>281</v>
      </c>
      <c r="C22" s="7" t="s">
        <v>754</v>
      </c>
      <c r="D22" s="7" t="s">
        <v>282</v>
      </c>
      <c r="E22" s="7" t="s">
        <v>880</v>
      </c>
      <c r="F22" s="7" t="s">
        <v>838</v>
      </c>
      <c r="G22" s="20" t="s">
        <v>115</v>
      </c>
      <c r="H22" s="20" t="s">
        <v>105</v>
      </c>
      <c r="I22" s="21" t="s">
        <v>116</v>
      </c>
      <c r="J22" s="8"/>
      <c r="K22" s="8" t="str">
        <f>"210,0"</f>
        <v>210,0</v>
      </c>
      <c r="L22" s="8" t="str">
        <f>"180,3900"</f>
        <v>180,3900</v>
      </c>
      <c r="M22" s="7"/>
    </row>
    <row r="23" spans="1:13">
      <c r="A23" s="12" t="s">
        <v>164</v>
      </c>
      <c r="B23" s="11" t="s">
        <v>283</v>
      </c>
      <c r="C23" s="11" t="s">
        <v>284</v>
      </c>
      <c r="D23" s="11" t="s">
        <v>285</v>
      </c>
      <c r="E23" s="11" t="s">
        <v>872</v>
      </c>
      <c r="F23" s="11" t="s">
        <v>822</v>
      </c>
      <c r="G23" s="24" t="s">
        <v>115</v>
      </c>
      <c r="H23" s="24" t="s">
        <v>116</v>
      </c>
      <c r="I23" s="24" t="s">
        <v>136</v>
      </c>
      <c r="J23" s="12"/>
      <c r="K23" s="12" t="str">
        <f>"220,0"</f>
        <v>220,0</v>
      </c>
      <c r="L23" s="12" t="str">
        <f>"192,0600"</f>
        <v>192,0600</v>
      </c>
      <c r="M23" s="11" t="s">
        <v>286</v>
      </c>
    </row>
    <row r="24" spans="1:13">
      <c r="A24" s="12" t="s">
        <v>165</v>
      </c>
      <c r="B24" s="11" t="s">
        <v>287</v>
      </c>
      <c r="C24" s="11" t="s">
        <v>288</v>
      </c>
      <c r="D24" s="11" t="s">
        <v>289</v>
      </c>
      <c r="E24" s="11" t="s">
        <v>872</v>
      </c>
      <c r="F24" s="11" t="s">
        <v>839</v>
      </c>
      <c r="G24" s="25" t="s">
        <v>115</v>
      </c>
      <c r="H24" s="25" t="s">
        <v>105</v>
      </c>
      <c r="I24" s="24" t="s">
        <v>116</v>
      </c>
      <c r="J24" s="12"/>
      <c r="K24" s="12" t="str">
        <f>"215,0"</f>
        <v>215,0</v>
      </c>
      <c r="L24" s="12" t="str">
        <f>"185,7600"</f>
        <v>185,7600</v>
      </c>
      <c r="M24" s="11"/>
    </row>
    <row r="25" spans="1:13">
      <c r="A25" s="12" t="s">
        <v>168</v>
      </c>
      <c r="B25" s="11" t="s">
        <v>281</v>
      </c>
      <c r="C25" s="11" t="s">
        <v>290</v>
      </c>
      <c r="D25" s="11" t="s">
        <v>282</v>
      </c>
      <c r="E25" s="11" t="s">
        <v>872</v>
      </c>
      <c r="F25" s="11" t="s">
        <v>838</v>
      </c>
      <c r="G25" s="24" t="s">
        <v>115</v>
      </c>
      <c r="H25" s="24" t="s">
        <v>105</v>
      </c>
      <c r="I25" s="25" t="s">
        <v>116</v>
      </c>
      <c r="J25" s="12"/>
      <c r="K25" s="12" t="str">
        <f>"210,0"</f>
        <v>210,0</v>
      </c>
      <c r="L25" s="12" t="str">
        <f>"180,3900"</f>
        <v>180,3900</v>
      </c>
      <c r="M25" s="11"/>
    </row>
    <row r="26" spans="1:13">
      <c r="A26" s="10" t="s">
        <v>164</v>
      </c>
      <c r="B26" s="9" t="s">
        <v>291</v>
      </c>
      <c r="C26" s="9" t="s">
        <v>292</v>
      </c>
      <c r="D26" s="9" t="s">
        <v>293</v>
      </c>
      <c r="E26" s="9" t="s">
        <v>878</v>
      </c>
      <c r="F26" s="9" t="s">
        <v>793</v>
      </c>
      <c r="G26" s="23" t="s">
        <v>255</v>
      </c>
      <c r="H26" s="23" t="s">
        <v>85</v>
      </c>
      <c r="I26" s="22" t="s">
        <v>294</v>
      </c>
      <c r="J26" s="10"/>
      <c r="K26" s="10" t="str">
        <f>"182,5"</f>
        <v>182,5</v>
      </c>
      <c r="L26" s="10" t="str">
        <f>"182,1715"</f>
        <v>182,1715</v>
      </c>
      <c r="M26" s="9" t="s">
        <v>784</v>
      </c>
    </row>
    <row r="27" spans="1:13">
      <c r="B27" s="5" t="s">
        <v>166</v>
      </c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2:J12"/>
    <mergeCell ref="A18:J18"/>
    <mergeCell ref="A21:J21"/>
    <mergeCell ref="B3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GPA ПЛ без экипировки ДК</vt:lpstr>
      <vt:lpstr>GPA ПЛ без экипировки</vt:lpstr>
      <vt:lpstr>GPA ПЛ в бинтах ДК</vt:lpstr>
      <vt:lpstr>GPA ПЛ в бинтах</vt:lpstr>
      <vt:lpstr>GPA Двоеборье без экип ДК</vt:lpstr>
      <vt:lpstr>GPA Двоеборье без экип</vt:lpstr>
      <vt:lpstr>GPA Присед без экипировки</vt:lpstr>
      <vt:lpstr>GPA Жим без экипировки ДК</vt:lpstr>
      <vt:lpstr>GPA Жим без экипировки</vt:lpstr>
      <vt:lpstr>IPO Жим однослой ДК</vt:lpstr>
      <vt:lpstr>IPO Жим однослой</vt:lpstr>
      <vt:lpstr>СПР Жим софт однопетельная ДК</vt:lpstr>
      <vt:lpstr>СПР Жим софт однопетельная</vt:lpstr>
      <vt:lpstr>СПР Жим софт многопетельная</vt:lpstr>
      <vt:lpstr>СПР Жим СФО</vt:lpstr>
      <vt:lpstr>GPA Тяга без экипировки ДК</vt:lpstr>
      <vt:lpstr>GPA Тяга без экипировки</vt:lpstr>
      <vt:lpstr>IPO Тяга в экипировке</vt:lpstr>
      <vt:lpstr>СПР Пауэрспорт ДК</vt:lpstr>
      <vt:lpstr>СПР Пауэрспорт</vt:lpstr>
      <vt:lpstr>СПР Жим стоя ДК</vt:lpstr>
      <vt:lpstr>СПР Жим стоя</vt:lpstr>
      <vt:lpstr>СПР Подъем на бицепс ДК</vt:lpstr>
      <vt:lpstr>СПР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2020-11-02T15:32:54Z</dcterms:modified>
</cp:coreProperties>
</file>