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Ноябрь/"/>
    </mc:Choice>
  </mc:AlternateContent>
  <xr:revisionPtr revIDLastSave="0" documentId="13_ncr:1_{822F8C1A-DF26-6545-90D5-762A06770A2A}" xr6:coauthVersionLast="45" xr6:coauthVersionMax="45" xr10:uidLastSave="{00000000-0000-0000-0000-000000000000}"/>
  <bookViews>
    <workbookView xWindow="940" yWindow="460" windowWidth="27860" windowHeight="15380" firstSheet="17" activeTab="21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" sheetId="5" r:id="rId3"/>
    <sheet name="WRPF Двоеборье без экип ДК" sheetId="30" r:id="rId4"/>
    <sheet name="WRPF Двоеборье без экип" sheetId="29" r:id="rId5"/>
    <sheet name="WEPF Двоеборье экип ДК" sheetId="32" r:id="rId6"/>
    <sheet name="WRPF Жим лежа без экип ДК" sheetId="16" r:id="rId7"/>
    <sheet name="WRPF Жим лежа без экип" sheetId="15" r:id="rId8"/>
    <sheet name="WEPF Жим софт многопетельная" sheetId="21" r:id="rId9"/>
    <sheet name="WRPF Военный жим ДК" sheetId="20" r:id="rId10"/>
    <sheet name="WRPF Тяга без экипировки ДК" sheetId="26" r:id="rId11"/>
    <sheet name="WRPF Тяга без экипировки" sheetId="25" r:id="rId12"/>
    <sheet name="WEPF Тяга экип ДК" sheetId="28" r:id="rId13"/>
    <sheet name="WRPF Подъем на бицепс ДК" sheetId="34" r:id="rId14"/>
    <sheet name="WRPF Подъем на бицепс" sheetId="33" r:id="rId15"/>
    <sheet name="СПР Пауэрспорт ДК" sheetId="40" r:id="rId16"/>
    <sheet name="СПР Пауэрспорт" sheetId="39" r:id="rId17"/>
    <sheet name="СПР Жим стоя ДК" sheetId="36" r:id="rId18"/>
    <sheet name="СПР Подъем на бицепс ДК" sheetId="38" r:id="rId19"/>
    <sheet name="СПР Подъем на бицепс" sheetId="37" r:id="rId20"/>
    <sheet name="ФЖД Армейский жим двоеборье ДК" sheetId="71" r:id="rId21"/>
    <sheet name="ФЖД Армейский жим макс.ДК" sheetId="72" r:id="rId22"/>
  </sheets>
  <definedNames>
    <definedName name="_FilterDatabase" localSheetId="2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37" l="1"/>
  <c r="K15" i="37"/>
  <c r="L6" i="72"/>
  <c r="K6" i="72"/>
  <c r="N6" i="71"/>
  <c r="M6" i="71"/>
  <c r="P9" i="40"/>
  <c r="O9" i="40"/>
  <c r="P6" i="40"/>
  <c r="O6" i="40"/>
  <c r="P6" i="39"/>
  <c r="O6" i="39"/>
  <c r="L35" i="38"/>
  <c r="K35" i="38"/>
  <c r="L32" i="38"/>
  <c r="K32" i="38"/>
  <c r="L31" i="38"/>
  <c r="K31" i="38"/>
  <c r="L30" i="38"/>
  <c r="K30" i="38"/>
  <c r="L27" i="38"/>
  <c r="K27" i="38"/>
  <c r="L26" i="38"/>
  <c r="K26" i="38"/>
  <c r="L25" i="38"/>
  <c r="K25" i="38"/>
  <c r="L24" i="38"/>
  <c r="K24" i="38"/>
  <c r="L21" i="38"/>
  <c r="K21" i="38"/>
  <c r="L20" i="38"/>
  <c r="K20" i="38"/>
  <c r="L19" i="38"/>
  <c r="K19" i="38"/>
  <c r="L16" i="38"/>
  <c r="K16" i="38"/>
  <c r="L13" i="38"/>
  <c r="K13" i="38"/>
  <c r="L10" i="38"/>
  <c r="K10" i="38"/>
  <c r="L7" i="38"/>
  <c r="K7" i="38"/>
  <c r="L6" i="38"/>
  <c r="K6" i="38"/>
  <c r="L12" i="37"/>
  <c r="K12" i="37"/>
  <c r="L9" i="37"/>
  <c r="K9" i="37"/>
  <c r="L6" i="37"/>
  <c r="K6" i="37"/>
  <c r="L6" i="36"/>
  <c r="K6" i="36"/>
  <c r="L12" i="34"/>
  <c r="K12" i="34"/>
  <c r="L9" i="34"/>
  <c r="K9" i="34"/>
  <c r="L6" i="34"/>
  <c r="K6" i="34"/>
  <c r="L10" i="33"/>
  <c r="K10" i="33"/>
  <c r="L7" i="33"/>
  <c r="K7" i="33"/>
  <c r="L6" i="33"/>
  <c r="K6" i="33"/>
  <c r="P6" i="32"/>
  <c r="O6" i="32"/>
  <c r="P6" i="30"/>
  <c r="O6" i="30"/>
  <c r="P9" i="29"/>
  <c r="O9" i="29"/>
  <c r="P6" i="29"/>
  <c r="O6" i="29"/>
  <c r="L6" i="28"/>
  <c r="K6" i="28"/>
  <c r="L43" i="26"/>
  <c r="K43" i="26"/>
  <c r="L40" i="26"/>
  <c r="K40" i="26"/>
  <c r="L37" i="26"/>
  <c r="K37" i="26"/>
  <c r="L36" i="26"/>
  <c r="K36" i="26"/>
  <c r="L33" i="26"/>
  <c r="K33" i="26"/>
  <c r="L32" i="26"/>
  <c r="K32" i="26"/>
  <c r="L29" i="26"/>
  <c r="K29" i="26"/>
  <c r="L28" i="26"/>
  <c r="K28" i="26"/>
  <c r="L25" i="26"/>
  <c r="K25" i="26"/>
  <c r="L22" i="26"/>
  <c r="K22" i="26"/>
  <c r="L19" i="26"/>
  <c r="K19" i="26"/>
  <c r="L16" i="26"/>
  <c r="K16" i="26"/>
  <c r="L13" i="26"/>
  <c r="K13" i="26"/>
  <c r="L12" i="26"/>
  <c r="K12" i="26"/>
  <c r="L9" i="26"/>
  <c r="K9" i="26"/>
  <c r="L8" i="26"/>
  <c r="K8" i="26"/>
  <c r="L7" i="26"/>
  <c r="K7" i="26"/>
  <c r="L6" i="26"/>
  <c r="K6" i="26"/>
  <c r="L24" i="25"/>
  <c r="K24" i="25"/>
  <c r="L21" i="25"/>
  <c r="K21" i="25"/>
  <c r="L18" i="25"/>
  <c r="K18" i="25"/>
  <c r="L17" i="25"/>
  <c r="K17" i="25"/>
  <c r="L16" i="25"/>
  <c r="K16" i="25"/>
  <c r="L13" i="25"/>
  <c r="K13" i="25"/>
  <c r="L10" i="25"/>
  <c r="K10" i="25"/>
  <c r="L9" i="25"/>
  <c r="K9" i="25"/>
  <c r="L6" i="25"/>
  <c r="K6" i="25"/>
  <c r="L9" i="21"/>
  <c r="K9" i="21"/>
  <c r="L6" i="21"/>
  <c r="K6" i="21"/>
  <c r="L6" i="20"/>
  <c r="K6" i="20"/>
  <c r="L30" i="16"/>
  <c r="L27" i="16"/>
  <c r="K27" i="16"/>
  <c r="L26" i="16"/>
  <c r="K26" i="16"/>
  <c r="L23" i="16"/>
  <c r="K23" i="16"/>
  <c r="L20" i="16"/>
  <c r="K20" i="16"/>
  <c r="L19" i="16"/>
  <c r="K19" i="16"/>
  <c r="L18" i="16"/>
  <c r="K18" i="16"/>
  <c r="L15" i="16"/>
  <c r="K15" i="16"/>
  <c r="L12" i="16"/>
  <c r="K12" i="16"/>
  <c r="L9" i="16"/>
  <c r="K9" i="16"/>
  <c r="L6" i="16"/>
  <c r="K6" i="16"/>
  <c r="L18" i="15"/>
  <c r="K18" i="15"/>
  <c r="L17" i="15"/>
  <c r="K17" i="15"/>
  <c r="L14" i="15"/>
  <c r="L11" i="15"/>
  <c r="K11" i="15"/>
  <c r="L10" i="15"/>
  <c r="K10" i="15"/>
  <c r="L7" i="15"/>
  <c r="K7" i="15"/>
  <c r="L6" i="15"/>
  <c r="K6" i="15"/>
  <c r="T44" i="10"/>
  <c r="S44" i="10"/>
  <c r="T41" i="10"/>
  <c r="S41" i="10"/>
  <c r="T40" i="10"/>
  <c r="S40" i="10"/>
  <c r="T39" i="10"/>
  <c r="S39" i="10"/>
  <c r="T36" i="10"/>
  <c r="S36" i="10"/>
  <c r="T33" i="10"/>
  <c r="S33" i="10"/>
  <c r="T32" i="10"/>
  <c r="S32" i="10"/>
  <c r="T29" i="10"/>
  <c r="S29" i="10"/>
  <c r="T28" i="10"/>
  <c r="S28" i="10"/>
  <c r="T27" i="10"/>
  <c r="S27" i="10"/>
  <c r="T24" i="10"/>
  <c r="S24" i="10"/>
  <c r="T21" i="10"/>
  <c r="S21" i="10"/>
  <c r="T20" i="10"/>
  <c r="S20" i="10"/>
  <c r="T17" i="10"/>
  <c r="S17" i="10"/>
  <c r="T14" i="10"/>
  <c r="S14" i="10"/>
  <c r="T13" i="10"/>
  <c r="S13" i="10"/>
  <c r="T10" i="10"/>
  <c r="S10" i="10"/>
  <c r="T9" i="10"/>
  <c r="S9" i="10"/>
  <c r="T6" i="10"/>
  <c r="S6" i="10"/>
  <c r="T19" i="9"/>
  <c r="S19" i="9"/>
  <c r="T18" i="9"/>
  <c r="S18" i="9"/>
  <c r="T15" i="9"/>
  <c r="S15" i="9"/>
  <c r="T12" i="9"/>
  <c r="S12" i="9"/>
  <c r="T9" i="9"/>
  <c r="S9" i="9"/>
  <c r="T6" i="9"/>
  <c r="S6" i="9"/>
  <c r="T6" i="5"/>
  <c r="S6" i="5"/>
</calcChain>
</file>

<file path=xl/sharedStrings.xml><?xml version="1.0" encoding="utf-8"?>
<sst xmlns="http://schemas.openxmlformats.org/spreadsheetml/2006/main" count="1660" uniqueCount="486">
  <si>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</si>
  <si>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</si>
  <si>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</si>
  <si>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</si>
  <si>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</si>
  <si>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</si>
  <si>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</si>
  <si>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</si>
  <si>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</si>
  <si>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Приседание</t>
  </si>
  <si>
    <t>Жим лёжа</t>
  </si>
  <si>
    <t>Становая тяга</t>
  </si>
  <si>
    <t>ВЕСОВАЯ КАТЕГОРИЯ   125</t>
  </si>
  <si>
    <t>Открытая (02.04.1995)/28</t>
  </si>
  <si>
    <t>114,30</t>
  </si>
  <si>
    <t>310,0</t>
  </si>
  <si>
    <t>325,0</t>
  </si>
  <si>
    <t>340,0</t>
  </si>
  <si>
    <t>150,0</t>
  </si>
  <si>
    <t>160,0</t>
  </si>
  <si>
    <t>167,5</t>
  </si>
  <si>
    <t>270,0</t>
  </si>
  <si>
    <t>285,0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</si>
  <si>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</si>
  <si>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</si>
  <si>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</si>
  <si>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</si>
  <si>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</si>
  <si>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</si>
  <si>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</si>
  <si>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1</t>
  </si>
  <si>
    <t>Туманов Андрей</t>
  </si>
  <si>
    <t>ВЕСОВАЯ КАТЕГОРИЯ   60</t>
  </si>
  <si>
    <t>Девушки 17-19 (26.09.2004)/19</t>
  </si>
  <si>
    <t>59,50</t>
  </si>
  <si>
    <t>55,0</t>
  </si>
  <si>
    <t>60,0</t>
  </si>
  <si>
    <t>65,0</t>
  </si>
  <si>
    <t>35,0</t>
  </si>
  <si>
    <t>40,0</t>
  </si>
  <si>
    <t>42,5</t>
  </si>
  <si>
    <t>75,0</t>
  </si>
  <si>
    <t>80,0</t>
  </si>
  <si>
    <t>85,0</t>
  </si>
  <si>
    <t>ВЕСОВАЯ КАТЕГОРИЯ   75</t>
  </si>
  <si>
    <t>Юниоры (25.05.2001)/22</t>
  </si>
  <si>
    <t>72,70</t>
  </si>
  <si>
    <t>120,0</t>
  </si>
  <si>
    <t>125,0</t>
  </si>
  <si>
    <t>70,0</t>
  </si>
  <si>
    <t>72,5</t>
  </si>
  <si>
    <t>140,0</t>
  </si>
  <si>
    <t>155,0</t>
  </si>
  <si>
    <t>ВЕСОВАЯ КАТЕГОРИЯ   82.5</t>
  </si>
  <si>
    <t>Юноши 17-19 (03.10.2005)/18</t>
  </si>
  <si>
    <t>79,10</t>
  </si>
  <si>
    <t>100,0</t>
  </si>
  <si>
    <t>135,0</t>
  </si>
  <si>
    <t>ВЕСОВАЯ КАТЕГОРИЯ   90</t>
  </si>
  <si>
    <t>Открытая (04.02.1991)/32</t>
  </si>
  <si>
    <t>89,10</t>
  </si>
  <si>
    <t>245,0</t>
  </si>
  <si>
    <t>255,0</t>
  </si>
  <si>
    <t>260,0</t>
  </si>
  <si>
    <t>180,0</t>
  </si>
  <si>
    <t>185,0</t>
  </si>
  <si>
    <t>280,0</t>
  </si>
  <si>
    <t>290,0</t>
  </si>
  <si>
    <t>ВЕСОВАЯ КАТЕГОРИЯ   110</t>
  </si>
  <si>
    <t>Открытая (29.06.1997)/26</t>
  </si>
  <si>
    <t>108,00</t>
  </si>
  <si>
    <t>240,0</t>
  </si>
  <si>
    <t>192,5</t>
  </si>
  <si>
    <t>200,0</t>
  </si>
  <si>
    <t>275,0</t>
  </si>
  <si>
    <t>300,0</t>
  </si>
  <si>
    <t>305,0</t>
  </si>
  <si>
    <t>Открытая (16.12.1988)/34</t>
  </si>
  <si>
    <t>110,00</t>
  </si>
  <si>
    <t>250,0</t>
  </si>
  <si>
    <t>257,5</t>
  </si>
  <si>
    <t xml:space="preserve">Женщины </t>
  </si>
  <si>
    <t>60</t>
  </si>
  <si>
    <t>82.5</t>
  </si>
  <si>
    <t>75</t>
  </si>
  <si>
    <t>90</t>
  </si>
  <si>
    <t>Шкуратова София</t>
  </si>
  <si>
    <t>Маликов Даниил</t>
  </si>
  <si>
    <t>Крайнов Сергей</t>
  </si>
  <si>
    <t>Чередниченко Александр</t>
  </si>
  <si>
    <t>Семенов Владислав</t>
  </si>
  <si>
    <t>2</t>
  </si>
  <si>
    <t>Буйлов Александр</t>
  </si>
  <si>
    <t>ВЕСОВАЯ КАТЕГОРИЯ   52</t>
  </si>
  <si>
    <t xml:space="preserve">Чеванина Юлия </t>
  </si>
  <si>
    <t>Открытая (23.04.1996)/27</t>
  </si>
  <si>
    <t>50,90</t>
  </si>
  <si>
    <t>90,0</t>
  </si>
  <si>
    <t>92,5</t>
  </si>
  <si>
    <t>95,0</t>
  </si>
  <si>
    <t>57,5</t>
  </si>
  <si>
    <t>105,0</t>
  </si>
  <si>
    <t>107,5</t>
  </si>
  <si>
    <t>110,0</t>
  </si>
  <si>
    <t>ВЕСОВАЯ КАТЕГОРИЯ   56</t>
  </si>
  <si>
    <t xml:space="preserve">Костина Александра </t>
  </si>
  <si>
    <t>Открытая (28.10.1989)/34</t>
  </si>
  <si>
    <t>55,50</t>
  </si>
  <si>
    <t>127,5</t>
  </si>
  <si>
    <t>132,5</t>
  </si>
  <si>
    <t>137,5</t>
  </si>
  <si>
    <t>Открытая (13.08.1984)/39</t>
  </si>
  <si>
    <t>54,50</t>
  </si>
  <si>
    <t>50,0</t>
  </si>
  <si>
    <t xml:space="preserve">Миниахметова Карина </t>
  </si>
  <si>
    <t>Открытая (30.09.2001)/22</t>
  </si>
  <si>
    <t>60,00</t>
  </si>
  <si>
    <t>67,5</t>
  </si>
  <si>
    <t>145,0</t>
  </si>
  <si>
    <t>152,5</t>
  </si>
  <si>
    <t>Открытая (24.01.1997)/26</t>
  </si>
  <si>
    <t>59,60</t>
  </si>
  <si>
    <t>102,5</t>
  </si>
  <si>
    <t>ВЕСОВАЯ КАТЕГОРИЯ   67.5</t>
  </si>
  <si>
    <t>Открытая (15.06.1994)/29</t>
  </si>
  <si>
    <t>65,50</t>
  </si>
  <si>
    <t xml:space="preserve">Джумахметов Азамат </t>
  </si>
  <si>
    <t>Открытая (26.06.1987)/36</t>
  </si>
  <si>
    <t>57,90</t>
  </si>
  <si>
    <t>170,0</t>
  </si>
  <si>
    <t>115,0</t>
  </si>
  <si>
    <t>210,0</t>
  </si>
  <si>
    <t xml:space="preserve">Кудряшов Дмитрий </t>
  </si>
  <si>
    <t>Открытая (08.08.2003)/20</t>
  </si>
  <si>
    <t>58,00</t>
  </si>
  <si>
    <t>122,5</t>
  </si>
  <si>
    <t>Открытая (09.07.1998)/25</t>
  </si>
  <si>
    <t>67,30</t>
  </si>
  <si>
    <t>130,0</t>
  </si>
  <si>
    <t>147,5</t>
  </si>
  <si>
    <t xml:space="preserve">Костин Григорий </t>
  </si>
  <si>
    <t>Юноши 14-16 (17.12.2007)/15</t>
  </si>
  <si>
    <t>73,60</t>
  </si>
  <si>
    <t xml:space="preserve">Пахомов Тимур </t>
  </si>
  <si>
    <t>Открытая (25.10.1995)/28</t>
  </si>
  <si>
    <t>75,00</t>
  </si>
  <si>
    <t>195,0</t>
  </si>
  <si>
    <t>220,0</t>
  </si>
  <si>
    <t>230,0</t>
  </si>
  <si>
    <t>235,0</t>
  </si>
  <si>
    <t>Открытая (03.07.2002)/21</t>
  </si>
  <si>
    <t>72,00</t>
  </si>
  <si>
    <t>97,5</t>
  </si>
  <si>
    <t>165,0</t>
  </si>
  <si>
    <t>Открытая (05.10.2000)/23</t>
  </si>
  <si>
    <t>82,00</t>
  </si>
  <si>
    <t>190,0</t>
  </si>
  <si>
    <t>225,0</t>
  </si>
  <si>
    <t>Открытая (10.12.1992)/30</t>
  </si>
  <si>
    <t>80,70</t>
  </si>
  <si>
    <t>205,0</t>
  </si>
  <si>
    <t>Открытая (21.06.1999)/24</t>
  </si>
  <si>
    <t>88,50</t>
  </si>
  <si>
    <t>ВЕСОВАЯ КАТЕГОРИЯ   100</t>
  </si>
  <si>
    <t xml:space="preserve">Чараев Муса </t>
  </si>
  <si>
    <t>Открытая (29.05.1990)/33</t>
  </si>
  <si>
    <t>100,00</t>
  </si>
  <si>
    <t xml:space="preserve">Гудермес/Чечня </t>
  </si>
  <si>
    <t>Открытая (10.03.1985)/38</t>
  </si>
  <si>
    <t>99,80</t>
  </si>
  <si>
    <t>215,0</t>
  </si>
  <si>
    <t>Открытая (22.09.1987)/36</t>
  </si>
  <si>
    <t>99,50</t>
  </si>
  <si>
    <t>Юноши 14-16 (06.07.2010)/13</t>
  </si>
  <si>
    <t>106,90</t>
  </si>
  <si>
    <t>56</t>
  </si>
  <si>
    <t>52</t>
  </si>
  <si>
    <t>100</t>
  </si>
  <si>
    <t>Чеванина Юлия</t>
  </si>
  <si>
    <t>Костина Александра</t>
  </si>
  <si>
    <t>Филатова Анастасия</t>
  </si>
  <si>
    <t>Миниахметова Карина</t>
  </si>
  <si>
    <t>Четверикова Маргарита</t>
  </si>
  <si>
    <t>Редька Алина</t>
  </si>
  <si>
    <t>Джумахметов Азамат</t>
  </si>
  <si>
    <t>Богатырев Родион</t>
  </si>
  <si>
    <t>Лопасов Артем</t>
  </si>
  <si>
    <t>Фомин Вячеслав</t>
  </si>
  <si>
    <t>Пахомов Тимур</t>
  </si>
  <si>
    <t>Гончаров Михаил</t>
  </si>
  <si>
    <t>Жабунин Станислав</t>
  </si>
  <si>
    <t>Хомутецкий Эдуард</t>
  </si>
  <si>
    <t>Гудов Иван</t>
  </si>
  <si>
    <t>Чараев Муса</t>
  </si>
  <si>
    <t>Васенко Сергей</t>
  </si>
  <si>
    <t>3</t>
  </si>
  <si>
    <t>Бондаренко Никита</t>
  </si>
  <si>
    <t>Коробов Михаил</t>
  </si>
  <si>
    <t>Результат</t>
  </si>
  <si>
    <t>Открытая (28.11.1990)/32</t>
  </si>
  <si>
    <t>76,30</t>
  </si>
  <si>
    <t>Мастера 40-49 (04.01.1975)/48</t>
  </si>
  <si>
    <t>81,50</t>
  </si>
  <si>
    <t>Открытая (02.07.1988)/35</t>
  </si>
  <si>
    <t>Открытая (09.08.1993)/30</t>
  </si>
  <si>
    <t>88,40</t>
  </si>
  <si>
    <t>162,5</t>
  </si>
  <si>
    <t>Юноши 17-19 (21.11.2003)/19</t>
  </si>
  <si>
    <t>95,20</t>
  </si>
  <si>
    <t>Открытая (27.01.1996)/27</t>
  </si>
  <si>
    <t>109,10</t>
  </si>
  <si>
    <t>207,5</t>
  </si>
  <si>
    <t xml:space="preserve">Результат </t>
  </si>
  <si>
    <t>Шевченко Егор</t>
  </si>
  <si>
    <t>Воробьев Сергей</t>
  </si>
  <si>
    <t>Платонов Илья</t>
  </si>
  <si>
    <t>Никулин Евгений</t>
  </si>
  <si>
    <t>-</t>
  </si>
  <si>
    <t>Джафаров Айхан</t>
  </si>
  <si>
    <t>Боровский Владислав</t>
  </si>
  <si>
    <t>ВЕСОВАЯ КАТЕГОРИЯ   48</t>
  </si>
  <si>
    <t>Открытая (15.06.1990)/33</t>
  </si>
  <si>
    <t>47,50</t>
  </si>
  <si>
    <t>45,0</t>
  </si>
  <si>
    <t>Открытая (04.05.1987)/36</t>
  </si>
  <si>
    <t>49,30</t>
  </si>
  <si>
    <t>47,5</t>
  </si>
  <si>
    <t>Девушки 14-16 (28.05.2009)/14</t>
  </si>
  <si>
    <t>52,80</t>
  </si>
  <si>
    <t>Открытая (24.07.1987)/36</t>
  </si>
  <si>
    <t>66,00</t>
  </si>
  <si>
    <t xml:space="preserve">Селеменев Александр </t>
  </si>
  <si>
    <t>Открытая (18.09.1988)/35</t>
  </si>
  <si>
    <t>82,40</t>
  </si>
  <si>
    <t>Открытая (07.02.2005)/18</t>
  </si>
  <si>
    <t>81,10</t>
  </si>
  <si>
    <t>Открытая (12.09.2003)/20</t>
  </si>
  <si>
    <t>81,70</t>
  </si>
  <si>
    <t>Открытая (23.07.1965)/58</t>
  </si>
  <si>
    <t>142,5</t>
  </si>
  <si>
    <t xml:space="preserve">Белосохов Денис </t>
  </si>
  <si>
    <t>Открытая (07.02.1998)/25</t>
  </si>
  <si>
    <t>92,90</t>
  </si>
  <si>
    <t>172,5</t>
  </si>
  <si>
    <t xml:space="preserve">Демин Роман </t>
  </si>
  <si>
    <t>Открытая (14.02.1992)/31</t>
  </si>
  <si>
    <t>98,00</t>
  </si>
  <si>
    <t>ВЕСОВАЯ КАТЕГОРИЯ   140</t>
  </si>
  <si>
    <t>Мастера 50-59 (21.04.1967)/56</t>
  </si>
  <si>
    <t>137,20</t>
  </si>
  <si>
    <t>Акопян Лусине</t>
  </si>
  <si>
    <t>Макарова Людмила</t>
  </si>
  <si>
    <t>Селиванова Светлана</t>
  </si>
  <si>
    <t>Дрыгин Евгений</t>
  </si>
  <si>
    <t>Селеменев Александр</t>
  </si>
  <si>
    <t>Матыгин Даниил</t>
  </si>
  <si>
    <t>Бикмурзаев Ильяс</t>
  </si>
  <si>
    <t>Ахмедов Асаф</t>
  </si>
  <si>
    <t>Белосохов Денис</t>
  </si>
  <si>
    <t>Демин Роман</t>
  </si>
  <si>
    <t>Ядрошников Вячеслав</t>
  </si>
  <si>
    <t>Открытая (31.05.1992)/31</t>
  </si>
  <si>
    <t>97,60</t>
  </si>
  <si>
    <t>Открытая (19.09.1971)/52</t>
  </si>
  <si>
    <t>121,90</t>
  </si>
  <si>
    <t>380,0</t>
  </si>
  <si>
    <t>400,0</t>
  </si>
  <si>
    <t>410,0</t>
  </si>
  <si>
    <t xml:space="preserve">Gloss </t>
  </si>
  <si>
    <t>Раков Иван</t>
  </si>
  <si>
    <t>Хмелев Александр</t>
  </si>
  <si>
    <t>Открытая (10.01.2003)/20</t>
  </si>
  <si>
    <t>68,10</t>
  </si>
  <si>
    <t xml:space="preserve">Никитин Сергей </t>
  </si>
  <si>
    <t>Открытая (28.03.1964)/59</t>
  </si>
  <si>
    <t>76,90</t>
  </si>
  <si>
    <t>Мастера 50-59 (28.03.1964)/59</t>
  </si>
  <si>
    <t>Открытая (05.12.1994)/28</t>
  </si>
  <si>
    <t>96,10</t>
  </si>
  <si>
    <t>242,5</t>
  </si>
  <si>
    <t>262,5</t>
  </si>
  <si>
    <t>Открытая (17.01.1995)/28</t>
  </si>
  <si>
    <t>92,30</t>
  </si>
  <si>
    <t>Мастера 60-69 (18.07.1956)/67</t>
  </si>
  <si>
    <t>93,50</t>
  </si>
  <si>
    <t>Кудашкин Данила</t>
  </si>
  <si>
    <t>Никитин Сергей</t>
  </si>
  <si>
    <t>Стамбулов Къанбулат</t>
  </si>
  <si>
    <t>Четвериков Владислав</t>
  </si>
  <si>
    <t>Карпов Евгений</t>
  </si>
  <si>
    <t>Девушки 17-19 (30.03.2004)/19</t>
  </si>
  <si>
    <t>55,80</t>
  </si>
  <si>
    <t xml:space="preserve">Лазарева Валерия </t>
  </si>
  <si>
    <t>Открытая (27.06.1999)/24</t>
  </si>
  <si>
    <t>55,00</t>
  </si>
  <si>
    <t>Открытая (24.07.1992)/31</t>
  </si>
  <si>
    <t>Юниорки (03.05.2003)/20</t>
  </si>
  <si>
    <t xml:space="preserve">Козлова Олеся </t>
  </si>
  <si>
    <t>Открытая (26.01.1999)/24</t>
  </si>
  <si>
    <t xml:space="preserve">Илюткин Александр </t>
  </si>
  <si>
    <t>Открытая (16.06.1989)/34</t>
  </si>
  <si>
    <t>61,60</t>
  </si>
  <si>
    <t>77,5</t>
  </si>
  <si>
    <t>Открытая (04.10.1984)/39</t>
  </si>
  <si>
    <t>Юноши 17-19 (19.06.2006)/17</t>
  </si>
  <si>
    <t>55,40</t>
  </si>
  <si>
    <t>Юноши 14-16 (24.05.2007)/16</t>
  </si>
  <si>
    <t>65,60</t>
  </si>
  <si>
    <t>Юниоры (19.02.2003)/20</t>
  </si>
  <si>
    <t>66,80</t>
  </si>
  <si>
    <t>Юноши 14-16 (27.01.2007)/16</t>
  </si>
  <si>
    <t>Открытая (13.01.1984)/39</t>
  </si>
  <si>
    <t>72,10</t>
  </si>
  <si>
    <t>175,0</t>
  </si>
  <si>
    <t>Юниоры (02.07.2001)/22</t>
  </si>
  <si>
    <t>Открытая (18.09.1985)/38</t>
  </si>
  <si>
    <t>80,30</t>
  </si>
  <si>
    <t xml:space="preserve">Сухов Валерий </t>
  </si>
  <si>
    <t>Открытая (14.04.1987)/36</t>
  </si>
  <si>
    <t>97,50</t>
  </si>
  <si>
    <t>117,5</t>
  </si>
  <si>
    <t>Открытая (26.12.1991)/31</t>
  </si>
  <si>
    <t>Жарикова Мария</t>
  </si>
  <si>
    <t>Лазарева Валерия</t>
  </si>
  <si>
    <t>Артемова Юлия</t>
  </si>
  <si>
    <t>Ракович Варвара</t>
  </si>
  <si>
    <t>Козлова Олеся</t>
  </si>
  <si>
    <t>Рыжкина Людмила</t>
  </si>
  <si>
    <t>Кочергина Елена</t>
  </si>
  <si>
    <t>Сарсенгалиев Даниэль</t>
  </si>
  <si>
    <t>Ильин Тимофей</t>
  </si>
  <si>
    <t>Евдокимов Никита</t>
  </si>
  <si>
    <t>Ердеков Данила</t>
  </si>
  <si>
    <t>Салаев Усман</t>
  </si>
  <si>
    <t>Барыбин Андрей</t>
  </si>
  <si>
    <t>Ломанов Александр</t>
  </si>
  <si>
    <t>Амчеславский Сергей</t>
  </si>
  <si>
    <t>Козлов Артём</t>
  </si>
  <si>
    <t>Открытая (13.11.1992)/30</t>
  </si>
  <si>
    <t xml:space="preserve">Козырев Олег </t>
  </si>
  <si>
    <t>Боровков Владимир</t>
  </si>
  <si>
    <t>Юниоры (23.01.2002)/21</t>
  </si>
  <si>
    <t>81,00</t>
  </si>
  <si>
    <t>Открытая (28.11.1969)/53</t>
  </si>
  <si>
    <t>97,70</t>
  </si>
  <si>
    <t xml:space="preserve">Горюнов Владимир </t>
  </si>
  <si>
    <t>Приколота Владислав</t>
  </si>
  <si>
    <t>Тимошин Семен</t>
  </si>
  <si>
    <t>Открытая (27.06.1984)/39</t>
  </si>
  <si>
    <t>78,60</t>
  </si>
  <si>
    <t xml:space="preserve">Новочеркасск/Ростовская област </t>
  </si>
  <si>
    <t>62,5</t>
  </si>
  <si>
    <t>Открытая (06.12.1990)/32</t>
  </si>
  <si>
    <t>89,50</t>
  </si>
  <si>
    <t>Открытая (12.04.2006)/17</t>
  </si>
  <si>
    <t>91,20</t>
  </si>
  <si>
    <t>Соломахин Александр</t>
  </si>
  <si>
    <t>Чистобаев Павел</t>
  </si>
  <si>
    <t>Ильин Николай</t>
  </si>
  <si>
    <t>Михайловский Александр</t>
  </si>
  <si>
    <t>Открытая (26.04.1992)/31</t>
  </si>
  <si>
    <t>86,50</t>
  </si>
  <si>
    <t>Душкин Антон</t>
  </si>
  <si>
    <t>Шаповалов Дмитрий</t>
  </si>
  <si>
    <t>Жим стоя</t>
  </si>
  <si>
    <t>22,5</t>
  </si>
  <si>
    <t>25,0</t>
  </si>
  <si>
    <t>27,5</t>
  </si>
  <si>
    <t>73,5</t>
  </si>
  <si>
    <t>Сафонова Елена</t>
  </si>
  <si>
    <t>47,70</t>
  </si>
  <si>
    <t xml:space="preserve">Калач-на-Дону/Волгоградская область </t>
  </si>
  <si>
    <t>30,0</t>
  </si>
  <si>
    <t>32,5</t>
  </si>
  <si>
    <t>48,00</t>
  </si>
  <si>
    <t>36,0</t>
  </si>
  <si>
    <t>54,00</t>
  </si>
  <si>
    <t>37,5</t>
  </si>
  <si>
    <t>59,20</t>
  </si>
  <si>
    <t>73,40</t>
  </si>
  <si>
    <t>74,80</t>
  </si>
  <si>
    <t>Открытая (22.05.1998)/25</t>
  </si>
  <si>
    <t>70,20</t>
  </si>
  <si>
    <t>52,5</t>
  </si>
  <si>
    <t>81,30</t>
  </si>
  <si>
    <t>79,00</t>
  </si>
  <si>
    <t xml:space="preserve">Степанов Евгений </t>
  </si>
  <si>
    <t>Открытая (20.01.1992)/31</t>
  </si>
  <si>
    <t xml:space="preserve">Дубовка/Волгоградская область </t>
  </si>
  <si>
    <t>88,10</t>
  </si>
  <si>
    <t xml:space="preserve">Бочаров Александр </t>
  </si>
  <si>
    <t>Открытая (15.04.1992)/31</t>
  </si>
  <si>
    <t>88,90</t>
  </si>
  <si>
    <t xml:space="preserve">Хаба Ла </t>
  </si>
  <si>
    <t>Открытая (07.10.1996)/27</t>
  </si>
  <si>
    <t>84,30</t>
  </si>
  <si>
    <t>104,90</t>
  </si>
  <si>
    <t xml:space="preserve">Саратов/Саратовская область </t>
  </si>
  <si>
    <t>Плотникова Екатерина</t>
  </si>
  <si>
    <t>Сохач Анжелла</t>
  </si>
  <si>
    <t>Юналиев Назир</t>
  </si>
  <si>
    <t>Худайбердиев Карн</t>
  </si>
  <si>
    <t>Трифонов Лев</t>
  </si>
  <si>
    <t>Васильев Владислав</t>
  </si>
  <si>
    <t>Дингашвили Ника</t>
  </si>
  <si>
    <t>Дзон Бибот</t>
  </si>
  <si>
    <t>Степанов Евгений</t>
  </si>
  <si>
    <t>Ротай Герман</t>
  </si>
  <si>
    <t>Бочаров Александр</t>
  </si>
  <si>
    <t>Хаба Ла</t>
  </si>
  <si>
    <t>Спасиченко Александр</t>
  </si>
  <si>
    <t>ВЕСОВАЯ КАТЕГОРИЯ   80</t>
  </si>
  <si>
    <t>Горбунов Александр</t>
  </si>
  <si>
    <t xml:space="preserve">Горбунов Александр </t>
  </si>
  <si>
    <t>Амазян Давид</t>
  </si>
  <si>
    <t>Шподарев Василий</t>
  </si>
  <si>
    <t xml:space="preserve">Амазян Давид </t>
  </si>
  <si>
    <t>Костин Григорий</t>
  </si>
  <si>
    <t>Открытый Кубок Восточной Европы
WRPF Пауэрлифтинг без экипировки ДК
Волгоград/Волгоградская область, 11-12 ноября 2023 года</t>
  </si>
  <si>
    <t>Открытый Кубок Восточной Европы
WRPF Пауэрлифтинг без экипировки
Волгоград/Волгоградская область, 11-12 ноября 2023 года</t>
  </si>
  <si>
    <t>Открытый Кубок Восточной Европы
WRPF Пауэрлифтинг классический в бинтах
Волгоград/Волгоградская область, 11-12 ноября 2023 года</t>
  </si>
  <si>
    <t>Открытый Кубок Восточной Европы
WRPF Силовое двоеборье без экипировки ДК
Волгоград/Волгоградская область, 11-12 ноября 2023 года</t>
  </si>
  <si>
    <t>Открытый Кубок Восточной Европы
WRPF Силовое двоеборье без экипировки
Волгоград/Волгоградская область, 11-12 ноября 2023 года</t>
  </si>
  <si>
    <t>Открытый Кубок Восточной Европы
WEPF Силовое двоеборье в экипировке ДК
Волгоград/Волгоградская область, 11-12 ноября 2023 года</t>
  </si>
  <si>
    <t>Открытый Кубок Восточной Европы
WRPF Жим лежа без экипировки ДК
Волгоград/Волгоградская область, 11-12 ноября 2023 года</t>
  </si>
  <si>
    <t>Открытый Кубок Восточной Европы
WRPF Жим лежа без экипировки
Волгоград/Волгоградская область, 11-12 ноября 2023 года</t>
  </si>
  <si>
    <t>Открытый Кубок Восточной Европы
WEPF Жим лежа в многопетельной софт экипировке
Волгоград/Волгоградская область, 11-12 ноября 2023 года</t>
  </si>
  <si>
    <t>Открытый Кубок Восточной Европы
WRPF Военный жим лежа с ДК
Волгоград/Волгоградская область, 11-12 ноября 2023 года</t>
  </si>
  <si>
    <t>Открытый Кубок Восточной Европы
WRPF Становая тяга без экипировки ДК
Волгоград/Волгоградская область, 11-12 ноября 2023 года</t>
  </si>
  <si>
    <t>Открытый Кубок Восточной Европы
WRPF Становая тяга без экипировки
Волгоград/Волгоградская область, 11-12 ноября 2023 года</t>
  </si>
  <si>
    <t>Открытый Кубок Восточной Европы
WEPF Становая тяга в экипировке ДК
Волгоград/Волгоградская область, 11-12 ноября 2023 года</t>
  </si>
  <si>
    <t>Открытый Кубок Восточной Европы
WRPF Строгий подъем штанги на бицепс ДК
Волгоград/Волгоградская область, 11-12 ноября 2023 года</t>
  </si>
  <si>
    <t>Открытый Кубок Восточной Европы
WRPF Строгий подъем штанги на бицепс
Волгоград/Волгоградская область, 11-12 ноября 2023 года</t>
  </si>
  <si>
    <t>Всероссийский турнир памяти Козырева Олега
СПР Пауэрспорт ДК
Волгоград/Волгоградская область, 11-12 ноября 2023 года</t>
  </si>
  <si>
    <t>Всероссийский турнир памяти Козырева Олега
СПР Пауэрспорт
Волгоград/Волгоградская область, 11-12 ноября 2023 года</t>
  </si>
  <si>
    <t>Всероссийский турнир памяти Козырева Олега
СПР Жим штанги стоя ДК
Волгоград/Волгоградская область, 11-12 ноября 2023 года</t>
  </si>
  <si>
    <t>Всероссийский турнир памяти Козырева Олега
СПР Строгий подъем штанги на бицепс ДК
Волгоград/Волгоградская область, 11-12 ноября 2023 года</t>
  </si>
  <si>
    <t>Всероссийский турнир памяти Козырева Олега
СПР Строгий подъем штанги на бицепс
Волгоград/Волгоградская область, 11-12 ноября 2023 года</t>
  </si>
  <si>
    <t>Всероссийский турнир памяти Козырева Олега
ФЖД Армейский жим двоеборье ДК
Волгоград/Волгоградская область, 11-12 ноября 2023 года</t>
  </si>
  <si>
    <t>Всероссийский турнир памяти Козырева Олега
ФЖД Армейский жим на максимум ДК
Волгоград/Волгоградская область, 11-12 ноября 2023 года</t>
  </si>
  <si>
    <t>Весовая категория</t>
  </si>
  <si>
    <t>Юниоры 20-23 (10.09.2002)/21</t>
  </si>
  <si>
    <t>Мастера 40-49 (04.12.1982)/40</t>
  </si>
  <si>
    <t>Юноши 13-19 (21.04.2004)/19</t>
  </si>
  <si>
    <t>Юноши 13-19 (12.04.2006)/17</t>
  </si>
  <si>
    <t>Мужчины</t>
  </si>
  <si>
    <t>Юниоры 20-23 (03.03.2001)/22</t>
  </si>
  <si>
    <t>Юноши 13-19 (25.07.2005)/18</t>
  </si>
  <si>
    <t>Юноши 13-19 (22.01.2004)/19</t>
  </si>
  <si>
    <t>Юниоры 20-23 (24.03.2001)/22</t>
  </si>
  <si>
    <t>Юноши 13-19 (27.07.2004)/19</t>
  </si>
  <si>
    <t>Мастера 50-59 (15.10.1967)/56</t>
  </si>
  <si>
    <t>Юниорки 20-23 (04.02.2001)/22</t>
  </si>
  <si>
    <t>Юниоры 20-23 (12.02.2003)/20</t>
  </si>
  <si>
    <t>Девушки 13-19 (26.09.2004)/19</t>
  </si>
  <si>
    <t>Мастера 40-49 (24.08.1975)/48</t>
  </si>
  <si>
    <t>Многоповторный жим</t>
  </si>
  <si>
    <t xml:space="preserve"> </t>
  </si>
  <si>
    <t>№</t>
  </si>
  <si>
    <t>Волгоградская область, Волгоград</t>
  </si>
  <si>
    <t>Астраханская область, Астрахань</t>
  </si>
  <si>
    <t>Волгоградская область, Палласовка</t>
  </si>
  <si>
    <t>Чеченская Республика, Гудермес</t>
  </si>
  <si>
    <t xml:space="preserve">
Дата рождения/Возраст</t>
  </si>
  <si>
    <t>Возрастная группа</t>
  </si>
  <si>
    <t>O</t>
  </si>
  <si>
    <t>T1</t>
  </si>
  <si>
    <t>Республика Калмыкия, Элиста</t>
  </si>
  <si>
    <t>Волгоградская область, Волжский</t>
  </si>
  <si>
    <t>Республика Крым, Керчь</t>
  </si>
  <si>
    <t>Волгоградская область, Михайловка</t>
  </si>
  <si>
    <t>Нижегородская область, Кстово</t>
  </si>
  <si>
    <t>Волгоградская область, Камышин</t>
  </si>
  <si>
    <t>Кемеровская область, Новокузнецк</t>
  </si>
  <si>
    <t>Волгоградская область, Дубовка</t>
  </si>
  <si>
    <t>Нижегородская область, Дзержинск</t>
  </si>
  <si>
    <t>Ростовская область, Новочеркасск</t>
  </si>
  <si>
    <t xml:space="preserve">Москва </t>
  </si>
  <si>
    <t>T2</t>
  </si>
  <si>
    <t>J</t>
  </si>
  <si>
    <t>M2</t>
  </si>
  <si>
    <t>M1</t>
  </si>
  <si>
    <t>M3</t>
  </si>
  <si>
    <t>T</t>
  </si>
  <si>
    <t>жим</t>
  </si>
  <si>
    <t>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</si>
</sst>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A22C-4198-420D-A945-186623CB73FE}">
  <dimension ref="A1:U63"/>
  <sheetViews>
    <sheetView topLeftCell="A13" workbookViewId="0">
      <selection activeCell="A19" sqref="A19:R19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7.83203125" style="5" customWidth="1"/>
    <col min="7" max="7" width="5.6640625" style="19" bestFit="1" customWidth="1"/>
    <col min="8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20.83203125" style="5" customWidth="1"/>
    <col min="22" max="16384" width="9.1640625" style="3"/>
  </cols>
  <sheetData>
    <row r="1" spans="1:21" s="2" customFormat="1" ht="29" customHeight="1">
      <c r="A1" s="62" t="s">
        <v>418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1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9</v>
      </c>
      <c r="H3" s="74"/>
      <c r="I3" s="74"/>
      <c r="J3" s="74"/>
      <c r="K3" s="74" t="s">
        <v>10</v>
      </c>
      <c r="L3" s="74"/>
      <c r="M3" s="74"/>
      <c r="N3" s="74"/>
      <c r="O3" s="74" t="s">
        <v>11</v>
      </c>
      <c r="P3" s="74"/>
      <c r="Q3" s="74"/>
      <c r="R3" s="74"/>
      <c r="S3" s="56" t="s">
        <v>1</v>
      </c>
      <c r="T3" s="56" t="s">
        <v>3</v>
      </c>
      <c r="U3" s="58" t="s">
        <v>2</v>
      </c>
    </row>
    <row r="4" spans="1:21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7"/>
      <c r="T4" s="57"/>
      <c r="U4" s="59"/>
    </row>
    <row r="5" spans="1:21" ht="16">
      <c r="A5" s="60" t="s">
        <v>93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2" t="s">
        <v>30</v>
      </c>
      <c r="B6" s="7" t="s">
        <v>178</v>
      </c>
      <c r="C6" s="7" t="s">
        <v>95</v>
      </c>
      <c r="D6" s="7" t="s">
        <v>96</v>
      </c>
      <c r="E6" s="8" t="s">
        <v>465</v>
      </c>
      <c r="F6" s="7" t="s">
        <v>459</v>
      </c>
      <c r="G6" s="21" t="s">
        <v>97</v>
      </c>
      <c r="H6" s="21" t="s">
        <v>98</v>
      </c>
      <c r="I6" s="21" t="s">
        <v>99</v>
      </c>
      <c r="J6" s="22"/>
      <c r="K6" s="21" t="s">
        <v>35</v>
      </c>
      <c r="L6" s="21" t="s">
        <v>100</v>
      </c>
      <c r="M6" s="23" t="s">
        <v>36</v>
      </c>
      <c r="N6" s="22"/>
      <c r="O6" s="21" t="s">
        <v>101</v>
      </c>
      <c r="P6" s="21" t="s">
        <v>102</v>
      </c>
      <c r="Q6" s="21" t="s">
        <v>103</v>
      </c>
      <c r="R6" s="22"/>
      <c r="S6" s="9" t="str">
        <f>"262,5"</f>
        <v>262,5</v>
      </c>
      <c r="T6" s="9" t="str">
        <f>"332,6663"</f>
        <v>332,6663</v>
      </c>
      <c r="U6" s="7" t="s">
        <v>179</v>
      </c>
    </row>
    <row r="8" spans="1:21" ht="16">
      <c r="A8" s="52" t="s">
        <v>104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31" t="s">
        <v>30</v>
      </c>
      <c r="B9" s="24" t="s">
        <v>179</v>
      </c>
      <c r="C9" s="24" t="s">
        <v>106</v>
      </c>
      <c r="D9" s="24" t="s">
        <v>107</v>
      </c>
      <c r="E9" s="25" t="s">
        <v>465</v>
      </c>
      <c r="F9" s="24" t="s">
        <v>459</v>
      </c>
      <c r="G9" s="30" t="s">
        <v>97</v>
      </c>
      <c r="H9" s="30" t="s">
        <v>98</v>
      </c>
      <c r="I9" s="30" t="s">
        <v>99</v>
      </c>
      <c r="J9" s="31"/>
      <c r="K9" s="30" t="s">
        <v>35</v>
      </c>
      <c r="L9" s="32" t="s">
        <v>100</v>
      </c>
      <c r="M9" s="32" t="s">
        <v>100</v>
      </c>
      <c r="N9" s="31"/>
      <c r="O9" s="30" t="s">
        <v>108</v>
      </c>
      <c r="P9" s="30" t="s">
        <v>109</v>
      </c>
      <c r="Q9" s="30" t="s">
        <v>110</v>
      </c>
      <c r="R9" s="31"/>
      <c r="S9" s="26" t="str">
        <f>"287,5"</f>
        <v>287,5</v>
      </c>
      <c r="T9" s="26" t="str">
        <f>"340,6588"</f>
        <v>340,6588</v>
      </c>
      <c r="U9" s="24" t="s">
        <v>417</v>
      </c>
    </row>
    <row r="10" spans="1:21">
      <c r="A10" s="35" t="s">
        <v>91</v>
      </c>
      <c r="B10" s="27" t="s">
        <v>180</v>
      </c>
      <c r="C10" s="27" t="s">
        <v>111</v>
      </c>
      <c r="D10" s="27" t="s">
        <v>112</v>
      </c>
      <c r="E10" s="28" t="s">
        <v>465</v>
      </c>
      <c r="F10" s="27" t="s">
        <v>467</v>
      </c>
      <c r="G10" s="33" t="s">
        <v>98</v>
      </c>
      <c r="H10" s="33" t="s">
        <v>56</v>
      </c>
      <c r="I10" s="34" t="s">
        <v>103</v>
      </c>
      <c r="J10" s="35"/>
      <c r="K10" s="33" t="s">
        <v>113</v>
      </c>
      <c r="L10" s="34" t="s">
        <v>35</v>
      </c>
      <c r="M10" s="34" t="s">
        <v>35</v>
      </c>
      <c r="N10" s="35"/>
      <c r="O10" s="33" t="s">
        <v>99</v>
      </c>
      <c r="P10" s="33" t="s">
        <v>56</v>
      </c>
      <c r="Q10" s="34" t="s">
        <v>101</v>
      </c>
      <c r="R10" s="35"/>
      <c r="S10" s="29" t="str">
        <f>"250,0"</f>
        <v>250,0</v>
      </c>
      <c r="T10" s="29" t="str">
        <f>"300,4750"</f>
        <v>300,4750</v>
      </c>
      <c r="U10" s="27"/>
    </row>
    <row r="12" spans="1:21" ht="16">
      <c r="A12" s="52" t="s">
        <v>32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21">
      <c r="A13" s="31" t="s">
        <v>30</v>
      </c>
      <c r="B13" s="24" t="s">
        <v>181</v>
      </c>
      <c r="C13" s="24" t="s">
        <v>115</v>
      </c>
      <c r="D13" s="24" t="s">
        <v>116</v>
      </c>
      <c r="E13" s="25" t="s">
        <v>465</v>
      </c>
      <c r="F13" s="24" t="s">
        <v>459</v>
      </c>
      <c r="G13" s="30" t="s">
        <v>99</v>
      </c>
      <c r="H13" s="30" t="s">
        <v>56</v>
      </c>
      <c r="I13" s="30" t="s">
        <v>101</v>
      </c>
      <c r="J13" s="31"/>
      <c r="K13" s="30" t="s">
        <v>36</v>
      </c>
      <c r="L13" s="30" t="s">
        <v>37</v>
      </c>
      <c r="M13" s="32" t="s">
        <v>117</v>
      </c>
      <c r="N13" s="31"/>
      <c r="O13" s="30" t="s">
        <v>118</v>
      </c>
      <c r="P13" s="32" t="s">
        <v>119</v>
      </c>
      <c r="Q13" s="32" t="s">
        <v>119</v>
      </c>
      <c r="R13" s="31"/>
      <c r="S13" s="26" t="str">
        <f>"315,0"</f>
        <v>315,0</v>
      </c>
      <c r="T13" s="26" t="str">
        <f>"351,1935"</f>
        <v>351,1935</v>
      </c>
      <c r="U13" s="24" t="s">
        <v>416</v>
      </c>
    </row>
    <row r="14" spans="1:21">
      <c r="A14" s="35" t="s">
        <v>91</v>
      </c>
      <c r="B14" s="27" t="s">
        <v>182</v>
      </c>
      <c r="C14" s="27" t="s">
        <v>120</v>
      </c>
      <c r="D14" s="27" t="s">
        <v>121</v>
      </c>
      <c r="E14" s="28" t="s">
        <v>465</v>
      </c>
      <c r="F14" s="27" t="s">
        <v>459</v>
      </c>
      <c r="G14" s="33" t="s">
        <v>99</v>
      </c>
      <c r="H14" s="33" t="s">
        <v>122</v>
      </c>
      <c r="I14" s="33" t="s">
        <v>102</v>
      </c>
      <c r="J14" s="35"/>
      <c r="K14" s="33" t="s">
        <v>113</v>
      </c>
      <c r="L14" s="33" t="s">
        <v>36</v>
      </c>
      <c r="M14" s="33" t="s">
        <v>37</v>
      </c>
      <c r="N14" s="35"/>
      <c r="O14" s="33" t="s">
        <v>56</v>
      </c>
      <c r="P14" s="33" t="s">
        <v>103</v>
      </c>
      <c r="Q14" s="33" t="s">
        <v>47</v>
      </c>
      <c r="R14" s="35"/>
      <c r="S14" s="29" t="str">
        <f>"292,5"</f>
        <v>292,5</v>
      </c>
      <c r="T14" s="29" t="str">
        <f>"327,8048"</f>
        <v>327,8048</v>
      </c>
      <c r="U14" s="27"/>
    </row>
    <row r="16" spans="1:21" ht="16">
      <c r="A16" s="52" t="s">
        <v>123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21">
      <c r="A17" s="22" t="s">
        <v>30</v>
      </c>
      <c r="B17" s="7" t="s">
        <v>183</v>
      </c>
      <c r="C17" s="7" t="s">
        <v>124</v>
      </c>
      <c r="D17" s="7" t="s">
        <v>125</v>
      </c>
      <c r="E17" s="8" t="s">
        <v>465</v>
      </c>
      <c r="F17" s="7" t="s">
        <v>459</v>
      </c>
      <c r="G17" s="21" t="s">
        <v>99</v>
      </c>
      <c r="H17" s="21" t="s">
        <v>56</v>
      </c>
      <c r="I17" s="23" t="s">
        <v>102</v>
      </c>
      <c r="J17" s="22"/>
      <c r="K17" s="21" t="s">
        <v>100</v>
      </c>
      <c r="L17" s="21" t="s">
        <v>36</v>
      </c>
      <c r="M17" s="23" t="s">
        <v>37</v>
      </c>
      <c r="N17" s="22"/>
      <c r="O17" s="23" t="s">
        <v>47</v>
      </c>
      <c r="P17" s="21" t="s">
        <v>47</v>
      </c>
      <c r="Q17" s="23" t="s">
        <v>108</v>
      </c>
      <c r="R17" s="22"/>
      <c r="S17" s="9" t="str">
        <f>"280,0"</f>
        <v>280,0</v>
      </c>
      <c r="T17" s="9" t="str">
        <f>"292,0960"</f>
        <v>292,0960</v>
      </c>
      <c r="U17" s="7"/>
    </row>
    <row r="19" spans="1:21" ht="16">
      <c r="A19" s="52" t="s">
        <v>32</v>
      </c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</row>
    <row r="20" spans="1:21">
      <c r="A20" s="31" t="s">
        <v>30</v>
      </c>
      <c r="B20" s="24" t="s">
        <v>184</v>
      </c>
      <c r="C20" s="24" t="s">
        <v>127</v>
      </c>
      <c r="D20" s="24" t="s">
        <v>128</v>
      </c>
      <c r="E20" s="25" t="s">
        <v>465</v>
      </c>
      <c r="F20" s="24" t="s">
        <v>459</v>
      </c>
      <c r="G20" s="30" t="s">
        <v>18</v>
      </c>
      <c r="H20" s="30" t="s">
        <v>19</v>
      </c>
      <c r="I20" s="32" t="s">
        <v>129</v>
      </c>
      <c r="J20" s="31"/>
      <c r="K20" s="30" t="s">
        <v>101</v>
      </c>
      <c r="L20" s="30" t="s">
        <v>103</v>
      </c>
      <c r="M20" s="30" t="s">
        <v>130</v>
      </c>
      <c r="N20" s="31"/>
      <c r="O20" s="30" t="s">
        <v>73</v>
      </c>
      <c r="P20" s="32" t="s">
        <v>131</v>
      </c>
      <c r="Q20" s="30" t="s">
        <v>131</v>
      </c>
      <c r="R20" s="31"/>
      <c r="S20" s="26" t="str">
        <f>"485,0"</f>
        <v>485,0</v>
      </c>
      <c r="T20" s="26" t="str">
        <f>"427,5760"</f>
        <v>427,5760</v>
      </c>
      <c r="U20" s="24" t="s">
        <v>132</v>
      </c>
    </row>
    <row r="21" spans="1:21">
      <c r="A21" s="35" t="s">
        <v>91</v>
      </c>
      <c r="B21" s="27" t="s">
        <v>185</v>
      </c>
      <c r="C21" s="27" t="s">
        <v>133</v>
      </c>
      <c r="D21" s="27" t="s">
        <v>134</v>
      </c>
      <c r="E21" s="28" t="s">
        <v>465</v>
      </c>
      <c r="F21" s="27" t="s">
        <v>459</v>
      </c>
      <c r="G21" s="33" t="s">
        <v>99</v>
      </c>
      <c r="H21" s="34" t="s">
        <v>56</v>
      </c>
      <c r="I21" s="35"/>
      <c r="J21" s="35"/>
      <c r="K21" s="33" t="s">
        <v>37</v>
      </c>
      <c r="L21" s="33" t="s">
        <v>49</v>
      </c>
      <c r="M21" s="34" t="s">
        <v>50</v>
      </c>
      <c r="N21" s="35"/>
      <c r="O21" s="33" t="s">
        <v>135</v>
      </c>
      <c r="P21" s="34" t="s">
        <v>57</v>
      </c>
      <c r="Q21" s="34" t="s">
        <v>57</v>
      </c>
      <c r="R21" s="35"/>
      <c r="S21" s="29" t="str">
        <f>"287,5"</f>
        <v>287,5</v>
      </c>
      <c r="T21" s="29" t="str">
        <f>"253,0575"</f>
        <v>253,0575</v>
      </c>
      <c r="U21" s="27"/>
    </row>
    <row r="23" spans="1:21" ht="16">
      <c r="A23" s="52" t="s">
        <v>123</v>
      </c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21">
      <c r="A24" s="22" t="s">
        <v>30</v>
      </c>
      <c r="B24" s="7" t="s">
        <v>186</v>
      </c>
      <c r="C24" s="7" t="s">
        <v>136</v>
      </c>
      <c r="D24" s="7" t="s">
        <v>137</v>
      </c>
      <c r="E24" s="8" t="s">
        <v>465</v>
      </c>
      <c r="F24" s="7" t="s">
        <v>459</v>
      </c>
      <c r="G24" s="21" t="s">
        <v>103</v>
      </c>
      <c r="H24" s="21" t="s">
        <v>47</v>
      </c>
      <c r="I24" s="21" t="s">
        <v>48</v>
      </c>
      <c r="J24" s="22"/>
      <c r="K24" s="21" t="s">
        <v>99</v>
      </c>
      <c r="L24" s="23" t="s">
        <v>56</v>
      </c>
      <c r="M24" s="21" t="s">
        <v>56</v>
      </c>
      <c r="N24" s="22"/>
      <c r="O24" s="21" t="s">
        <v>138</v>
      </c>
      <c r="P24" s="21" t="s">
        <v>51</v>
      </c>
      <c r="Q24" s="21" t="s">
        <v>139</v>
      </c>
      <c r="R24" s="22"/>
      <c r="S24" s="9" t="str">
        <f>"372,5"</f>
        <v>372,5</v>
      </c>
      <c r="T24" s="9" t="str">
        <f>"287,9052"</f>
        <v>287,9052</v>
      </c>
      <c r="U24" s="7" t="s">
        <v>140</v>
      </c>
    </row>
    <row r="26" spans="1:21" ht="16">
      <c r="A26" s="52" t="s">
        <v>44</v>
      </c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21">
      <c r="A27" s="31" t="s">
        <v>30</v>
      </c>
      <c r="B27" s="24" t="s">
        <v>187</v>
      </c>
      <c r="C27" s="24" t="s">
        <v>141</v>
      </c>
      <c r="D27" s="24" t="s">
        <v>142</v>
      </c>
      <c r="E27" s="25" t="s">
        <v>466</v>
      </c>
      <c r="F27" s="24" t="s">
        <v>459</v>
      </c>
      <c r="G27" s="30" t="s">
        <v>48</v>
      </c>
      <c r="H27" s="30" t="s">
        <v>51</v>
      </c>
      <c r="I27" s="30" t="s">
        <v>118</v>
      </c>
      <c r="J27" s="31"/>
      <c r="K27" s="30" t="s">
        <v>56</v>
      </c>
      <c r="L27" s="32" t="s">
        <v>101</v>
      </c>
      <c r="M27" s="32" t="s">
        <v>101</v>
      </c>
      <c r="N27" s="31"/>
      <c r="O27" s="30" t="s">
        <v>18</v>
      </c>
      <c r="P27" s="30" t="s">
        <v>129</v>
      </c>
      <c r="Q27" s="30" t="s">
        <v>64</v>
      </c>
      <c r="R27" s="31"/>
      <c r="S27" s="26" t="str">
        <f>"425,0"</f>
        <v>425,0</v>
      </c>
      <c r="T27" s="26" t="str">
        <f>"306,8925"</f>
        <v>306,8925</v>
      </c>
      <c r="U27" s="24" t="s">
        <v>140</v>
      </c>
    </row>
    <row r="28" spans="1:21">
      <c r="A28" s="41" t="s">
        <v>30</v>
      </c>
      <c r="B28" s="36" t="s">
        <v>188</v>
      </c>
      <c r="C28" s="36" t="s">
        <v>144</v>
      </c>
      <c r="D28" s="36" t="s">
        <v>145</v>
      </c>
      <c r="E28" s="37" t="s">
        <v>465</v>
      </c>
      <c r="F28" s="36" t="s">
        <v>459</v>
      </c>
      <c r="G28" s="39" t="s">
        <v>65</v>
      </c>
      <c r="H28" s="40" t="s">
        <v>146</v>
      </c>
      <c r="I28" s="40" t="s">
        <v>146</v>
      </c>
      <c r="J28" s="41"/>
      <c r="K28" s="39" t="s">
        <v>51</v>
      </c>
      <c r="L28" s="40" t="s">
        <v>18</v>
      </c>
      <c r="M28" s="40" t="s">
        <v>18</v>
      </c>
      <c r="N28" s="41"/>
      <c r="O28" s="39" t="s">
        <v>147</v>
      </c>
      <c r="P28" s="40" t="s">
        <v>148</v>
      </c>
      <c r="Q28" s="39" t="s">
        <v>149</v>
      </c>
      <c r="R28" s="41"/>
      <c r="S28" s="38" t="str">
        <f>"560,0"</f>
        <v>560,0</v>
      </c>
      <c r="T28" s="38" t="str">
        <f>"399,0560"</f>
        <v>399,0560</v>
      </c>
      <c r="U28" s="36"/>
    </row>
    <row r="29" spans="1:21">
      <c r="A29" s="35" t="s">
        <v>91</v>
      </c>
      <c r="B29" s="27" t="s">
        <v>189</v>
      </c>
      <c r="C29" s="27" t="s">
        <v>150</v>
      </c>
      <c r="D29" s="27" t="s">
        <v>151</v>
      </c>
      <c r="E29" s="28" t="s">
        <v>465</v>
      </c>
      <c r="F29" s="27" t="s">
        <v>459</v>
      </c>
      <c r="G29" s="33" t="s">
        <v>130</v>
      </c>
      <c r="H29" s="33" t="s">
        <v>48</v>
      </c>
      <c r="I29" s="33" t="s">
        <v>110</v>
      </c>
      <c r="J29" s="35"/>
      <c r="K29" s="33" t="s">
        <v>98</v>
      </c>
      <c r="L29" s="34" t="s">
        <v>152</v>
      </c>
      <c r="M29" s="34" t="s">
        <v>152</v>
      </c>
      <c r="N29" s="35"/>
      <c r="O29" s="33" t="s">
        <v>52</v>
      </c>
      <c r="P29" s="33" t="s">
        <v>153</v>
      </c>
      <c r="Q29" s="33" t="s">
        <v>64</v>
      </c>
      <c r="R29" s="35"/>
      <c r="S29" s="29" t="str">
        <f>"410,0"</f>
        <v>410,0</v>
      </c>
      <c r="T29" s="29" t="str">
        <f>"300,8170"</f>
        <v>300,8170</v>
      </c>
      <c r="U29" s="27"/>
    </row>
    <row r="31" spans="1:21" ht="16">
      <c r="A31" s="52" t="s">
        <v>53</v>
      </c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</row>
    <row r="32" spans="1:21">
      <c r="A32" s="31" t="s">
        <v>30</v>
      </c>
      <c r="B32" s="24" t="s">
        <v>190</v>
      </c>
      <c r="C32" s="24" t="s">
        <v>154</v>
      </c>
      <c r="D32" s="24" t="s">
        <v>155</v>
      </c>
      <c r="E32" s="25" t="s">
        <v>465</v>
      </c>
      <c r="F32" s="24" t="s">
        <v>459</v>
      </c>
      <c r="G32" s="32" t="s">
        <v>64</v>
      </c>
      <c r="H32" s="30" t="s">
        <v>64</v>
      </c>
      <c r="I32" s="30" t="s">
        <v>156</v>
      </c>
      <c r="J32" s="31"/>
      <c r="K32" s="30" t="s">
        <v>56</v>
      </c>
      <c r="L32" s="30" t="s">
        <v>102</v>
      </c>
      <c r="M32" s="31"/>
      <c r="N32" s="31"/>
      <c r="O32" s="30" t="s">
        <v>157</v>
      </c>
      <c r="P32" s="32" t="s">
        <v>79</v>
      </c>
      <c r="Q32" s="32" t="s">
        <v>79</v>
      </c>
      <c r="R32" s="31"/>
      <c r="S32" s="26" t="str">
        <f>"522,5"</f>
        <v>522,5</v>
      </c>
      <c r="T32" s="26" t="str">
        <f>"351,3290"</f>
        <v>351,3290</v>
      </c>
      <c r="U32" s="24" t="s">
        <v>416</v>
      </c>
    </row>
    <row r="33" spans="1:21">
      <c r="A33" s="35" t="s">
        <v>91</v>
      </c>
      <c r="B33" s="27" t="s">
        <v>191</v>
      </c>
      <c r="C33" s="27" t="s">
        <v>158</v>
      </c>
      <c r="D33" s="27" t="s">
        <v>159</v>
      </c>
      <c r="E33" s="28" t="s">
        <v>465</v>
      </c>
      <c r="F33" s="27" t="s">
        <v>459</v>
      </c>
      <c r="G33" s="33" t="s">
        <v>129</v>
      </c>
      <c r="H33" s="33" t="s">
        <v>64</v>
      </c>
      <c r="I33" s="34" t="s">
        <v>156</v>
      </c>
      <c r="J33" s="35"/>
      <c r="K33" s="33" t="s">
        <v>56</v>
      </c>
      <c r="L33" s="33" t="s">
        <v>102</v>
      </c>
      <c r="M33" s="34" t="s">
        <v>103</v>
      </c>
      <c r="N33" s="35"/>
      <c r="O33" s="33" t="s">
        <v>156</v>
      </c>
      <c r="P33" s="33" t="s">
        <v>160</v>
      </c>
      <c r="Q33" s="34" t="s">
        <v>131</v>
      </c>
      <c r="R33" s="35"/>
      <c r="S33" s="29" t="str">
        <f>"492,5"</f>
        <v>492,5</v>
      </c>
      <c r="T33" s="29" t="str">
        <f>"334,4075"</f>
        <v>334,4075</v>
      </c>
      <c r="U33" s="27"/>
    </row>
    <row r="35" spans="1:21" ht="16">
      <c r="A35" s="52" t="s">
        <v>58</v>
      </c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</row>
    <row r="36" spans="1:21">
      <c r="A36" s="22" t="s">
        <v>30</v>
      </c>
      <c r="B36" s="7" t="s">
        <v>192</v>
      </c>
      <c r="C36" s="7" t="s">
        <v>161</v>
      </c>
      <c r="D36" s="7" t="s">
        <v>162</v>
      </c>
      <c r="E36" s="8" t="s">
        <v>465</v>
      </c>
      <c r="F36" s="7" t="s">
        <v>459</v>
      </c>
      <c r="G36" s="21" t="s">
        <v>64</v>
      </c>
      <c r="H36" s="21" t="s">
        <v>73</v>
      </c>
      <c r="I36" s="21" t="s">
        <v>131</v>
      </c>
      <c r="J36" s="22"/>
      <c r="K36" s="21" t="s">
        <v>103</v>
      </c>
      <c r="L36" s="21" t="s">
        <v>47</v>
      </c>
      <c r="M36" s="23" t="s">
        <v>138</v>
      </c>
      <c r="N36" s="22"/>
      <c r="O36" s="21" t="s">
        <v>147</v>
      </c>
      <c r="P36" s="21" t="s">
        <v>71</v>
      </c>
      <c r="Q36" s="21" t="s">
        <v>63</v>
      </c>
      <c r="R36" s="22"/>
      <c r="S36" s="9" t="str">
        <f>"590,0"</f>
        <v>590,0</v>
      </c>
      <c r="T36" s="9" t="str">
        <f>"379,9600"</f>
        <v>379,9600</v>
      </c>
      <c r="U36" s="7"/>
    </row>
    <row r="38" spans="1:21" ht="16">
      <c r="A38" s="52" t="s">
        <v>163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</row>
    <row r="39" spans="1:21">
      <c r="A39" s="31" t="s">
        <v>30</v>
      </c>
      <c r="B39" s="24" t="s">
        <v>193</v>
      </c>
      <c r="C39" s="24" t="s">
        <v>165</v>
      </c>
      <c r="D39" s="24" t="s">
        <v>166</v>
      </c>
      <c r="E39" s="25" t="s">
        <v>465</v>
      </c>
      <c r="F39" s="24" t="s">
        <v>167</v>
      </c>
      <c r="G39" s="30" t="s">
        <v>147</v>
      </c>
      <c r="H39" s="32" t="s">
        <v>157</v>
      </c>
      <c r="I39" s="32" t="s">
        <v>157</v>
      </c>
      <c r="J39" s="31"/>
      <c r="K39" s="30" t="s">
        <v>19</v>
      </c>
      <c r="L39" s="30" t="s">
        <v>153</v>
      </c>
      <c r="M39" s="30" t="s">
        <v>129</v>
      </c>
      <c r="N39" s="31"/>
      <c r="O39" s="32" t="s">
        <v>157</v>
      </c>
      <c r="P39" s="30" t="s">
        <v>149</v>
      </c>
      <c r="Q39" s="32" t="s">
        <v>71</v>
      </c>
      <c r="R39" s="31"/>
      <c r="S39" s="26" t="str">
        <f>"625,0"</f>
        <v>625,0</v>
      </c>
      <c r="T39" s="26" t="str">
        <f>"380,3750"</f>
        <v>380,3750</v>
      </c>
      <c r="U39" s="24"/>
    </row>
    <row r="40" spans="1:21">
      <c r="A40" s="41" t="s">
        <v>91</v>
      </c>
      <c r="B40" s="36" t="s">
        <v>194</v>
      </c>
      <c r="C40" s="36" t="s">
        <v>168</v>
      </c>
      <c r="D40" s="36" t="s">
        <v>169</v>
      </c>
      <c r="E40" s="37" t="s">
        <v>465</v>
      </c>
      <c r="F40" s="36" t="s">
        <v>468</v>
      </c>
      <c r="G40" s="39" t="s">
        <v>160</v>
      </c>
      <c r="H40" s="40" t="s">
        <v>170</v>
      </c>
      <c r="I40" s="40" t="s">
        <v>170</v>
      </c>
      <c r="J40" s="41"/>
      <c r="K40" s="39" t="s">
        <v>51</v>
      </c>
      <c r="L40" s="39" t="s">
        <v>118</v>
      </c>
      <c r="M40" s="39" t="s">
        <v>139</v>
      </c>
      <c r="N40" s="41"/>
      <c r="O40" s="39" t="s">
        <v>73</v>
      </c>
      <c r="P40" s="39" t="s">
        <v>131</v>
      </c>
      <c r="Q40" s="40" t="s">
        <v>157</v>
      </c>
      <c r="R40" s="41"/>
      <c r="S40" s="38" t="str">
        <f>"562,5"</f>
        <v>562,5</v>
      </c>
      <c r="T40" s="38" t="str">
        <f>"342,6187"</f>
        <v>342,6187</v>
      </c>
      <c r="U40" s="36"/>
    </row>
    <row r="41" spans="1:21">
      <c r="A41" s="35" t="s">
        <v>195</v>
      </c>
      <c r="B41" s="27" t="s">
        <v>196</v>
      </c>
      <c r="C41" s="27" t="s">
        <v>171</v>
      </c>
      <c r="D41" s="27" t="s">
        <v>172</v>
      </c>
      <c r="E41" s="28" t="s">
        <v>465</v>
      </c>
      <c r="F41" s="27" t="s">
        <v>459</v>
      </c>
      <c r="G41" s="33" t="s">
        <v>129</v>
      </c>
      <c r="H41" s="34" t="s">
        <v>65</v>
      </c>
      <c r="I41" s="34" t="s">
        <v>65</v>
      </c>
      <c r="J41" s="35"/>
      <c r="K41" s="33" t="s">
        <v>56</v>
      </c>
      <c r="L41" s="34" t="s">
        <v>101</v>
      </c>
      <c r="M41" s="33" t="s">
        <v>101</v>
      </c>
      <c r="N41" s="35"/>
      <c r="O41" s="33" t="s">
        <v>147</v>
      </c>
      <c r="P41" s="33" t="s">
        <v>148</v>
      </c>
      <c r="Q41" s="34" t="s">
        <v>149</v>
      </c>
      <c r="R41" s="35"/>
      <c r="S41" s="29" t="str">
        <f>"505,0"</f>
        <v>505,0</v>
      </c>
      <c r="T41" s="29" t="str">
        <f>"307,9490"</f>
        <v>307,9490</v>
      </c>
      <c r="U41" s="27"/>
    </row>
    <row r="43" spans="1:21" ht="16">
      <c r="A43" s="52" t="s">
        <v>68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</row>
    <row r="44" spans="1:21">
      <c r="A44" s="22" t="s">
        <v>30</v>
      </c>
      <c r="B44" s="7" t="s">
        <v>197</v>
      </c>
      <c r="C44" s="7" t="s">
        <v>173</v>
      </c>
      <c r="D44" s="7" t="s">
        <v>174</v>
      </c>
      <c r="E44" s="8" t="s">
        <v>466</v>
      </c>
      <c r="F44" s="7" t="s">
        <v>459</v>
      </c>
      <c r="G44" s="21" t="s">
        <v>51</v>
      </c>
      <c r="H44" s="21" t="s">
        <v>18</v>
      </c>
      <c r="I44" s="21" t="s">
        <v>19</v>
      </c>
      <c r="J44" s="22"/>
      <c r="K44" s="21" t="s">
        <v>98</v>
      </c>
      <c r="L44" s="21" t="s">
        <v>152</v>
      </c>
      <c r="M44" s="21" t="s">
        <v>122</v>
      </c>
      <c r="N44" s="22"/>
      <c r="O44" s="21" t="s">
        <v>51</v>
      </c>
      <c r="P44" s="23" t="s">
        <v>18</v>
      </c>
      <c r="Q44" s="21" t="s">
        <v>18</v>
      </c>
      <c r="R44" s="22"/>
      <c r="S44" s="9" t="str">
        <f>"412,5"</f>
        <v>412,5</v>
      </c>
      <c r="T44" s="9" t="str">
        <f>"244,9838"</f>
        <v>244,9838</v>
      </c>
      <c r="U44" s="7" t="s">
        <v>140</v>
      </c>
    </row>
    <row r="46" spans="1:21" ht="16">
      <c r="F46" s="11"/>
      <c r="G46" s="5"/>
    </row>
    <row r="47" spans="1:21">
      <c r="G47" s="5"/>
    </row>
    <row r="48" spans="1:21" ht="18">
      <c r="B48" s="12" t="s">
        <v>23</v>
      </c>
      <c r="C48" s="12"/>
    </row>
    <row r="49" spans="2:7" ht="16">
      <c r="B49" s="13" t="s">
        <v>81</v>
      </c>
      <c r="C49" s="13"/>
    </row>
    <row r="50" spans="2:7" ht="14">
      <c r="B50" s="14"/>
      <c r="C50" s="15" t="s">
        <v>25</v>
      </c>
    </row>
    <row r="51" spans="2:7" ht="14">
      <c r="B51" s="16" t="s">
        <v>26</v>
      </c>
      <c r="C51" s="16" t="s">
        <v>27</v>
      </c>
      <c r="D51" s="16" t="s">
        <v>440</v>
      </c>
      <c r="E51" s="17" t="s">
        <v>28</v>
      </c>
      <c r="F51" s="16" t="s">
        <v>29</v>
      </c>
    </row>
    <row r="52" spans="2:7">
      <c r="B52" s="5" t="s">
        <v>114</v>
      </c>
      <c r="C52" s="5" t="s">
        <v>25</v>
      </c>
      <c r="D52" s="19" t="s">
        <v>82</v>
      </c>
      <c r="E52" s="20">
        <v>315</v>
      </c>
      <c r="F52" s="18">
        <v>351.193497776985</v>
      </c>
    </row>
    <row r="53" spans="2:7">
      <c r="B53" s="5" t="s">
        <v>105</v>
      </c>
      <c r="C53" s="5" t="s">
        <v>25</v>
      </c>
      <c r="D53" s="19" t="s">
        <v>175</v>
      </c>
      <c r="E53" s="20">
        <v>287.5</v>
      </c>
      <c r="F53" s="18">
        <v>340.65876305103302</v>
      </c>
    </row>
    <row r="54" spans="2:7">
      <c r="B54" s="5" t="s">
        <v>94</v>
      </c>
      <c r="C54" s="5" t="s">
        <v>25</v>
      </c>
      <c r="D54" s="19" t="s">
        <v>176</v>
      </c>
      <c r="E54" s="20">
        <v>262.5</v>
      </c>
      <c r="F54" s="18">
        <v>332.66625255346298</v>
      </c>
    </row>
    <row r="57" spans="2:7" ht="16">
      <c r="B57" s="13" t="s">
        <v>24</v>
      </c>
      <c r="C57" s="13"/>
    </row>
    <row r="58" spans="2:7" ht="14">
      <c r="B58" s="14"/>
      <c r="C58" s="15" t="s">
        <v>25</v>
      </c>
    </row>
    <row r="59" spans="2:7" ht="14">
      <c r="B59" s="16" t="s">
        <v>26</v>
      </c>
      <c r="C59" s="16" t="s">
        <v>27</v>
      </c>
      <c r="D59" s="16" t="s">
        <v>440</v>
      </c>
      <c r="E59" s="17" t="s">
        <v>28</v>
      </c>
      <c r="F59" s="16" t="s">
        <v>29</v>
      </c>
    </row>
    <row r="60" spans="2:7">
      <c r="B60" s="5" t="s">
        <v>126</v>
      </c>
      <c r="C60" s="5" t="s">
        <v>25</v>
      </c>
      <c r="D60" s="19" t="s">
        <v>82</v>
      </c>
      <c r="E60" s="20">
        <v>485</v>
      </c>
      <c r="F60" s="18">
        <v>427.57601082324999</v>
      </c>
    </row>
    <row r="61" spans="2:7">
      <c r="B61" s="5" t="s">
        <v>143</v>
      </c>
      <c r="C61" s="5" t="s">
        <v>25</v>
      </c>
      <c r="D61" s="19" t="s">
        <v>84</v>
      </c>
      <c r="E61" s="20">
        <v>560</v>
      </c>
      <c r="F61" s="18">
        <v>399.055995941162</v>
      </c>
    </row>
    <row r="62" spans="2:7">
      <c r="B62" s="5" t="s">
        <v>164</v>
      </c>
      <c r="C62" s="5" t="s">
        <v>25</v>
      </c>
      <c r="D62" s="19" t="s">
        <v>177</v>
      </c>
      <c r="E62" s="20">
        <v>625</v>
      </c>
      <c r="F62" s="18">
        <v>380.37501275539398</v>
      </c>
    </row>
    <row r="63" spans="2:7">
      <c r="E63" s="5"/>
      <c r="F63" s="10"/>
      <c r="G63" s="5"/>
    </row>
  </sheetData>
  <mergeCells count="24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1:R31"/>
    <mergeCell ref="A35:R35"/>
    <mergeCell ref="A38:R38"/>
    <mergeCell ref="A43:R43"/>
    <mergeCell ref="B3:B4"/>
    <mergeCell ref="A8:R8"/>
    <mergeCell ref="A12:R12"/>
    <mergeCell ref="A16:R16"/>
    <mergeCell ref="A19:R19"/>
    <mergeCell ref="A23:R23"/>
    <mergeCell ref="A26:R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21EA-95BE-45CD-A65F-6A113B748CF5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16406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8.3320312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7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62" t="s">
        <v>427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10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163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193</v>
      </c>
      <c r="C6" s="7" t="s">
        <v>165</v>
      </c>
      <c r="D6" s="7" t="s">
        <v>166</v>
      </c>
      <c r="E6" s="8" t="s">
        <v>465</v>
      </c>
      <c r="F6" s="7" t="s">
        <v>462</v>
      </c>
      <c r="G6" s="21" t="s">
        <v>18</v>
      </c>
      <c r="H6" s="21" t="s">
        <v>52</v>
      </c>
      <c r="I6" s="23" t="s">
        <v>19</v>
      </c>
      <c r="J6" s="22"/>
      <c r="K6" s="9" t="str">
        <f>"155,0"</f>
        <v>155,0</v>
      </c>
      <c r="L6" s="9" t="str">
        <f>"94,3330"</f>
        <v>94,3330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FAEB-9F91-4349-A4B0-EE06183AD33D}">
  <dimension ref="A1:M54"/>
  <sheetViews>
    <sheetView topLeftCell="A22"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7.83203125" style="5" customWidth="1"/>
    <col min="4" max="4" width="21.5" style="5" bestFit="1" customWidth="1"/>
    <col min="5" max="5" width="10.5" style="10" bestFit="1" customWidth="1"/>
    <col min="6" max="6" width="41.33203125" style="5" customWidth="1"/>
    <col min="7" max="7" width="5.6640625" style="19" bestFit="1" customWidth="1"/>
    <col min="8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9" style="5" bestFit="1" customWidth="1"/>
    <col min="14" max="16384" width="9.1640625" style="3"/>
  </cols>
  <sheetData>
    <row r="1" spans="1:13" s="2" customFormat="1" ht="29" customHeight="1">
      <c r="A1" s="62" t="s">
        <v>428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11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104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31" t="s">
        <v>30</v>
      </c>
      <c r="B6" s="24" t="s">
        <v>322</v>
      </c>
      <c r="C6" s="24" t="s">
        <v>290</v>
      </c>
      <c r="D6" s="24" t="s">
        <v>291</v>
      </c>
      <c r="E6" s="25" t="s">
        <v>478</v>
      </c>
      <c r="F6" s="24" t="s">
        <v>459</v>
      </c>
      <c r="G6" s="30" t="s">
        <v>101</v>
      </c>
      <c r="H6" s="30" t="s">
        <v>103</v>
      </c>
      <c r="I6" s="30" t="s">
        <v>130</v>
      </c>
      <c r="J6" s="31"/>
      <c r="K6" s="26" t="str">
        <f>"115,0"</f>
        <v>115,0</v>
      </c>
      <c r="L6" s="26" t="str">
        <f>"135,6885"</f>
        <v>135,6885</v>
      </c>
      <c r="M6" s="24"/>
    </row>
    <row r="7" spans="1:13">
      <c r="A7" s="41" t="s">
        <v>30</v>
      </c>
      <c r="B7" s="36" t="s">
        <v>179</v>
      </c>
      <c r="C7" s="36" t="s">
        <v>106</v>
      </c>
      <c r="D7" s="36" t="s">
        <v>107</v>
      </c>
      <c r="E7" s="37" t="s">
        <v>465</v>
      </c>
      <c r="F7" s="36" t="s">
        <v>459</v>
      </c>
      <c r="G7" s="39" t="s">
        <v>108</v>
      </c>
      <c r="H7" s="39" t="s">
        <v>109</v>
      </c>
      <c r="I7" s="39" t="s">
        <v>110</v>
      </c>
      <c r="J7" s="41"/>
      <c r="K7" s="38" t="str">
        <f>"137,5"</f>
        <v>137,5</v>
      </c>
      <c r="L7" s="38" t="str">
        <f>"162,9238"</f>
        <v>162,9238</v>
      </c>
      <c r="M7" s="36" t="s">
        <v>140</v>
      </c>
    </row>
    <row r="8" spans="1:13">
      <c r="A8" s="41" t="s">
        <v>91</v>
      </c>
      <c r="B8" s="36" t="s">
        <v>323</v>
      </c>
      <c r="C8" s="36" t="s">
        <v>293</v>
      </c>
      <c r="D8" s="36" t="s">
        <v>294</v>
      </c>
      <c r="E8" s="37" t="s">
        <v>465</v>
      </c>
      <c r="F8" s="36" t="s">
        <v>459</v>
      </c>
      <c r="G8" s="39" t="s">
        <v>98</v>
      </c>
      <c r="H8" s="39" t="s">
        <v>122</v>
      </c>
      <c r="I8" s="39" t="s">
        <v>103</v>
      </c>
      <c r="J8" s="41"/>
      <c r="K8" s="38" t="str">
        <f>"110,0"</f>
        <v>110,0</v>
      </c>
      <c r="L8" s="38" t="str">
        <f>"131,2630"</f>
        <v>131,2630</v>
      </c>
      <c r="M8" s="36" t="s">
        <v>140</v>
      </c>
    </row>
    <row r="9" spans="1:13">
      <c r="A9" s="35" t="s">
        <v>195</v>
      </c>
      <c r="B9" s="27" t="s">
        <v>324</v>
      </c>
      <c r="C9" s="27" t="s">
        <v>295</v>
      </c>
      <c r="D9" s="27" t="s">
        <v>294</v>
      </c>
      <c r="E9" s="28" t="s">
        <v>465</v>
      </c>
      <c r="F9" s="27" t="s">
        <v>459</v>
      </c>
      <c r="G9" s="33" t="s">
        <v>42</v>
      </c>
      <c r="H9" s="33" t="s">
        <v>43</v>
      </c>
      <c r="I9" s="33" t="s">
        <v>97</v>
      </c>
      <c r="J9" s="35"/>
      <c r="K9" s="29" t="str">
        <f>"90,0"</f>
        <v>90,0</v>
      </c>
      <c r="L9" s="29" t="str">
        <f>"107,3970"</f>
        <v>107,3970</v>
      </c>
      <c r="M9" s="27"/>
    </row>
    <row r="11" spans="1:13" ht="16">
      <c r="A11" s="52" t="s">
        <v>32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31" t="s">
        <v>30</v>
      </c>
      <c r="B12" s="24" t="s">
        <v>325</v>
      </c>
      <c r="C12" s="24" t="s">
        <v>296</v>
      </c>
      <c r="D12" s="24" t="s">
        <v>116</v>
      </c>
      <c r="E12" s="25" t="s">
        <v>479</v>
      </c>
      <c r="F12" s="24" t="s">
        <v>459</v>
      </c>
      <c r="G12" s="30" t="s">
        <v>103</v>
      </c>
      <c r="H12" s="30" t="s">
        <v>130</v>
      </c>
      <c r="I12" s="30" t="s">
        <v>47</v>
      </c>
      <c r="J12" s="31"/>
      <c r="K12" s="26" t="str">
        <f>"120,0"</f>
        <v>120,0</v>
      </c>
      <c r="L12" s="26" t="str">
        <f>"133,7880"</f>
        <v>133,7880</v>
      </c>
      <c r="M12" s="24"/>
    </row>
    <row r="13" spans="1:13">
      <c r="A13" s="35" t="s">
        <v>30</v>
      </c>
      <c r="B13" s="27" t="s">
        <v>326</v>
      </c>
      <c r="C13" s="27" t="s">
        <v>298</v>
      </c>
      <c r="D13" s="27" t="s">
        <v>128</v>
      </c>
      <c r="E13" s="28" t="s">
        <v>465</v>
      </c>
      <c r="F13" s="27" t="s">
        <v>460</v>
      </c>
      <c r="G13" s="33" t="s">
        <v>101</v>
      </c>
      <c r="H13" s="34" t="s">
        <v>130</v>
      </c>
      <c r="I13" s="33" t="s">
        <v>130</v>
      </c>
      <c r="J13" s="35"/>
      <c r="K13" s="29" t="str">
        <f>"115,0"</f>
        <v>115,0</v>
      </c>
      <c r="L13" s="29" t="str">
        <f>"131,8245"</f>
        <v>131,8245</v>
      </c>
      <c r="M13" s="27" t="s">
        <v>299</v>
      </c>
    </row>
    <row r="15" spans="1:13" ht="16">
      <c r="A15" s="52" t="s">
        <v>123</v>
      </c>
      <c r="B15" s="52"/>
      <c r="C15" s="53"/>
      <c r="D15" s="53"/>
      <c r="E15" s="53"/>
      <c r="F15" s="53"/>
      <c r="G15" s="53"/>
      <c r="H15" s="53"/>
      <c r="I15" s="53"/>
      <c r="J15" s="53"/>
    </row>
    <row r="16" spans="1:13">
      <c r="A16" s="22" t="s">
        <v>30</v>
      </c>
      <c r="B16" s="7" t="s">
        <v>327</v>
      </c>
      <c r="C16" s="7" t="s">
        <v>300</v>
      </c>
      <c r="D16" s="7" t="s">
        <v>301</v>
      </c>
      <c r="E16" s="8" t="s">
        <v>465</v>
      </c>
      <c r="F16" s="7" t="s">
        <v>459</v>
      </c>
      <c r="G16" s="21" t="s">
        <v>49</v>
      </c>
      <c r="H16" s="21" t="s">
        <v>41</v>
      </c>
      <c r="I16" s="21" t="s">
        <v>302</v>
      </c>
      <c r="J16" s="22"/>
      <c r="K16" s="9" t="str">
        <f>"77,5"</f>
        <v>77,5</v>
      </c>
      <c r="L16" s="9" t="str">
        <f>"84,6687"</f>
        <v>84,6687</v>
      </c>
      <c r="M16" s="7"/>
    </row>
    <row r="18" spans="1:13" ht="16">
      <c r="A18" s="52" t="s">
        <v>53</v>
      </c>
      <c r="B18" s="52"/>
      <c r="C18" s="53"/>
      <c r="D18" s="53"/>
      <c r="E18" s="53"/>
      <c r="F18" s="53"/>
      <c r="G18" s="53"/>
      <c r="H18" s="53"/>
      <c r="I18" s="53"/>
      <c r="J18" s="53"/>
    </row>
    <row r="19" spans="1:13">
      <c r="A19" s="22" t="s">
        <v>30</v>
      </c>
      <c r="B19" s="7" t="s">
        <v>328</v>
      </c>
      <c r="C19" s="7" t="s">
        <v>303</v>
      </c>
      <c r="D19" s="7" t="s">
        <v>55</v>
      </c>
      <c r="E19" s="8" t="s">
        <v>465</v>
      </c>
      <c r="F19" s="7" t="s">
        <v>459</v>
      </c>
      <c r="G19" s="21" t="s">
        <v>42</v>
      </c>
      <c r="H19" s="21" t="s">
        <v>97</v>
      </c>
      <c r="I19" s="23" t="s">
        <v>56</v>
      </c>
      <c r="J19" s="22"/>
      <c r="K19" s="9" t="str">
        <f>"90,0"</f>
        <v>90,0</v>
      </c>
      <c r="L19" s="9" t="str">
        <f>"82,8810"</f>
        <v>82,8810</v>
      </c>
      <c r="M19" s="7"/>
    </row>
    <row r="21" spans="1:13" ht="16">
      <c r="A21" s="52" t="s">
        <v>104</v>
      </c>
      <c r="B21" s="52"/>
      <c r="C21" s="53"/>
      <c r="D21" s="53"/>
      <c r="E21" s="53"/>
      <c r="F21" s="53"/>
      <c r="G21" s="53"/>
      <c r="H21" s="53"/>
      <c r="I21" s="53"/>
      <c r="J21" s="53"/>
    </row>
    <row r="22" spans="1:13">
      <c r="A22" s="22" t="s">
        <v>30</v>
      </c>
      <c r="B22" s="7" t="s">
        <v>329</v>
      </c>
      <c r="C22" s="7" t="s">
        <v>304</v>
      </c>
      <c r="D22" s="7" t="s">
        <v>305</v>
      </c>
      <c r="E22" s="8" t="s">
        <v>478</v>
      </c>
      <c r="F22" s="7" t="s">
        <v>460</v>
      </c>
      <c r="G22" s="21" t="s">
        <v>18</v>
      </c>
      <c r="H22" s="21" t="s">
        <v>153</v>
      </c>
      <c r="I22" s="23" t="s">
        <v>243</v>
      </c>
      <c r="J22" s="22"/>
      <c r="K22" s="9" t="str">
        <f>"165,0"</f>
        <v>165,0</v>
      </c>
      <c r="L22" s="9" t="str">
        <f>"151,8000"</f>
        <v>151,8000</v>
      </c>
      <c r="M22" s="7"/>
    </row>
    <row r="24" spans="1:13" ht="16">
      <c r="A24" s="52" t="s">
        <v>32</v>
      </c>
      <c r="B24" s="52"/>
      <c r="C24" s="53"/>
      <c r="D24" s="53"/>
      <c r="E24" s="53"/>
      <c r="F24" s="53"/>
      <c r="G24" s="53"/>
      <c r="H24" s="53"/>
      <c r="I24" s="53"/>
      <c r="J24" s="53"/>
    </row>
    <row r="25" spans="1:13">
      <c r="A25" s="22" t="s">
        <v>30</v>
      </c>
      <c r="B25" s="7" t="s">
        <v>185</v>
      </c>
      <c r="C25" s="7" t="s">
        <v>133</v>
      </c>
      <c r="D25" s="7" t="s">
        <v>134</v>
      </c>
      <c r="E25" s="8" t="s">
        <v>465</v>
      </c>
      <c r="F25" s="7" t="s">
        <v>459</v>
      </c>
      <c r="G25" s="21" t="s">
        <v>135</v>
      </c>
      <c r="H25" s="23" t="s">
        <v>57</v>
      </c>
      <c r="I25" s="23" t="s">
        <v>57</v>
      </c>
      <c r="J25" s="22"/>
      <c r="K25" s="9" t="str">
        <f>"122,5"</f>
        <v>122,5</v>
      </c>
      <c r="L25" s="9" t="str">
        <f>"107,8245"</f>
        <v>107,8245</v>
      </c>
      <c r="M25" s="7"/>
    </row>
    <row r="27" spans="1:13" ht="16">
      <c r="A27" s="52" t="s">
        <v>123</v>
      </c>
      <c r="B27" s="52"/>
      <c r="C27" s="53"/>
      <c r="D27" s="53"/>
      <c r="E27" s="53"/>
      <c r="F27" s="53"/>
      <c r="G27" s="53"/>
      <c r="H27" s="53"/>
      <c r="I27" s="53"/>
      <c r="J27" s="53"/>
    </row>
    <row r="28" spans="1:13">
      <c r="A28" s="31" t="s">
        <v>30</v>
      </c>
      <c r="B28" s="24" t="s">
        <v>330</v>
      </c>
      <c r="C28" s="24" t="s">
        <v>306</v>
      </c>
      <c r="D28" s="24" t="s">
        <v>307</v>
      </c>
      <c r="E28" s="25" t="s">
        <v>466</v>
      </c>
      <c r="F28" s="24" t="s">
        <v>459</v>
      </c>
      <c r="G28" s="30" t="s">
        <v>57</v>
      </c>
      <c r="H28" s="30" t="s">
        <v>118</v>
      </c>
      <c r="I28" s="30" t="s">
        <v>18</v>
      </c>
      <c r="J28" s="31"/>
      <c r="K28" s="26" t="str">
        <f>"150,0"</f>
        <v>150,0</v>
      </c>
      <c r="L28" s="26" t="str">
        <f>"118,3650"</f>
        <v>118,3650</v>
      </c>
      <c r="M28" s="24"/>
    </row>
    <row r="29" spans="1:13">
      <c r="A29" s="35" t="s">
        <v>30</v>
      </c>
      <c r="B29" s="27" t="s">
        <v>331</v>
      </c>
      <c r="C29" s="27" t="s">
        <v>308</v>
      </c>
      <c r="D29" s="27" t="s">
        <v>309</v>
      </c>
      <c r="E29" s="28" t="s">
        <v>479</v>
      </c>
      <c r="F29" s="27" t="s">
        <v>461</v>
      </c>
      <c r="G29" s="33" t="s">
        <v>118</v>
      </c>
      <c r="H29" s="33" t="s">
        <v>52</v>
      </c>
      <c r="I29" s="34" t="s">
        <v>19</v>
      </c>
      <c r="J29" s="35"/>
      <c r="K29" s="29" t="str">
        <f>"155,0"</f>
        <v>155,0</v>
      </c>
      <c r="L29" s="29" t="str">
        <f>"120,5125"</f>
        <v>120,5125</v>
      </c>
      <c r="M29" s="27" t="s">
        <v>457</v>
      </c>
    </row>
    <row r="31" spans="1:13" ht="16">
      <c r="A31" s="52" t="s">
        <v>44</v>
      </c>
      <c r="B31" s="52"/>
      <c r="C31" s="53"/>
      <c r="D31" s="53"/>
      <c r="E31" s="53"/>
      <c r="F31" s="53"/>
      <c r="G31" s="53"/>
      <c r="H31" s="53"/>
      <c r="I31" s="53"/>
      <c r="J31" s="53"/>
    </row>
    <row r="32" spans="1:13">
      <c r="A32" s="31" t="s">
        <v>30</v>
      </c>
      <c r="B32" s="24" t="s">
        <v>332</v>
      </c>
      <c r="C32" s="24" t="s">
        <v>310</v>
      </c>
      <c r="D32" s="24" t="s">
        <v>151</v>
      </c>
      <c r="E32" s="48" t="s">
        <v>466</v>
      </c>
      <c r="F32" s="24" t="s">
        <v>459</v>
      </c>
      <c r="G32" s="50" t="s">
        <v>138</v>
      </c>
      <c r="H32" s="30" t="s">
        <v>51</v>
      </c>
      <c r="I32" s="30" t="s">
        <v>139</v>
      </c>
      <c r="J32" s="31"/>
      <c r="K32" s="26" t="str">
        <f>"147,5"</f>
        <v>147,5</v>
      </c>
      <c r="L32" s="26" t="str">
        <f>"108,2207"</f>
        <v>108,2207</v>
      </c>
      <c r="M32" s="24"/>
    </row>
    <row r="33" spans="1:13">
      <c r="A33" s="35" t="s">
        <v>30</v>
      </c>
      <c r="B33" s="27" t="s">
        <v>333</v>
      </c>
      <c r="C33" s="27" t="s">
        <v>311</v>
      </c>
      <c r="D33" s="27" t="s">
        <v>312</v>
      </c>
      <c r="E33" s="49" t="s">
        <v>465</v>
      </c>
      <c r="F33" s="27" t="s">
        <v>462</v>
      </c>
      <c r="G33" s="51" t="s">
        <v>313</v>
      </c>
      <c r="H33" s="33" t="s">
        <v>156</v>
      </c>
      <c r="I33" s="34" t="s">
        <v>73</v>
      </c>
      <c r="J33" s="35"/>
      <c r="K33" s="29" t="str">
        <f>"190,0"</f>
        <v>190,0</v>
      </c>
      <c r="L33" s="29" t="str">
        <f>"139,2700"</f>
        <v>139,2700</v>
      </c>
      <c r="M33" s="27" t="s">
        <v>457</v>
      </c>
    </row>
    <row r="35" spans="1:13" ht="16">
      <c r="A35" s="52" t="s">
        <v>53</v>
      </c>
      <c r="B35" s="52"/>
      <c r="C35" s="53"/>
      <c r="D35" s="53"/>
      <c r="E35" s="53"/>
      <c r="F35" s="53"/>
      <c r="G35" s="53"/>
      <c r="H35" s="53"/>
      <c r="I35" s="53"/>
      <c r="J35" s="53"/>
    </row>
    <row r="36" spans="1:13">
      <c r="A36" s="31" t="s">
        <v>30</v>
      </c>
      <c r="B36" s="24" t="s">
        <v>334</v>
      </c>
      <c r="C36" s="24" t="s">
        <v>314</v>
      </c>
      <c r="D36" s="24" t="s">
        <v>237</v>
      </c>
      <c r="E36" s="25" t="s">
        <v>479</v>
      </c>
      <c r="F36" s="24" t="s">
        <v>460</v>
      </c>
      <c r="G36" s="30" t="s">
        <v>156</v>
      </c>
      <c r="H36" s="30" t="s">
        <v>160</v>
      </c>
      <c r="I36" s="30" t="s">
        <v>147</v>
      </c>
      <c r="J36" s="31"/>
      <c r="K36" s="26" t="str">
        <f>"220,0"</f>
        <v>220,0</v>
      </c>
      <c r="L36" s="26" t="str">
        <f>"148,2580"</f>
        <v>148,2580</v>
      </c>
      <c r="M36" s="24"/>
    </row>
    <row r="37" spans="1:13">
      <c r="A37" s="35" t="s">
        <v>30</v>
      </c>
      <c r="B37" s="27" t="s">
        <v>335</v>
      </c>
      <c r="C37" s="27" t="s">
        <v>315</v>
      </c>
      <c r="D37" s="27" t="s">
        <v>316</v>
      </c>
      <c r="E37" s="28" t="s">
        <v>465</v>
      </c>
      <c r="F37" s="27" t="s">
        <v>459</v>
      </c>
      <c r="G37" s="33" t="s">
        <v>65</v>
      </c>
      <c r="H37" s="33" t="s">
        <v>146</v>
      </c>
      <c r="I37" s="34" t="s">
        <v>73</v>
      </c>
      <c r="J37" s="35"/>
      <c r="K37" s="29" t="str">
        <f>"195,0"</f>
        <v>195,0</v>
      </c>
      <c r="L37" s="29" t="str">
        <f>"132,8145"</f>
        <v>132,8145</v>
      </c>
      <c r="M37" s="27" t="s">
        <v>317</v>
      </c>
    </row>
    <row r="39" spans="1:13" ht="16">
      <c r="A39" s="52" t="s">
        <v>163</v>
      </c>
      <c r="B39" s="52"/>
      <c r="C39" s="53"/>
      <c r="D39" s="53"/>
      <c r="E39" s="53"/>
      <c r="F39" s="53"/>
      <c r="G39" s="53"/>
      <c r="H39" s="53"/>
      <c r="I39" s="53"/>
      <c r="J39" s="53"/>
    </row>
    <row r="40" spans="1:13">
      <c r="A40" s="22" t="s">
        <v>30</v>
      </c>
      <c r="B40" s="7" t="s">
        <v>336</v>
      </c>
      <c r="C40" s="7" t="s">
        <v>318</v>
      </c>
      <c r="D40" s="7" t="s">
        <v>319</v>
      </c>
      <c r="E40" s="8" t="s">
        <v>465</v>
      </c>
      <c r="F40" s="7" t="s">
        <v>459</v>
      </c>
      <c r="G40" s="21" t="s">
        <v>157</v>
      </c>
      <c r="H40" s="21" t="s">
        <v>149</v>
      </c>
      <c r="I40" s="21" t="s">
        <v>279</v>
      </c>
      <c r="J40" s="22"/>
      <c r="K40" s="9" t="str">
        <f>"242,5"</f>
        <v>242,5</v>
      </c>
      <c r="L40" s="9" t="str">
        <f>"149,1375"</f>
        <v>149,1375</v>
      </c>
      <c r="M40" s="7"/>
    </row>
    <row r="42" spans="1:13" ht="16">
      <c r="A42" s="52" t="s">
        <v>68</v>
      </c>
      <c r="B42" s="52"/>
      <c r="C42" s="53"/>
      <c r="D42" s="53"/>
      <c r="E42" s="53"/>
      <c r="F42" s="53"/>
      <c r="G42" s="53"/>
      <c r="H42" s="53"/>
      <c r="I42" s="53"/>
      <c r="J42" s="53"/>
    </row>
    <row r="43" spans="1:13">
      <c r="A43" s="22" t="s">
        <v>30</v>
      </c>
      <c r="B43" s="7" t="s">
        <v>337</v>
      </c>
      <c r="C43" s="7" t="s">
        <v>321</v>
      </c>
      <c r="D43" s="7" t="s">
        <v>78</v>
      </c>
      <c r="E43" s="8" t="s">
        <v>465</v>
      </c>
      <c r="F43" s="7" t="s">
        <v>461</v>
      </c>
      <c r="G43" s="21" t="s">
        <v>63</v>
      </c>
      <c r="H43" s="21" t="s">
        <v>22</v>
      </c>
      <c r="I43" s="22"/>
      <c r="J43" s="22"/>
      <c r="K43" s="9" t="str">
        <f>"285,0"</f>
        <v>285,0</v>
      </c>
      <c r="L43" s="9" t="str">
        <f>"167,7225"</f>
        <v>167,7225</v>
      </c>
      <c r="M43" s="7"/>
    </row>
    <row r="45" spans="1:13">
      <c r="G45" s="5"/>
      <c r="K45" s="19"/>
      <c r="M45" s="6"/>
    </row>
    <row r="46" spans="1:13">
      <c r="K46" s="19"/>
      <c r="M46" s="6"/>
    </row>
    <row r="47" spans="1:13" ht="18">
      <c r="B47" s="12" t="s">
        <v>23</v>
      </c>
      <c r="C47" s="12"/>
      <c r="K47" s="19"/>
      <c r="M47" s="6"/>
    </row>
    <row r="48" spans="1:13" ht="16">
      <c r="B48" s="13" t="s">
        <v>81</v>
      </c>
      <c r="C48" s="13"/>
      <c r="K48" s="19"/>
      <c r="M48" s="6"/>
    </row>
    <row r="49" spans="2:13" ht="14">
      <c r="B49" s="14"/>
      <c r="C49" s="15" t="s">
        <v>25</v>
      </c>
      <c r="K49" s="19"/>
      <c r="M49" s="6"/>
    </row>
    <row r="50" spans="2:13" ht="14">
      <c r="B50" s="16" t="s">
        <v>26</v>
      </c>
      <c r="C50" s="16" t="s">
        <v>27</v>
      </c>
      <c r="D50" s="16" t="s">
        <v>440</v>
      </c>
      <c r="E50" s="17" t="s">
        <v>212</v>
      </c>
      <c r="F50" s="16" t="s">
        <v>29</v>
      </c>
      <c r="K50" s="19"/>
      <c r="M50" s="6"/>
    </row>
    <row r="51" spans="2:13">
      <c r="B51" s="5" t="s">
        <v>105</v>
      </c>
      <c r="C51" s="5" t="s">
        <v>25</v>
      </c>
      <c r="D51" s="19" t="s">
        <v>175</v>
      </c>
      <c r="E51" s="20">
        <v>137.5</v>
      </c>
      <c r="F51" s="18">
        <v>162.923756241798</v>
      </c>
      <c r="K51" s="19"/>
      <c r="M51" s="6"/>
    </row>
    <row r="52" spans="2:13">
      <c r="B52" s="5" t="s">
        <v>297</v>
      </c>
      <c r="C52" s="5" t="s">
        <v>25</v>
      </c>
      <c r="D52" s="19" t="s">
        <v>82</v>
      </c>
      <c r="E52" s="20">
        <v>115</v>
      </c>
      <c r="F52" s="18">
        <v>131.82449519634201</v>
      </c>
      <c r="K52" s="19"/>
      <c r="M52" s="6"/>
    </row>
    <row r="53" spans="2:13">
      <c r="B53" s="5" t="s">
        <v>292</v>
      </c>
      <c r="C53" s="5" t="s">
        <v>25</v>
      </c>
      <c r="D53" s="19" t="s">
        <v>175</v>
      </c>
      <c r="E53" s="20">
        <v>110</v>
      </c>
      <c r="F53" s="18">
        <v>131.26300096511801</v>
      </c>
      <c r="G53" s="5"/>
      <c r="K53" s="19"/>
      <c r="M53" s="6"/>
    </row>
    <row r="54" spans="2:13">
      <c r="E54" s="5"/>
      <c r="F54" s="10"/>
      <c r="G54" s="5"/>
      <c r="K54" s="19"/>
      <c r="M54" s="6"/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1:J31"/>
    <mergeCell ref="A35:J35"/>
    <mergeCell ref="A39:J39"/>
    <mergeCell ref="A42:J42"/>
    <mergeCell ref="B3:B4"/>
    <mergeCell ref="A11:J11"/>
    <mergeCell ref="A15:J15"/>
    <mergeCell ref="A18:J18"/>
    <mergeCell ref="A21:J21"/>
    <mergeCell ref="A24:J24"/>
    <mergeCell ref="A27:J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B957C-FC25-4551-B71D-6B39D02F3247}">
  <dimension ref="A1:M24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23.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9.8320312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62" t="s">
        <v>429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11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44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285</v>
      </c>
      <c r="C6" s="7" t="s">
        <v>271</v>
      </c>
      <c r="D6" s="7" t="s">
        <v>272</v>
      </c>
      <c r="E6" s="8" t="s">
        <v>465</v>
      </c>
      <c r="F6" s="7" t="s">
        <v>459</v>
      </c>
      <c r="G6" s="21" t="s">
        <v>19</v>
      </c>
      <c r="H6" s="21" t="s">
        <v>153</v>
      </c>
      <c r="I6" s="21" t="s">
        <v>129</v>
      </c>
      <c r="J6" s="22"/>
      <c r="K6" s="9" t="str">
        <f>"170,0"</f>
        <v>170,0</v>
      </c>
      <c r="L6" s="9" t="str">
        <f>"130,1520"</f>
        <v>130,1520</v>
      </c>
      <c r="M6" s="7" t="s">
        <v>273</v>
      </c>
    </row>
    <row r="8" spans="1:13" ht="16">
      <c r="A8" s="52" t="s">
        <v>53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31" t="s">
        <v>30</v>
      </c>
      <c r="B9" s="24" t="s">
        <v>286</v>
      </c>
      <c r="C9" s="24" t="s">
        <v>274</v>
      </c>
      <c r="D9" s="24" t="s">
        <v>275</v>
      </c>
      <c r="E9" s="25" t="s">
        <v>465</v>
      </c>
      <c r="F9" s="24" t="s">
        <v>459</v>
      </c>
      <c r="G9" s="30" t="s">
        <v>148</v>
      </c>
      <c r="H9" s="30" t="s">
        <v>61</v>
      </c>
      <c r="I9" s="32" t="s">
        <v>62</v>
      </c>
      <c r="J9" s="31"/>
      <c r="K9" s="26" t="str">
        <f>"245,0"</f>
        <v>245,0</v>
      </c>
      <c r="L9" s="26" t="str">
        <f>"171,6225"</f>
        <v>171,6225</v>
      </c>
      <c r="M9" s="24" t="s">
        <v>457</v>
      </c>
    </row>
    <row r="10" spans="1:13">
      <c r="A10" s="35" t="s">
        <v>30</v>
      </c>
      <c r="B10" s="27" t="s">
        <v>286</v>
      </c>
      <c r="C10" s="27" t="s">
        <v>276</v>
      </c>
      <c r="D10" s="27" t="s">
        <v>275</v>
      </c>
      <c r="E10" s="28" t="s">
        <v>480</v>
      </c>
      <c r="F10" s="27" t="s">
        <v>459</v>
      </c>
      <c r="G10" s="33" t="s">
        <v>148</v>
      </c>
      <c r="H10" s="33" t="s">
        <v>61</v>
      </c>
      <c r="I10" s="34" t="s">
        <v>62</v>
      </c>
      <c r="J10" s="35"/>
      <c r="K10" s="29" t="str">
        <f>"245,0"</f>
        <v>245,0</v>
      </c>
      <c r="L10" s="29" t="str">
        <f>"231,6904"</f>
        <v>231,6904</v>
      </c>
      <c r="M10" s="27" t="s">
        <v>457</v>
      </c>
    </row>
    <row r="12" spans="1:13" ht="16">
      <c r="A12" s="52" t="s">
        <v>58</v>
      </c>
      <c r="B12" s="52"/>
      <c r="C12" s="53"/>
      <c r="D12" s="53"/>
      <c r="E12" s="53"/>
      <c r="F12" s="53"/>
      <c r="G12" s="53"/>
      <c r="H12" s="53"/>
      <c r="I12" s="53"/>
      <c r="J12" s="53"/>
    </row>
    <row r="13" spans="1:13">
      <c r="A13" s="22" t="s">
        <v>30</v>
      </c>
      <c r="B13" s="7" t="s">
        <v>89</v>
      </c>
      <c r="C13" s="7" t="s">
        <v>59</v>
      </c>
      <c r="D13" s="7" t="s">
        <v>60</v>
      </c>
      <c r="E13" s="8" t="s">
        <v>465</v>
      </c>
      <c r="F13" s="7" t="s">
        <v>470</v>
      </c>
      <c r="G13" s="21" t="s">
        <v>66</v>
      </c>
      <c r="H13" s="23" t="s">
        <v>67</v>
      </c>
      <c r="I13" s="22"/>
      <c r="J13" s="22"/>
      <c r="K13" s="9" t="str">
        <f>"280,0"</f>
        <v>280,0</v>
      </c>
      <c r="L13" s="9" t="str">
        <f>"179,6760"</f>
        <v>179,6760</v>
      </c>
      <c r="M13" s="7"/>
    </row>
    <row r="15" spans="1:13" ht="16">
      <c r="A15" s="52" t="s">
        <v>163</v>
      </c>
      <c r="B15" s="52"/>
      <c r="C15" s="53"/>
      <c r="D15" s="53"/>
      <c r="E15" s="53"/>
      <c r="F15" s="53"/>
      <c r="G15" s="53"/>
      <c r="H15" s="53"/>
      <c r="I15" s="53"/>
      <c r="J15" s="53"/>
    </row>
    <row r="16" spans="1:13">
      <c r="A16" s="31" t="s">
        <v>30</v>
      </c>
      <c r="B16" s="24" t="s">
        <v>287</v>
      </c>
      <c r="C16" s="24" t="s">
        <v>277</v>
      </c>
      <c r="D16" s="24" t="s">
        <v>278</v>
      </c>
      <c r="E16" s="25" t="s">
        <v>465</v>
      </c>
      <c r="F16" s="24" t="s">
        <v>460</v>
      </c>
      <c r="G16" s="30" t="s">
        <v>279</v>
      </c>
      <c r="H16" s="32" t="s">
        <v>280</v>
      </c>
      <c r="I16" s="32" t="s">
        <v>280</v>
      </c>
      <c r="J16" s="31"/>
      <c r="K16" s="26" t="str">
        <f>"242,5"</f>
        <v>242,5</v>
      </c>
      <c r="L16" s="26" t="str">
        <f>"150,0590"</f>
        <v>150,0590</v>
      </c>
      <c r="M16" s="24"/>
    </row>
    <row r="17" spans="1:13">
      <c r="A17" s="41" t="s">
        <v>91</v>
      </c>
      <c r="B17" s="36" t="s">
        <v>288</v>
      </c>
      <c r="C17" s="36" t="s">
        <v>281</v>
      </c>
      <c r="D17" s="36" t="s">
        <v>282</v>
      </c>
      <c r="E17" s="37" t="s">
        <v>465</v>
      </c>
      <c r="F17" s="36" t="s">
        <v>459</v>
      </c>
      <c r="G17" s="39" t="s">
        <v>131</v>
      </c>
      <c r="H17" s="39" t="s">
        <v>147</v>
      </c>
      <c r="I17" s="39" t="s">
        <v>148</v>
      </c>
      <c r="J17" s="41"/>
      <c r="K17" s="38" t="str">
        <f>"230,0"</f>
        <v>230,0</v>
      </c>
      <c r="L17" s="38" t="str">
        <f>"145,0150"</f>
        <v>145,0150</v>
      </c>
      <c r="M17" s="36"/>
    </row>
    <row r="18" spans="1:13">
      <c r="A18" s="35" t="s">
        <v>30</v>
      </c>
      <c r="B18" s="27" t="s">
        <v>289</v>
      </c>
      <c r="C18" s="27" t="s">
        <v>283</v>
      </c>
      <c r="D18" s="27" t="s">
        <v>284</v>
      </c>
      <c r="E18" s="28" t="s">
        <v>482</v>
      </c>
      <c r="F18" s="27" t="s">
        <v>475</v>
      </c>
      <c r="G18" s="33" t="s">
        <v>18</v>
      </c>
      <c r="H18" s="33" t="s">
        <v>52</v>
      </c>
      <c r="I18" s="34" t="s">
        <v>19</v>
      </c>
      <c r="J18" s="35"/>
      <c r="K18" s="29" t="str">
        <f>"155,0"</f>
        <v>155,0</v>
      </c>
      <c r="L18" s="29" t="str">
        <f>"155,1054"</f>
        <v>155,1054</v>
      </c>
      <c r="M18" s="27"/>
    </row>
    <row r="20" spans="1:13" ht="16">
      <c r="A20" s="52" t="s">
        <v>68</v>
      </c>
      <c r="B20" s="52"/>
      <c r="C20" s="53"/>
      <c r="D20" s="53"/>
      <c r="E20" s="53"/>
      <c r="F20" s="53"/>
      <c r="G20" s="53"/>
      <c r="H20" s="53"/>
      <c r="I20" s="53"/>
      <c r="J20" s="53"/>
    </row>
    <row r="21" spans="1:13">
      <c r="A21" s="22" t="s">
        <v>30</v>
      </c>
      <c r="B21" s="7" t="s">
        <v>92</v>
      </c>
      <c r="C21" s="7" t="s">
        <v>77</v>
      </c>
      <c r="D21" s="7" t="s">
        <v>78</v>
      </c>
      <c r="E21" s="8" t="s">
        <v>465</v>
      </c>
      <c r="F21" s="7" t="s">
        <v>460</v>
      </c>
      <c r="G21" s="21" t="s">
        <v>66</v>
      </c>
      <c r="H21" s="21" t="s">
        <v>75</v>
      </c>
      <c r="I21" s="23" t="s">
        <v>15</v>
      </c>
      <c r="J21" s="22"/>
      <c r="K21" s="9" t="str">
        <f>"300,0"</f>
        <v>300,0</v>
      </c>
      <c r="L21" s="9" t="str">
        <f>"176,5500"</f>
        <v>176,5500</v>
      </c>
      <c r="M21" s="7" t="s">
        <v>457</v>
      </c>
    </row>
    <row r="23" spans="1:13" ht="16">
      <c r="A23" s="52" t="s">
        <v>12</v>
      </c>
      <c r="B23" s="52"/>
      <c r="C23" s="53"/>
      <c r="D23" s="53"/>
      <c r="E23" s="53"/>
      <c r="F23" s="53"/>
      <c r="G23" s="53"/>
      <c r="H23" s="53"/>
      <c r="I23" s="53"/>
      <c r="J23" s="53"/>
    </row>
    <row r="24" spans="1:13">
      <c r="A24" s="22" t="s">
        <v>30</v>
      </c>
      <c r="B24" s="7" t="s">
        <v>31</v>
      </c>
      <c r="C24" s="7" t="s">
        <v>13</v>
      </c>
      <c r="D24" s="7" t="s">
        <v>14</v>
      </c>
      <c r="E24" s="8" t="s">
        <v>465</v>
      </c>
      <c r="F24" s="7" t="s">
        <v>459</v>
      </c>
      <c r="G24" s="21" t="s">
        <v>21</v>
      </c>
      <c r="H24" s="23" t="s">
        <v>22</v>
      </c>
      <c r="I24" s="22"/>
      <c r="J24" s="22"/>
      <c r="K24" s="9" t="str">
        <f>"270,0"</f>
        <v>270,0</v>
      </c>
      <c r="L24" s="9" t="str">
        <f>"157,1400"</f>
        <v>157,1400</v>
      </c>
      <c r="M24" s="7" t="s">
        <v>414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3:J23"/>
    <mergeCell ref="A5:J5"/>
    <mergeCell ref="A8:J8"/>
    <mergeCell ref="A12:J12"/>
    <mergeCell ref="A15:J15"/>
    <mergeCell ref="A20:J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4198-D384-4BAD-9C7D-BF347A8C305B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3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7.33203125" style="5" customWidth="1"/>
    <col min="14" max="16384" width="9.1640625" style="3"/>
  </cols>
  <sheetData>
    <row r="1" spans="1:13" s="2" customFormat="1" ht="29" customHeight="1">
      <c r="A1" s="62" t="s">
        <v>430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11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44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340</v>
      </c>
      <c r="C6" s="7" t="s">
        <v>338</v>
      </c>
      <c r="D6" s="7" t="s">
        <v>145</v>
      </c>
      <c r="E6" s="8" t="s">
        <v>465</v>
      </c>
      <c r="F6" s="7" t="s">
        <v>471</v>
      </c>
      <c r="G6" s="21" t="s">
        <v>160</v>
      </c>
      <c r="H6" s="23" t="s">
        <v>147</v>
      </c>
      <c r="I6" s="23" t="s">
        <v>147</v>
      </c>
      <c r="J6" s="22"/>
      <c r="K6" s="9" t="str">
        <f>"205,0"</f>
        <v>205,0</v>
      </c>
      <c r="L6" s="9" t="str">
        <f>"146,0830"</f>
        <v>146,0830</v>
      </c>
      <c r="M6" s="7" t="s">
        <v>339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FF462-AD3C-4C16-8D69-F883CE4967C3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7.1640625" style="5" customWidth="1"/>
    <col min="7" max="9" width="4.6640625" style="19" bestFit="1" customWidth="1"/>
    <col min="10" max="10" width="4.33203125" style="19" bestFit="1" customWidth="1"/>
    <col min="11" max="11" width="10.5" style="6" bestFit="1" customWidth="1"/>
    <col min="12" max="12" width="7.664062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62" t="s">
        <v>431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484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44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362</v>
      </c>
      <c r="C6" s="7" t="s">
        <v>360</v>
      </c>
      <c r="D6" s="7" t="s">
        <v>46</v>
      </c>
      <c r="E6" s="8" t="s">
        <v>465</v>
      </c>
      <c r="F6" s="7" t="s">
        <v>459</v>
      </c>
      <c r="G6" s="21" t="s">
        <v>35</v>
      </c>
      <c r="H6" s="21" t="s">
        <v>36</v>
      </c>
      <c r="I6" s="21" t="s">
        <v>351</v>
      </c>
      <c r="J6" s="22"/>
      <c r="K6" s="9" t="str">
        <f>"62,5"</f>
        <v>62,5</v>
      </c>
      <c r="L6" s="9" t="str">
        <f>"44,0531"</f>
        <v>44,0531</v>
      </c>
      <c r="M6" s="7"/>
    </row>
    <row r="8" spans="1:13" ht="16">
      <c r="A8" s="52" t="s">
        <v>53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2" t="s">
        <v>30</v>
      </c>
      <c r="B9" s="7" t="s">
        <v>356</v>
      </c>
      <c r="C9" s="7" t="s">
        <v>348</v>
      </c>
      <c r="D9" s="7" t="s">
        <v>349</v>
      </c>
      <c r="E9" s="8" t="s">
        <v>465</v>
      </c>
      <c r="F9" s="7" t="s">
        <v>476</v>
      </c>
      <c r="G9" s="21" t="s">
        <v>100</v>
      </c>
      <c r="H9" s="21" t="s">
        <v>36</v>
      </c>
      <c r="I9" s="21" t="s">
        <v>351</v>
      </c>
      <c r="J9" s="22"/>
      <c r="K9" s="9" t="str">
        <f>"62,5"</f>
        <v>62,5</v>
      </c>
      <c r="L9" s="9" t="str">
        <f>"41,6156"</f>
        <v>41,6156</v>
      </c>
      <c r="M9" s="7"/>
    </row>
    <row r="11" spans="1:13" ht="16">
      <c r="A11" s="52" t="s">
        <v>58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22" t="s">
        <v>30</v>
      </c>
      <c r="B12" s="7" t="s">
        <v>363</v>
      </c>
      <c r="C12" s="7" t="s">
        <v>441</v>
      </c>
      <c r="D12" s="7" t="s">
        <v>361</v>
      </c>
      <c r="E12" s="8" t="s">
        <v>479</v>
      </c>
      <c r="F12" s="7" t="s">
        <v>468</v>
      </c>
      <c r="G12" s="21" t="s">
        <v>35</v>
      </c>
      <c r="H12" s="21" t="s">
        <v>351</v>
      </c>
      <c r="I12" s="23" t="s">
        <v>117</v>
      </c>
      <c r="J12" s="22"/>
      <c r="K12" s="9" t="str">
        <f>"62,5"</f>
        <v>62,5</v>
      </c>
      <c r="L12" s="9" t="str">
        <f>"39,1219"</f>
        <v>39,1219</v>
      </c>
      <c r="M12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8941-2323-4040-8C2E-108B6BC3FA57}">
  <dimension ref="A1:M10"/>
  <sheetViews>
    <sheetView workbookViewId="0">
      <selection activeCell="N2" sqref="N2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9.5" style="5" customWidth="1"/>
    <col min="7" max="9" width="4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62" t="s">
        <v>432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484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53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31" t="s">
        <v>30</v>
      </c>
      <c r="B6" s="24" t="s">
        <v>356</v>
      </c>
      <c r="C6" s="24" t="s">
        <v>348</v>
      </c>
      <c r="D6" s="24" t="s">
        <v>349</v>
      </c>
      <c r="E6" s="25" t="s">
        <v>465</v>
      </c>
      <c r="F6" s="24" t="s">
        <v>476</v>
      </c>
      <c r="G6" s="30" t="s">
        <v>100</v>
      </c>
      <c r="H6" s="30" t="s">
        <v>36</v>
      </c>
      <c r="I6" s="30" t="s">
        <v>351</v>
      </c>
      <c r="J6" s="31"/>
      <c r="K6" s="26" t="str">
        <f>"62,5"</f>
        <v>62,5</v>
      </c>
      <c r="L6" s="26" t="str">
        <f>"41,6156"</f>
        <v>41,6156</v>
      </c>
      <c r="M6" s="24"/>
    </row>
    <row r="7" spans="1:13">
      <c r="A7" s="35" t="s">
        <v>30</v>
      </c>
      <c r="B7" s="27" t="s">
        <v>357</v>
      </c>
      <c r="C7" s="27" t="s">
        <v>442</v>
      </c>
      <c r="D7" s="27" t="s">
        <v>55</v>
      </c>
      <c r="E7" s="28" t="s">
        <v>481</v>
      </c>
      <c r="F7" s="27" t="s">
        <v>459</v>
      </c>
      <c r="G7" s="33" t="s">
        <v>35</v>
      </c>
      <c r="H7" s="33" t="s">
        <v>36</v>
      </c>
      <c r="I7" s="33" t="s">
        <v>351</v>
      </c>
      <c r="J7" s="35"/>
      <c r="K7" s="29" t="str">
        <f>"62,5"</f>
        <v>62,5</v>
      </c>
      <c r="L7" s="29" t="str">
        <f>"41,4312"</f>
        <v>41,4312</v>
      </c>
      <c r="M7" s="27"/>
    </row>
    <row r="9" spans="1:13" ht="16">
      <c r="A9" s="52" t="s">
        <v>58</v>
      </c>
      <c r="B9" s="52"/>
      <c r="C9" s="53"/>
      <c r="D9" s="53"/>
      <c r="E9" s="53"/>
      <c r="F9" s="53"/>
      <c r="G9" s="53"/>
      <c r="H9" s="53"/>
      <c r="I9" s="53"/>
      <c r="J9" s="53"/>
    </row>
    <row r="10" spans="1:13">
      <c r="A10" s="22" t="s">
        <v>30</v>
      </c>
      <c r="B10" s="7" t="s">
        <v>358</v>
      </c>
      <c r="C10" s="7" t="s">
        <v>352</v>
      </c>
      <c r="D10" s="7" t="s">
        <v>353</v>
      </c>
      <c r="E10" s="8" t="s">
        <v>465</v>
      </c>
      <c r="F10" s="7" t="s">
        <v>459</v>
      </c>
      <c r="G10" s="21" t="s">
        <v>49</v>
      </c>
      <c r="H10" s="21" t="s">
        <v>41</v>
      </c>
      <c r="I10" s="23" t="s">
        <v>302</v>
      </c>
      <c r="J10" s="22"/>
      <c r="K10" s="9" t="str">
        <f>"75,0"</f>
        <v>75,0</v>
      </c>
      <c r="L10" s="9" t="str">
        <f>"46,0312"</f>
        <v>46,0312</v>
      </c>
      <c r="M10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32B6-F617-496D-A480-99DEA7FA9B78}">
  <dimension ref="A1:Q9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37.5" style="5" customWidth="1"/>
    <col min="7" max="9" width="4.5" style="19" customWidth="1"/>
    <col min="10" max="10" width="4.83203125" style="19" customWidth="1"/>
    <col min="11" max="13" width="4.5" style="19" customWidth="1"/>
    <col min="14" max="14" width="4.83203125" style="19" customWidth="1"/>
    <col min="15" max="15" width="7.83203125" style="6" bestFit="1" customWidth="1"/>
    <col min="16" max="16" width="7.5" style="6" bestFit="1" customWidth="1"/>
    <col min="17" max="17" width="18.33203125" style="5" customWidth="1"/>
    <col min="18" max="16384" width="9.1640625" style="3"/>
  </cols>
  <sheetData>
    <row r="1" spans="1:17" s="2" customFormat="1" ht="29" customHeight="1">
      <c r="A1" s="62" t="s">
        <v>433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484</v>
      </c>
      <c r="H3" s="74"/>
      <c r="I3" s="74"/>
      <c r="J3" s="74"/>
      <c r="K3" s="74" t="s">
        <v>485</v>
      </c>
      <c r="L3" s="74"/>
      <c r="M3" s="74"/>
      <c r="N3" s="74"/>
      <c r="O3" s="56" t="s">
        <v>1</v>
      </c>
      <c r="P3" s="56" t="s">
        <v>3</v>
      </c>
      <c r="Q3" s="58" t="s">
        <v>2</v>
      </c>
    </row>
    <row r="4" spans="1:17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7"/>
      <c r="P4" s="57"/>
      <c r="Q4" s="59"/>
    </row>
    <row r="5" spans="1:17" ht="16">
      <c r="A5" s="60" t="s">
        <v>53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>
      <c r="A6" s="22" t="s">
        <v>30</v>
      </c>
      <c r="B6" s="7" t="s">
        <v>356</v>
      </c>
      <c r="C6" s="7" t="s">
        <v>348</v>
      </c>
      <c r="D6" s="7" t="s">
        <v>349</v>
      </c>
      <c r="E6" s="8" t="s">
        <v>465</v>
      </c>
      <c r="F6" s="7" t="s">
        <v>476</v>
      </c>
      <c r="G6" s="21" t="s">
        <v>49</v>
      </c>
      <c r="H6" s="21" t="s">
        <v>50</v>
      </c>
      <c r="I6" s="23" t="s">
        <v>41</v>
      </c>
      <c r="J6" s="22"/>
      <c r="K6" s="23" t="s">
        <v>36</v>
      </c>
      <c r="L6" s="21" t="s">
        <v>36</v>
      </c>
      <c r="M6" s="21" t="s">
        <v>351</v>
      </c>
      <c r="N6" s="22"/>
      <c r="O6" s="9" t="str">
        <f>"135,0"</f>
        <v>135,0</v>
      </c>
      <c r="P6" s="9" t="str">
        <f>"89,8897"</f>
        <v>89,8897</v>
      </c>
      <c r="Q6" s="7"/>
    </row>
    <row r="8" spans="1:17" ht="16">
      <c r="A8" s="52" t="s">
        <v>58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22" t="s">
        <v>30</v>
      </c>
      <c r="B9" s="7" t="s">
        <v>407</v>
      </c>
      <c r="C9" s="7" t="s">
        <v>443</v>
      </c>
      <c r="D9" s="7" t="s">
        <v>389</v>
      </c>
      <c r="E9" s="8" t="s">
        <v>483</v>
      </c>
      <c r="F9" s="7" t="s">
        <v>459</v>
      </c>
      <c r="G9" s="21" t="s">
        <v>36</v>
      </c>
      <c r="H9" s="23" t="s">
        <v>37</v>
      </c>
      <c r="I9" s="21" t="s">
        <v>37</v>
      </c>
      <c r="J9" s="22"/>
      <c r="K9" s="21" t="s">
        <v>35</v>
      </c>
      <c r="L9" s="21" t="s">
        <v>36</v>
      </c>
      <c r="M9" s="23" t="s">
        <v>351</v>
      </c>
      <c r="N9" s="22"/>
      <c r="O9" s="9" t="str">
        <f>"125,0"</f>
        <v>125,0</v>
      </c>
      <c r="P9" s="9" t="str">
        <f>"77,4062"</f>
        <v>77,4062</v>
      </c>
      <c r="Q9" s="7" t="s">
        <v>412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8B0F8-8847-419A-94F9-AD6687D383E8}">
  <dimension ref="A1:Q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37" style="5" customWidth="1"/>
    <col min="7" max="9" width="4.5" style="19" customWidth="1"/>
    <col min="10" max="10" width="4.83203125" style="19" customWidth="1"/>
    <col min="11" max="13" width="4.5" style="19" customWidth="1"/>
    <col min="14" max="14" width="4.83203125" style="19" customWidth="1"/>
    <col min="15" max="15" width="7.83203125" style="6" bestFit="1" customWidth="1"/>
    <col min="16" max="16" width="7.5" style="6" bestFit="1" customWidth="1"/>
    <col min="17" max="17" width="19.5" style="5" customWidth="1"/>
    <col min="18" max="16384" width="9.1640625" style="3"/>
  </cols>
  <sheetData>
    <row r="1" spans="1:17" s="2" customFormat="1" ht="29" customHeight="1">
      <c r="A1" s="62" t="s">
        <v>434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484</v>
      </c>
      <c r="H3" s="74"/>
      <c r="I3" s="74"/>
      <c r="J3" s="74"/>
      <c r="K3" s="74" t="s">
        <v>485</v>
      </c>
      <c r="L3" s="74"/>
      <c r="M3" s="74"/>
      <c r="N3" s="74"/>
      <c r="O3" s="56" t="s">
        <v>1</v>
      </c>
      <c r="P3" s="56" t="s">
        <v>3</v>
      </c>
      <c r="Q3" s="58" t="s">
        <v>2</v>
      </c>
    </row>
    <row r="4" spans="1:17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7"/>
      <c r="P4" s="57"/>
      <c r="Q4" s="59"/>
    </row>
    <row r="5" spans="1:17" ht="16">
      <c r="A5" s="60" t="s">
        <v>163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>
      <c r="A6" s="22" t="s">
        <v>30</v>
      </c>
      <c r="B6" s="7" t="s">
        <v>359</v>
      </c>
      <c r="C6" s="7" t="s">
        <v>444</v>
      </c>
      <c r="D6" s="7" t="s">
        <v>355</v>
      </c>
      <c r="E6" s="8" t="s">
        <v>483</v>
      </c>
      <c r="F6" s="7" t="s">
        <v>459</v>
      </c>
      <c r="G6" s="21" t="s">
        <v>36</v>
      </c>
      <c r="H6" s="21" t="s">
        <v>37</v>
      </c>
      <c r="I6" s="21" t="s">
        <v>49</v>
      </c>
      <c r="J6" s="22"/>
      <c r="K6" s="21" t="s">
        <v>113</v>
      </c>
      <c r="L6" s="21" t="s">
        <v>35</v>
      </c>
      <c r="M6" s="21" t="s">
        <v>100</v>
      </c>
      <c r="N6" s="22"/>
      <c r="O6" s="9" t="str">
        <f>"127,5"</f>
        <v>127,5</v>
      </c>
      <c r="P6" s="9" t="str">
        <f>"77,4563"</f>
        <v>77,4563</v>
      </c>
      <c r="Q6" s="7" t="s">
        <v>412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EF31-EB57-4066-8686-864A6BFB4214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10" customWidth="1"/>
    <col min="6" max="6" width="35.5" style="5" bestFit="1" customWidth="1"/>
    <col min="7" max="9" width="4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62" t="s">
        <v>435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364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53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356</v>
      </c>
      <c r="C6" s="7" t="s">
        <v>348</v>
      </c>
      <c r="D6" s="7" t="s">
        <v>349</v>
      </c>
      <c r="E6" s="8" t="s">
        <v>465</v>
      </c>
      <c r="F6" s="7" t="s">
        <v>476</v>
      </c>
      <c r="G6" s="21" t="s">
        <v>49</v>
      </c>
      <c r="H6" s="21" t="s">
        <v>50</v>
      </c>
      <c r="I6" s="23" t="s">
        <v>41</v>
      </c>
      <c r="J6" s="22"/>
      <c r="K6" s="9" t="str">
        <f>"72,5"</f>
        <v>72,5</v>
      </c>
      <c r="L6" s="9" t="str">
        <f>"48,2741"</f>
        <v>48,2741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690AC-5CB3-4BEA-92C6-67297C7C02F6}">
  <dimension ref="A1:M4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5.5" style="5" bestFit="1" customWidth="1"/>
    <col min="7" max="7" width="4.6640625" style="19" bestFit="1" customWidth="1"/>
    <col min="8" max="9" width="4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62" t="s">
        <v>436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484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220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31" t="s">
        <v>30</v>
      </c>
      <c r="B6" s="24" t="s">
        <v>398</v>
      </c>
      <c r="C6" s="24" t="s">
        <v>452</v>
      </c>
      <c r="D6" s="24" t="s">
        <v>370</v>
      </c>
      <c r="E6" s="25" t="s">
        <v>479</v>
      </c>
      <c r="F6" s="24" t="s">
        <v>371</v>
      </c>
      <c r="G6" s="30" t="s">
        <v>372</v>
      </c>
      <c r="H6" s="32" t="s">
        <v>373</v>
      </c>
      <c r="I6" s="30" t="s">
        <v>373</v>
      </c>
      <c r="J6" s="31"/>
      <c r="K6" s="26" t="str">
        <f>"32,5"</f>
        <v>32,5</v>
      </c>
      <c r="L6" s="26" t="str">
        <f>"38,4995"</f>
        <v>38,4995</v>
      </c>
      <c r="M6" s="24" t="s">
        <v>179</v>
      </c>
    </row>
    <row r="7" spans="1:13">
      <c r="A7" s="35" t="s">
        <v>30</v>
      </c>
      <c r="B7" s="27" t="s">
        <v>250</v>
      </c>
      <c r="C7" s="27" t="s">
        <v>221</v>
      </c>
      <c r="D7" s="27" t="s">
        <v>374</v>
      </c>
      <c r="E7" s="28" t="s">
        <v>465</v>
      </c>
      <c r="F7" s="27" t="s">
        <v>468</v>
      </c>
      <c r="G7" s="33" t="s">
        <v>367</v>
      </c>
      <c r="H7" s="33" t="s">
        <v>372</v>
      </c>
      <c r="I7" s="34" t="s">
        <v>373</v>
      </c>
      <c r="J7" s="35"/>
      <c r="K7" s="29" t="str">
        <f>"30,0"</f>
        <v>30,0</v>
      </c>
      <c r="L7" s="29" t="str">
        <f>"35,3700"</f>
        <v>35,3700</v>
      </c>
      <c r="M7" s="27" t="s">
        <v>457</v>
      </c>
    </row>
    <row r="9" spans="1:13" ht="16">
      <c r="A9" s="52" t="s">
        <v>104</v>
      </c>
      <c r="B9" s="52"/>
      <c r="C9" s="53"/>
      <c r="D9" s="53"/>
      <c r="E9" s="53"/>
      <c r="F9" s="53"/>
      <c r="G9" s="53"/>
      <c r="H9" s="53"/>
      <c r="I9" s="53"/>
      <c r="J9" s="53"/>
    </row>
    <row r="10" spans="1:13">
      <c r="A10" s="22" t="s">
        <v>30</v>
      </c>
      <c r="B10" s="7" t="s">
        <v>399</v>
      </c>
      <c r="C10" s="7" t="s">
        <v>451</v>
      </c>
      <c r="D10" s="7" t="s">
        <v>305</v>
      </c>
      <c r="E10" s="8" t="s">
        <v>480</v>
      </c>
      <c r="F10" s="7" t="s">
        <v>459</v>
      </c>
      <c r="G10" s="21" t="s">
        <v>373</v>
      </c>
      <c r="H10" s="21" t="s">
        <v>38</v>
      </c>
      <c r="I10" s="23" t="s">
        <v>375</v>
      </c>
      <c r="J10" s="22"/>
      <c r="K10" s="9" t="str">
        <f>"35,0"</f>
        <v>35,0</v>
      </c>
      <c r="L10" s="9" t="str">
        <f>"45,9213"</f>
        <v>45,9213</v>
      </c>
      <c r="M10" s="7"/>
    </row>
    <row r="12" spans="1:13" ht="16">
      <c r="A12" s="52" t="s">
        <v>104</v>
      </c>
      <c r="B12" s="52"/>
      <c r="C12" s="53"/>
      <c r="D12" s="53"/>
      <c r="E12" s="53"/>
      <c r="F12" s="53"/>
      <c r="G12" s="53"/>
      <c r="H12" s="53"/>
      <c r="I12" s="53"/>
      <c r="J12" s="53"/>
    </row>
    <row r="13" spans="1:13">
      <c r="A13" s="22" t="s">
        <v>30</v>
      </c>
      <c r="B13" s="7" t="s">
        <v>400</v>
      </c>
      <c r="C13" s="7" t="s">
        <v>450</v>
      </c>
      <c r="D13" s="7" t="s">
        <v>376</v>
      </c>
      <c r="E13" s="8" t="s">
        <v>483</v>
      </c>
      <c r="F13" s="7" t="s">
        <v>459</v>
      </c>
      <c r="G13" s="21" t="s">
        <v>373</v>
      </c>
      <c r="H13" s="23" t="s">
        <v>38</v>
      </c>
      <c r="I13" s="23" t="s">
        <v>377</v>
      </c>
      <c r="J13" s="22"/>
      <c r="K13" s="9" t="str">
        <f>"32,5"</f>
        <v>32,5</v>
      </c>
      <c r="L13" s="9" t="str">
        <f>"30,1438"</f>
        <v>30,1438</v>
      </c>
      <c r="M13" s="7" t="s">
        <v>412</v>
      </c>
    </row>
    <row r="15" spans="1:13" ht="16">
      <c r="A15" s="52" t="s">
        <v>32</v>
      </c>
      <c r="B15" s="52"/>
      <c r="C15" s="53"/>
      <c r="D15" s="53"/>
      <c r="E15" s="53"/>
      <c r="F15" s="53"/>
      <c r="G15" s="53"/>
      <c r="H15" s="53"/>
      <c r="I15" s="53"/>
      <c r="J15" s="53"/>
    </row>
    <row r="16" spans="1:13">
      <c r="A16" s="22" t="s">
        <v>30</v>
      </c>
      <c r="B16" s="7" t="s">
        <v>401</v>
      </c>
      <c r="C16" s="7" t="s">
        <v>449</v>
      </c>
      <c r="D16" s="7" t="s">
        <v>378</v>
      </c>
      <c r="E16" s="8" t="s">
        <v>479</v>
      </c>
      <c r="F16" s="7" t="s">
        <v>459</v>
      </c>
      <c r="G16" s="21" t="s">
        <v>39</v>
      </c>
      <c r="H16" s="21" t="s">
        <v>223</v>
      </c>
      <c r="I16" s="21" t="s">
        <v>226</v>
      </c>
      <c r="J16" s="22"/>
      <c r="K16" s="9" t="str">
        <f>"47,5"</f>
        <v>47,5</v>
      </c>
      <c r="L16" s="9" t="str">
        <f>"40,0876"</f>
        <v>40,0876</v>
      </c>
      <c r="M16" s="7" t="s">
        <v>412</v>
      </c>
    </row>
    <row r="18" spans="1:13" ht="16">
      <c r="A18" s="52" t="s">
        <v>44</v>
      </c>
      <c r="B18" s="52"/>
      <c r="C18" s="53"/>
      <c r="D18" s="53"/>
      <c r="E18" s="53"/>
      <c r="F18" s="53"/>
      <c r="G18" s="53"/>
      <c r="H18" s="53"/>
      <c r="I18" s="53"/>
      <c r="J18" s="53"/>
    </row>
    <row r="19" spans="1:13">
      <c r="A19" s="31" t="s">
        <v>30</v>
      </c>
      <c r="B19" s="24" t="s">
        <v>402</v>
      </c>
      <c r="C19" s="24" t="s">
        <v>448</v>
      </c>
      <c r="D19" s="24" t="s">
        <v>379</v>
      </c>
      <c r="E19" s="25" t="s">
        <v>483</v>
      </c>
      <c r="F19" s="24" t="s">
        <v>459</v>
      </c>
      <c r="G19" s="30" t="s">
        <v>113</v>
      </c>
      <c r="H19" s="30" t="s">
        <v>100</v>
      </c>
      <c r="I19" s="32" t="s">
        <v>36</v>
      </c>
      <c r="J19" s="31"/>
      <c r="K19" s="26" t="str">
        <f>"57,5"</f>
        <v>57,5</v>
      </c>
      <c r="L19" s="26" t="str">
        <f>"40,2356"</f>
        <v>40,2356</v>
      </c>
      <c r="M19" s="24"/>
    </row>
    <row r="20" spans="1:13">
      <c r="A20" s="41" t="s">
        <v>30</v>
      </c>
      <c r="B20" s="36" t="s">
        <v>340</v>
      </c>
      <c r="C20" s="36" t="s">
        <v>338</v>
      </c>
      <c r="D20" s="36" t="s">
        <v>380</v>
      </c>
      <c r="E20" s="37" t="s">
        <v>465</v>
      </c>
      <c r="F20" s="36" t="s">
        <v>471</v>
      </c>
      <c r="G20" s="39" t="s">
        <v>35</v>
      </c>
      <c r="H20" s="39" t="s">
        <v>36</v>
      </c>
      <c r="I20" s="40" t="s">
        <v>351</v>
      </c>
      <c r="J20" s="41"/>
      <c r="K20" s="38" t="str">
        <f>"60,0"</f>
        <v>60,0</v>
      </c>
      <c r="L20" s="38" t="str">
        <f>"41,3940"</f>
        <v>41,3940</v>
      </c>
      <c r="M20" s="36" t="s">
        <v>339</v>
      </c>
    </row>
    <row r="21" spans="1:13">
      <c r="A21" s="35" t="s">
        <v>91</v>
      </c>
      <c r="B21" s="27" t="s">
        <v>403</v>
      </c>
      <c r="C21" s="27" t="s">
        <v>381</v>
      </c>
      <c r="D21" s="27" t="s">
        <v>382</v>
      </c>
      <c r="E21" s="28" t="s">
        <v>465</v>
      </c>
      <c r="F21" s="27" t="s">
        <v>459</v>
      </c>
      <c r="G21" s="33" t="s">
        <v>383</v>
      </c>
      <c r="H21" s="33" t="s">
        <v>100</v>
      </c>
      <c r="I21" s="35"/>
      <c r="J21" s="35"/>
      <c r="K21" s="29" t="str">
        <f>"57,5"</f>
        <v>57,5</v>
      </c>
      <c r="L21" s="29" t="str">
        <f>"41,6645"</f>
        <v>41,6645</v>
      </c>
      <c r="M21" s="27" t="s">
        <v>457</v>
      </c>
    </row>
    <row r="23" spans="1:13" ht="16">
      <c r="A23" s="52" t="s">
        <v>53</v>
      </c>
      <c r="B23" s="52"/>
      <c r="C23" s="53"/>
      <c r="D23" s="53"/>
      <c r="E23" s="53"/>
      <c r="F23" s="53"/>
      <c r="G23" s="53"/>
      <c r="H23" s="53"/>
      <c r="I23" s="53"/>
      <c r="J23" s="53"/>
    </row>
    <row r="24" spans="1:13">
      <c r="A24" s="31" t="s">
        <v>30</v>
      </c>
      <c r="B24" s="24" t="s">
        <v>404</v>
      </c>
      <c r="C24" s="24" t="s">
        <v>447</v>
      </c>
      <c r="D24" s="24" t="s">
        <v>384</v>
      </c>
      <c r="E24" s="25" t="s">
        <v>483</v>
      </c>
      <c r="F24" s="24" t="s">
        <v>459</v>
      </c>
      <c r="G24" s="30" t="s">
        <v>39</v>
      </c>
      <c r="H24" s="30" t="s">
        <v>35</v>
      </c>
      <c r="I24" s="32" t="s">
        <v>37</v>
      </c>
      <c r="J24" s="31"/>
      <c r="K24" s="26" t="str">
        <f>"55,0"</f>
        <v>55,0</v>
      </c>
      <c r="L24" s="26" t="str">
        <f>"35,7940"</f>
        <v>35,7940</v>
      </c>
      <c r="M24" s="24" t="s">
        <v>457</v>
      </c>
    </row>
    <row r="25" spans="1:13">
      <c r="A25" s="41" t="s">
        <v>30</v>
      </c>
      <c r="B25" s="36" t="s">
        <v>405</v>
      </c>
      <c r="C25" s="36" t="s">
        <v>446</v>
      </c>
      <c r="D25" s="36" t="s">
        <v>385</v>
      </c>
      <c r="E25" s="37" t="s">
        <v>479</v>
      </c>
      <c r="F25" s="36" t="s">
        <v>459</v>
      </c>
      <c r="G25" s="39" t="s">
        <v>113</v>
      </c>
      <c r="H25" s="39" t="s">
        <v>35</v>
      </c>
      <c r="I25" s="39" t="s">
        <v>36</v>
      </c>
      <c r="J25" s="41"/>
      <c r="K25" s="38" t="str">
        <f>"60,0"</f>
        <v>60,0</v>
      </c>
      <c r="L25" s="38" t="str">
        <f>"39,8100"</f>
        <v>39,8100</v>
      </c>
      <c r="M25" s="36"/>
    </row>
    <row r="26" spans="1:13">
      <c r="A26" s="41" t="s">
        <v>30</v>
      </c>
      <c r="B26" s="36" t="s">
        <v>406</v>
      </c>
      <c r="C26" s="36" t="s">
        <v>387</v>
      </c>
      <c r="D26" s="36" t="s">
        <v>159</v>
      </c>
      <c r="E26" s="37" t="s">
        <v>465</v>
      </c>
      <c r="F26" s="36" t="s">
        <v>388</v>
      </c>
      <c r="G26" s="39" t="s">
        <v>36</v>
      </c>
      <c r="H26" s="39" t="s">
        <v>37</v>
      </c>
      <c r="I26" s="40" t="s">
        <v>49</v>
      </c>
      <c r="J26" s="41"/>
      <c r="K26" s="38" t="str">
        <f>"65,0"</f>
        <v>65,0</v>
      </c>
      <c r="L26" s="38" t="str">
        <f>"42,5100"</f>
        <v>42,5100</v>
      </c>
      <c r="M26" s="36" t="s">
        <v>457</v>
      </c>
    </row>
    <row r="27" spans="1:13">
      <c r="A27" s="35" t="s">
        <v>91</v>
      </c>
      <c r="B27" s="27" t="s">
        <v>356</v>
      </c>
      <c r="C27" s="27" t="s">
        <v>348</v>
      </c>
      <c r="D27" s="27" t="s">
        <v>349</v>
      </c>
      <c r="E27" s="28" t="s">
        <v>465</v>
      </c>
      <c r="F27" s="27" t="s">
        <v>350</v>
      </c>
      <c r="G27" s="34" t="s">
        <v>36</v>
      </c>
      <c r="H27" s="33" t="s">
        <v>36</v>
      </c>
      <c r="I27" s="33" t="s">
        <v>351</v>
      </c>
      <c r="J27" s="35"/>
      <c r="K27" s="29" t="str">
        <f>"62,5"</f>
        <v>62,5</v>
      </c>
      <c r="L27" s="29" t="str">
        <f>"41,6156"</f>
        <v>41,6156</v>
      </c>
      <c r="M27" s="27"/>
    </row>
    <row r="29" spans="1:13" ht="16">
      <c r="A29" s="52" t="s">
        <v>58</v>
      </c>
      <c r="B29" s="52"/>
      <c r="C29" s="53"/>
      <c r="D29" s="53"/>
      <c r="E29" s="53"/>
      <c r="F29" s="53"/>
      <c r="G29" s="53"/>
      <c r="H29" s="53"/>
      <c r="I29" s="53"/>
      <c r="J29" s="53"/>
    </row>
    <row r="30" spans="1:13">
      <c r="A30" s="31" t="s">
        <v>30</v>
      </c>
      <c r="B30" s="24" t="s">
        <v>407</v>
      </c>
      <c r="C30" s="24" t="s">
        <v>443</v>
      </c>
      <c r="D30" s="24" t="s">
        <v>389</v>
      </c>
      <c r="E30" s="25" t="s">
        <v>483</v>
      </c>
      <c r="F30" s="24" t="s">
        <v>459</v>
      </c>
      <c r="G30" s="30" t="s">
        <v>35</v>
      </c>
      <c r="H30" s="30" t="s">
        <v>36</v>
      </c>
      <c r="I30" s="32" t="s">
        <v>351</v>
      </c>
      <c r="J30" s="31"/>
      <c r="K30" s="26" t="str">
        <f>"60,0"</f>
        <v>60,0</v>
      </c>
      <c r="L30" s="26" t="str">
        <f>"37,1550"</f>
        <v>37,1550</v>
      </c>
      <c r="M30" s="24" t="s">
        <v>412</v>
      </c>
    </row>
    <row r="31" spans="1:13">
      <c r="A31" s="41" t="s">
        <v>30</v>
      </c>
      <c r="B31" s="36" t="s">
        <v>408</v>
      </c>
      <c r="C31" s="36" t="s">
        <v>391</v>
      </c>
      <c r="D31" s="36" t="s">
        <v>392</v>
      </c>
      <c r="E31" s="37" t="s">
        <v>465</v>
      </c>
      <c r="F31" s="36" t="s">
        <v>459</v>
      </c>
      <c r="G31" s="39" t="s">
        <v>37</v>
      </c>
      <c r="H31" s="39" t="s">
        <v>49</v>
      </c>
      <c r="I31" s="40" t="s">
        <v>50</v>
      </c>
      <c r="J31" s="41"/>
      <c r="K31" s="38" t="str">
        <f>"70,0"</f>
        <v>70,0</v>
      </c>
      <c r="L31" s="38" t="str">
        <f>"43,1235"</f>
        <v>43,1235</v>
      </c>
      <c r="M31" s="36"/>
    </row>
    <row r="32" spans="1:13">
      <c r="A32" s="35" t="s">
        <v>91</v>
      </c>
      <c r="B32" s="27" t="s">
        <v>409</v>
      </c>
      <c r="C32" s="27" t="s">
        <v>394</v>
      </c>
      <c r="D32" s="27" t="s">
        <v>395</v>
      </c>
      <c r="E32" s="28" t="s">
        <v>465</v>
      </c>
      <c r="F32" s="27" t="s">
        <v>459</v>
      </c>
      <c r="G32" s="33" t="s">
        <v>35</v>
      </c>
      <c r="H32" s="33" t="s">
        <v>36</v>
      </c>
      <c r="I32" s="33" t="s">
        <v>117</v>
      </c>
      <c r="J32" s="35"/>
      <c r="K32" s="29" t="str">
        <f>"67,5"</f>
        <v>67,5</v>
      </c>
      <c r="L32" s="29" t="str">
        <f>"42,9199"</f>
        <v>42,9199</v>
      </c>
      <c r="M32" s="27" t="s">
        <v>412</v>
      </c>
    </row>
    <row r="34" spans="1:13" ht="16">
      <c r="A34" s="52" t="s">
        <v>68</v>
      </c>
      <c r="B34" s="52"/>
      <c r="C34" s="53"/>
      <c r="D34" s="53"/>
      <c r="E34" s="53"/>
      <c r="F34" s="53"/>
      <c r="G34" s="53"/>
      <c r="H34" s="53"/>
      <c r="I34" s="53"/>
      <c r="J34" s="53"/>
    </row>
    <row r="35" spans="1:13">
      <c r="A35" s="22" t="s">
        <v>30</v>
      </c>
      <c r="B35" s="7" t="s">
        <v>410</v>
      </c>
      <c r="C35" s="7" t="s">
        <v>453</v>
      </c>
      <c r="D35" s="7" t="s">
        <v>396</v>
      </c>
      <c r="E35" s="8" t="s">
        <v>479</v>
      </c>
      <c r="F35" s="7" t="s">
        <v>397</v>
      </c>
      <c r="G35" s="21" t="s">
        <v>36</v>
      </c>
      <c r="H35" s="21" t="s">
        <v>117</v>
      </c>
      <c r="I35" s="23" t="s">
        <v>50</v>
      </c>
      <c r="J35" s="22"/>
      <c r="K35" s="9" t="str">
        <f>"67,5"</f>
        <v>67,5</v>
      </c>
      <c r="L35" s="9" t="str">
        <f>"38,5324"</f>
        <v>38,5324</v>
      </c>
      <c r="M35" s="7"/>
    </row>
    <row r="37" spans="1:13">
      <c r="E37" s="5"/>
      <c r="F37" s="10"/>
      <c r="G37" s="5"/>
      <c r="K37" s="19"/>
      <c r="M37" s="6"/>
    </row>
    <row r="38" spans="1:13">
      <c r="E38" s="5"/>
      <c r="F38" s="10"/>
      <c r="G38" s="5"/>
      <c r="K38" s="19"/>
      <c r="M38" s="6"/>
    </row>
    <row r="39" spans="1:13" ht="18">
      <c r="B39" s="12" t="s">
        <v>23</v>
      </c>
      <c r="C39" s="12"/>
      <c r="K39" s="19"/>
      <c r="M39" s="6"/>
    </row>
    <row r="40" spans="1:13" ht="16">
      <c r="B40" s="42" t="s">
        <v>445</v>
      </c>
      <c r="C40" s="42"/>
      <c r="K40" s="19"/>
      <c r="M40" s="6"/>
    </row>
    <row r="41" spans="1:13" ht="14">
      <c r="B41" s="14"/>
      <c r="C41" s="15" t="s">
        <v>25</v>
      </c>
      <c r="G41" s="3"/>
      <c r="K41" s="19"/>
      <c r="M41" s="6"/>
    </row>
    <row r="42" spans="1:13" ht="14">
      <c r="B42" s="16" t="s">
        <v>26</v>
      </c>
      <c r="C42" s="16" t="s">
        <v>27</v>
      </c>
      <c r="D42" s="16" t="s">
        <v>440</v>
      </c>
      <c r="E42" s="17" t="s">
        <v>212</v>
      </c>
      <c r="F42" s="16" t="s">
        <v>268</v>
      </c>
      <c r="G42" s="3"/>
      <c r="K42" s="19"/>
      <c r="M42" s="6"/>
    </row>
    <row r="43" spans="1:13">
      <c r="B43" s="5" t="s">
        <v>390</v>
      </c>
      <c r="C43" s="5" t="s">
        <v>25</v>
      </c>
      <c r="D43" s="19" t="s">
        <v>85</v>
      </c>
      <c r="E43" s="20">
        <v>70</v>
      </c>
      <c r="F43" s="18">
        <v>43.123500347137501</v>
      </c>
      <c r="G43" s="3"/>
      <c r="K43" s="19"/>
      <c r="M43" s="6"/>
    </row>
    <row r="44" spans="1:13">
      <c r="B44" s="5" t="s">
        <v>393</v>
      </c>
      <c r="C44" s="5" t="s">
        <v>25</v>
      </c>
      <c r="D44" s="19" t="s">
        <v>85</v>
      </c>
      <c r="E44" s="20">
        <v>67.5</v>
      </c>
      <c r="F44" s="18">
        <v>42.919875830411897</v>
      </c>
      <c r="G44" s="3"/>
      <c r="K44" s="19"/>
      <c r="M44" s="6"/>
    </row>
    <row r="45" spans="1:13">
      <c r="B45" s="5" t="s">
        <v>386</v>
      </c>
      <c r="C45" s="5" t="s">
        <v>25</v>
      </c>
      <c r="D45" s="19" t="s">
        <v>83</v>
      </c>
      <c r="E45" s="20">
        <v>65</v>
      </c>
      <c r="F45" s="18">
        <v>42.509998977184303</v>
      </c>
      <c r="G45" s="3"/>
      <c r="K45" s="19"/>
      <c r="M45" s="6"/>
    </row>
    <row r="46" spans="1:13">
      <c r="E46" s="5"/>
      <c r="F46" s="10"/>
      <c r="G46" s="5"/>
      <c r="K46" s="19"/>
      <c r="M46" s="6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4:J34"/>
    <mergeCell ref="B3:B4"/>
    <mergeCell ref="A9:J9"/>
    <mergeCell ref="A12:J12"/>
    <mergeCell ref="A15:J15"/>
    <mergeCell ref="A18:J18"/>
    <mergeCell ref="A23:J23"/>
    <mergeCell ref="A29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AE4C4-4CDC-464B-8950-80418FF85F40}">
  <dimension ref="A1:U19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23.5" style="5" bestFit="1" customWidth="1"/>
    <col min="3" max="3" width="27.83203125" style="5" customWidth="1"/>
    <col min="4" max="4" width="21.5" style="5" bestFit="1" customWidth="1"/>
    <col min="5" max="5" width="10.5" style="10" bestFit="1" customWidth="1"/>
    <col min="6" max="6" width="37.5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8.83203125" style="5" customWidth="1"/>
    <col min="22" max="16384" width="9.1640625" style="3"/>
  </cols>
  <sheetData>
    <row r="1" spans="1:21" s="2" customFormat="1" ht="29" customHeight="1">
      <c r="A1" s="62" t="s">
        <v>419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1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9</v>
      </c>
      <c r="H3" s="74"/>
      <c r="I3" s="74"/>
      <c r="J3" s="74"/>
      <c r="K3" s="74" t="s">
        <v>10</v>
      </c>
      <c r="L3" s="74"/>
      <c r="M3" s="74"/>
      <c r="N3" s="74"/>
      <c r="O3" s="74" t="s">
        <v>11</v>
      </c>
      <c r="P3" s="74"/>
      <c r="Q3" s="74"/>
      <c r="R3" s="74"/>
      <c r="S3" s="56" t="s">
        <v>1</v>
      </c>
      <c r="T3" s="56" t="s">
        <v>3</v>
      </c>
      <c r="U3" s="58" t="s">
        <v>2</v>
      </c>
    </row>
    <row r="4" spans="1:21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7"/>
      <c r="T4" s="57"/>
      <c r="U4" s="59"/>
    </row>
    <row r="5" spans="1:21" ht="16">
      <c r="A5" s="60" t="s">
        <v>32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2" t="s">
        <v>30</v>
      </c>
      <c r="B6" s="7" t="s">
        <v>86</v>
      </c>
      <c r="C6" s="7" t="s">
        <v>33</v>
      </c>
      <c r="D6" s="7" t="s">
        <v>34</v>
      </c>
      <c r="E6" s="8" t="s">
        <v>478</v>
      </c>
      <c r="F6" s="7" t="s">
        <v>459</v>
      </c>
      <c r="G6" s="21" t="s">
        <v>35</v>
      </c>
      <c r="H6" s="21" t="s">
        <v>36</v>
      </c>
      <c r="I6" s="21" t="s">
        <v>37</v>
      </c>
      <c r="J6" s="22"/>
      <c r="K6" s="21" t="s">
        <v>38</v>
      </c>
      <c r="L6" s="21" t="s">
        <v>39</v>
      </c>
      <c r="M6" s="21" t="s">
        <v>40</v>
      </c>
      <c r="N6" s="22"/>
      <c r="O6" s="21" t="s">
        <v>41</v>
      </c>
      <c r="P6" s="21" t="s">
        <v>42</v>
      </c>
      <c r="Q6" s="21" t="s">
        <v>43</v>
      </c>
      <c r="R6" s="22"/>
      <c r="S6" s="9" t="str">
        <f>"192,5"</f>
        <v>192,5</v>
      </c>
      <c r="T6" s="9" t="str">
        <f>"216,0042"</f>
        <v>216,0042</v>
      </c>
      <c r="U6" s="7"/>
    </row>
    <row r="8" spans="1:21" ht="16">
      <c r="A8" s="52" t="s">
        <v>44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22" t="s">
        <v>30</v>
      </c>
      <c r="B9" s="7" t="s">
        <v>87</v>
      </c>
      <c r="C9" s="7" t="s">
        <v>45</v>
      </c>
      <c r="D9" s="7" t="s">
        <v>46</v>
      </c>
      <c r="E9" s="8" t="s">
        <v>479</v>
      </c>
      <c r="F9" s="7" t="s">
        <v>459</v>
      </c>
      <c r="G9" s="21" t="s">
        <v>47</v>
      </c>
      <c r="H9" s="23" t="s">
        <v>48</v>
      </c>
      <c r="I9" s="23" t="s">
        <v>48</v>
      </c>
      <c r="J9" s="22"/>
      <c r="K9" s="21" t="s">
        <v>49</v>
      </c>
      <c r="L9" s="21" t="s">
        <v>50</v>
      </c>
      <c r="M9" s="21" t="s">
        <v>41</v>
      </c>
      <c r="N9" s="22"/>
      <c r="O9" s="21" t="s">
        <v>51</v>
      </c>
      <c r="P9" s="21" t="s">
        <v>18</v>
      </c>
      <c r="Q9" s="23" t="s">
        <v>52</v>
      </c>
      <c r="R9" s="22"/>
      <c r="S9" s="9" t="str">
        <f>"345,0"</f>
        <v>345,0</v>
      </c>
      <c r="T9" s="9" t="str">
        <f>"251,3325"</f>
        <v>251,3325</v>
      </c>
      <c r="U9" s="7"/>
    </row>
    <row r="11" spans="1:21" ht="16">
      <c r="A11" s="52" t="s">
        <v>53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1">
      <c r="A12" s="22" t="s">
        <v>30</v>
      </c>
      <c r="B12" s="7" t="s">
        <v>88</v>
      </c>
      <c r="C12" s="7" t="s">
        <v>54</v>
      </c>
      <c r="D12" s="7" t="s">
        <v>55</v>
      </c>
      <c r="E12" s="8" t="s">
        <v>478</v>
      </c>
      <c r="F12" s="7" t="s">
        <v>469</v>
      </c>
      <c r="G12" s="23" t="s">
        <v>56</v>
      </c>
      <c r="H12" s="23" t="s">
        <v>56</v>
      </c>
      <c r="I12" s="21" t="s">
        <v>56</v>
      </c>
      <c r="J12" s="22"/>
      <c r="K12" s="21" t="s">
        <v>41</v>
      </c>
      <c r="L12" s="21" t="s">
        <v>42</v>
      </c>
      <c r="M12" s="23" t="s">
        <v>43</v>
      </c>
      <c r="N12" s="22"/>
      <c r="O12" s="21" t="s">
        <v>47</v>
      </c>
      <c r="P12" s="21" t="s">
        <v>57</v>
      </c>
      <c r="Q12" s="21" t="s">
        <v>18</v>
      </c>
      <c r="R12" s="22"/>
      <c r="S12" s="9" t="str">
        <f>"330,0"</f>
        <v>330,0</v>
      </c>
      <c r="T12" s="9" t="str">
        <f>"226,9080"</f>
        <v>226,9080</v>
      </c>
      <c r="U12" s="7"/>
    </row>
    <row r="14" spans="1:21" ht="16">
      <c r="A14" s="52" t="s">
        <v>58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21">
      <c r="A15" s="22" t="s">
        <v>30</v>
      </c>
      <c r="B15" s="7" t="s">
        <v>89</v>
      </c>
      <c r="C15" s="7" t="s">
        <v>59</v>
      </c>
      <c r="D15" s="7" t="s">
        <v>60</v>
      </c>
      <c r="E15" s="8" t="s">
        <v>465</v>
      </c>
      <c r="F15" s="7" t="s">
        <v>470</v>
      </c>
      <c r="G15" s="21" t="s">
        <v>61</v>
      </c>
      <c r="H15" s="21" t="s">
        <v>62</v>
      </c>
      <c r="I15" s="23" t="s">
        <v>63</v>
      </c>
      <c r="J15" s="22"/>
      <c r="K15" s="21" t="s">
        <v>64</v>
      </c>
      <c r="L15" s="23" t="s">
        <v>65</v>
      </c>
      <c r="M15" s="22"/>
      <c r="N15" s="22"/>
      <c r="O15" s="21" t="s">
        <v>66</v>
      </c>
      <c r="P15" s="23" t="s">
        <v>67</v>
      </c>
      <c r="Q15" s="22"/>
      <c r="R15" s="22"/>
      <c r="S15" s="9" t="str">
        <f>"715,0"</f>
        <v>715,0</v>
      </c>
      <c r="T15" s="9" t="str">
        <f>"458,8155"</f>
        <v>458,8155</v>
      </c>
      <c r="U15" s="7"/>
    </row>
    <row r="17" spans="1:21" ht="16">
      <c r="A17" s="52" t="s">
        <v>68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21">
      <c r="A18" s="31" t="s">
        <v>30</v>
      </c>
      <c r="B18" s="24" t="s">
        <v>90</v>
      </c>
      <c r="C18" s="24" t="s">
        <v>69</v>
      </c>
      <c r="D18" s="24" t="s">
        <v>70</v>
      </c>
      <c r="E18" s="25" t="s">
        <v>465</v>
      </c>
      <c r="F18" s="24" t="s">
        <v>459</v>
      </c>
      <c r="G18" s="30" t="s">
        <v>71</v>
      </c>
      <c r="H18" s="30" t="s">
        <v>62</v>
      </c>
      <c r="I18" s="30" t="s">
        <v>63</v>
      </c>
      <c r="J18" s="31"/>
      <c r="K18" s="30" t="s">
        <v>65</v>
      </c>
      <c r="L18" s="30" t="s">
        <v>72</v>
      </c>
      <c r="M18" s="32" t="s">
        <v>73</v>
      </c>
      <c r="N18" s="31"/>
      <c r="O18" s="30" t="s">
        <v>74</v>
      </c>
      <c r="P18" s="30" t="s">
        <v>75</v>
      </c>
      <c r="Q18" s="32" t="s">
        <v>76</v>
      </c>
      <c r="R18" s="31"/>
      <c r="S18" s="26" t="str">
        <f>"752,5"</f>
        <v>752,5</v>
      </c>
      <c r="T18" s="26" t="str">
        <f>"445,4047"</f>
        <v>445,4047</v>
      </c>
      <c r="U18" s="24"/>
    </row>
    <row r="19" spans="1:21">
      <c r="A19" s="35" t="s">
        <v>91</v>
      </c>
      <c r="B19" s="27" t="s">
        <v>92</v>
      </c>
      <c r="C19" s="27" t="s">
        <v>77</v>
      </c>
      <c r="D19" s="27" t="s">
        <v>78</v>
      </c>
      <c r="E19" s="28" t="s">
        <v>465</v>
      </c>
      <c r="F19" s="27" t="s">
        <v>460</v>
      </c>
      <c r="G19" s="33" t="s">
        <v>71</v>
      </c>
      <c r="H19" s="33" t="s">
        <v>79</v>
      </c>
      <c r="I19" s="34" t="s">
        <v>80</v>
      </c>
      <c r="J19" s="35"/>
      <c r="K19" s="33" t="s">
        <v>64</v>
      </c>
      <c r="L19" s="33" t="s">
        <v>72</v>
      </c>
      <c r="M19" s="34" t="s">
        <v>73</v>
      </c>
      <c r="N19" s="35"/>
      <c r="O19" s="33" t="s">
        <v>66</v>
      </c>
      <c r="P19" s="33" t="s">
        <v>75</v>
      </c>
      <c r="Q19" s="34" t="s">
        <v>15</v>
      </c>
      <c r="R19" s="35"/>
      <c r="S19" s="29" t="str">
        <f>"742,5"</f>
        <v>742,5</v>
      </c>
      <c r="T19" s="29" t="str">
        <f>"436,9613"</f>
        <v>436,9613</v>
      </c>
      <c r="U19" s="27"/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7:R17"/>
    <mergeCell ref="B3:B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C770-3FD6-44EA-B7C8-8C7CA72EA426}"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5.5" style="5" customWidth="1"/>
    <col min="3" max="3" width="29" style="5" bestFit="1" customWidth="1"/>
    <col min="4" max="4" width="21.5" style="5" bestFit="1" customWidth="1"/>
    <col min="5" max="5" width="10.5" style="10" customWidth="1"/>
    <col min="6" max="6" width="38.5" style="5" customWidth="1"/>
    <col min="7" max="9" width="4.5" style="19" customWidth="1"/>
    <col min="10" max="10" width="4.83203125" style="19" customWidth="1"/>
    <col min="11" max="11" width="10.5" style="6" bestFit="1" customWidth="1"/>
    <col min="12" max="12" width="7.664062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62" t="s">
        <v>437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484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32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86</v>
      </c>
      <c r="C6" s="7" t="s">
        <v>454</v>
      </c>
      <c r="D6" s="7" t="s">
        <v>34</v>
      </c>
      <c r="E6" s="8" t="s">
        <v>483</v>
      </c>
      <c r="F6" s="7" t="s">
        <v>459</v>
      </c>
      <c r="G6" s="21" t="s">
        <v>365</v>
      </c>
      <c r="H6" s="21" t="s">
        <v>366</v>
      </c>
      <c r="I6" s="23" t="s">
        <v>367</v>
      </c>
      <c r="J6" s="22"/>
      <c r="K6" s="9" t="str">
        <f>"25,0"</f>
        <v>25,0</v>
      </c>
      <c r="L6" s="9" t="str">
        <f>"24,8562"</f>
        <v>24,8562</v>
      </c>
      <c r="M6" s="7"/>
    </row>
    <row r="8" spans="1:13" ht="16">
      <c r="A8" s="52" t="s">
        <v>44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2" t="s">
        <v>30</v>
      </c>
      <c r="B9" s="7" t="s">
        <v>369</v>
      </c>
      <c r="C9" s="7" t="s">
        <v>455</v>
      </c>
      <c r="D9" s="7" t="s">
        <v>145</v>
      </c>
      <c r="E9" s="8" t="s">
        <v>481</v>
      </c>
      <c r="F9" s="7" t="s">
        <v>477</v>
      </c>
      <c r="G9" s="21" t="s">
        <v>365</v>
      </c>
      <c r="H9" s="21" t="s">
        <v>366</v>
      </c>
      <c r="I9" s="23" t="s">
        <v>367</v>
      </c>
      <c r="J9" s="22"/>
      <c r="K9" s="9" t="str">
        <f>"25,0"</f>
        <v>25,0</v>
      </c>
      <c r="L9" s="9" t="str">
        <f>"22,9300"</f>
        <v>22,9300</v>
      </c>
      <c r="M9" s="7" t="s">
        <v>412</v>
      </c>
    </row>
    <row r="11" spans="1:13" ht="16">
      <c r="A11" s="52" t="s">
        <v>53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22" t="s">
        <v>30</v>
      </c>
      <c r="B12" s="7" t="s">
        <v>214</v>
      </c>
      <c r="C12" s="7" t="s">
        <v>201</v>
      </c>
      <c r="D12" s="7" t="s">
        <v>202</v>
      </c>
      <c r="E12" s="8" t="s">
        <v>481</v>
      </c>
      <c r="F12" s="7" t="s">
        <v>474</v>
      </c>
      <c r="G12" s="21" t="s">
        <v>49</v>
      </c>
      <c r="H12" s="21" t="s">
        <v>368</v>
      </c>
      <c r="I12" s="22"/>
      <c r="J12" s="22"/>
      <c r="K12" s="9" t="str">
        <f>"73,5"</f>
        <v>73,5</v>
      </c>
      <c r="L12" s="9" t="str">
        <f>"52,3890"</f>
        <v>52,3890</v>
      </c>
      <c r="M12" s="7"/>
    </row>
    <row r="14" spans="1:13" ht="16">
      <c r="A14" s="52" t="s">
        <v>163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3">
      <c r="A15" s="22" t="s">
        <v>30</v>
      </c>
      <c r="B15" s="7" t="s">
        <v>359</v>
      </c>
      <c r="C15" s="7" t="s">
        <v>354</v>
      </c>
      <c r="D15" s="7" t="s">
        <v>355</v>
      </c>
      <c r="E15" s="8" t="s">
        <v>465</v>
      </c>
      <c r="F15" s="7" t="s">
        <v>459</v>
      </c>
      <c r="G15" s="21" t="s">
        <v>113</v>
      </c>
      <c r="H15" s="21" t="s">
        <v>35</v>
      </c>
      <c r="I15" s="21" t="s">
        <v>100</v>
      </c>
      <c r="J15" s="22"/>
      <c r="K15" s="9" t="str">
        <f>"57,5"</f>
        <v>57,5</v>
      </c>
      <c r="L15" s="9" t="str">
        <f>"34,9313"</f>
        <v>34,9313</v>
      </c>
      <c r="M15" s="7" t="s">
        <v>412</v>
      </c>
    </row>
  </sheetData>
  <mergeCells count="15">
    <mergeCell ref="A14:J1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2C9C-D842-4321-9595-4574F6C5D9CE}"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5.1640625" style="10" bestFit="1" customWidth="1"/>
    <col min="6" max="6" width="35.5" style="5" bestFit="1" customWidth="1"/>
    <col min="7" max="9" width="4.5" style="19" customWidth="1"/>
    <col min="10" max="10" width="4.83203125" style="19" customWidth="1"/>
    <col min="11" max="11" width="11" style="19" customWidth="1"/>
    <col min="12" max="12" width="10.5" style="19" customWidth="1"/>
    <col min="13" max="13" width="7.83203125" style="6" bestFit="1" customWidth="1"/>
    <col min="14" max="14" width="9.5" style="6" bestFit="1" customWidth="1"/>
    <col min="15" max="15" width="15.6640625" style="5" bestFit="1" customWidth="1"/>
    <col min="16" max="16384" width="9.1640625" style="3"/>
  </cols>
  <sheetData>
    <row r="1" spans="1:15" s="2" customFormat="1" ht="29" customHeight="1">
      <c r="A1" s="62" t="s">
        <v>438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364</v>
      </c>
      <c r="H3" s="74"/>
      <c r="I3" s="74"/>
      <c r="J3" s="74"/>
      <c r="K3" s="74" t="s">
        <v>456</v>
      </c>
      <c r="L3" s="74"/>
      <c r="M3" s="56" t="s">
        <v>1</v>
      </c>
      <c r="N3" s="56" t="s">
        <v>3</v>
      </c>
      <c r="O3" s="58" t="s">
        <v>2</v>
      </c>
    </row>
    <row r="4" spans="1:15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57"/>
      <c r="N4" s="57"/>
      <c r="O4" s="59"/>
    </row>
    <row r="5" spans="1:15" ht="16">
      <c r="A5" s="60" t="s">
        <v>411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5">
      <c r="A6" s="22" t="s">
        <v>30</v>
      </c>
      <c r="B6" s="7" t="s">
        <v>356</v>
      </c>
      <c r="C6" s="7" t="s">
        <v>348</v>
      </c>
      <c r="D6" s="7" t="s">
        <v>349</v>
      </c>
      <c r="E6" s="8" t="s">
        <v>465</v>
      </c>
      <c r="F6" s="7" t="s">
        <v>476</v>
      </c>
      <c r="G6" s="21" t="s">
        <v>49</v>
      </c>
      <c r="H6" s="21" t="s">
        <v>50</v>
      </c>
      <c r="I6" s="23" t="s">
        <v>41</v>
      </c>
      <c r="J6" s="22"/>
      <c r="K6" s="22" t="s">
        <v>39</v>
      </c>
      <c r="L6" s="47">
        <v>26</v>
      </c>
      <c r="M6" s="9" t="str">
        <f>"98,5"</f>
        <v>98,5</v>
      </c>
      <c r="N6" s="9" t="str">
        <f>"3292,9946"</f>
        <v>3292,9946</v>
      </c>
      <c r="O6" s="7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CA20-1D1A-40FA-986B-E9150D7684E4}"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5.5" style="5" bestFit="1" customWidth="1"/>
    <col min="7" max="9" width="4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62" t="s">
        <v>439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364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411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356</v>
      </c>
      <c r="C6" s="7" t="s">
        <v>348</v>
      </c>
      <c r="D6" s="7" t="s">
        <v>349</v>
      </c>
      <c r="E6" s="8" t="s">
        <v>465</v>
      </c>
      <c r="F6" s="7" t="s">
        <v>476</v>
      </c>
      <c r="G6" s="21" t="s">
        <v>49</v>
      </c>
      <c r="H6" s="21" t="s">
        <v>50</v>
      </c>
      <c r="I6" s="23" t="s">
        <v>41</v>
      </c>
      <c r="J6" s="22"/>
      <c r="K6" s="9" t="str">
        <f>"72,5"</f>
        <v>72,5</v>
      </c>
      <c r="L6" s="9" t="str">
        <f>"50,0613"</f>
        <v>50,0613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16406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6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6.6640625" style="5" customWidth="1"/>
    <col min="22" max="16384" width="9.1640625" style="3"/>
  </cols>
  <sheetData>
    <row r="1" spans="1:21" s="2" customFormat="1" ht="29" customHeight="1">
      <c r="A1" s="62" t="s">
        <v>420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1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9</v>
      </c>
      <c r="H3" s="74"/>
      <c r="I3" s="74"/>
      <c r="J3" s="74"/>
      <c r="K3" s="74" t="s">
        <v>10</v>
      </c>
      <c r="L3" s="74"/>
      <c r="M3" s="74"/>
      <c r="N3" s="74"/>
      <c r="O3" s="74" t="s">
        <v>11</v>
      </c>
      <c r="P3" s="74"/>
      <c r="Q3" s="74"/>
      <c r="R3" s="74"/>
      <c r="S3" s="56" t="s">
        <v>1</v>
      </c>
      <c r="T3" s="56" t="s">
        <v>3</v>
      </c>
      <c r="U3" s="58" t="s">
        <v>2</v>
      </c>
    </row>
    <row r="4" spans="1:21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7"/>
      <c r="T4" s="57"/>
      <c r="U4" s="59"/>
    </row>
    <row r="5" spans="1:21" ht="16">
      <c r="A5" s="60" t="s">
        <v>12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2" t="s">
        <v>30</v>
      </c>
      <c r="B6" s="7" t="s">
        <v>31</v>
      </c>
      <c r="C6" s="7" t="s">
        <v>13</v>
      </c>
      <c r="D6" s="7" t="s">
        <v>14</v>
      </c>
      <c r="E6" s="8" t="s">
        <v>465</v>
      </c>
      <c r="F6" s="7" t="s">
        <v>459</v>
      </c>
      <c r="G6" s="21" t="s">
        <v>15</v>
      </c>
      <c r="H6" s="21" t="s">
        <v>16</v>
      </c>
      <c r="I6" s="21" t="s">
        <v>17</v>
      </c>
      <c r="J6" s="22"/>
      <c r="K6" s="21" t="s">
        <v>18</v>
      </c>
      <c r="L6" s="21" t="s">
        <v>19</v>
      </c>
      <c r="M6" s="21" t="s">
        <v>20</v>
      </c>
      <c r="N6" s="22"/>
      <c r="O6" s="21" t="s">
        <v>21</v>
      </c>
      <c r="P6" s="23" t="s">
        <v>22</v>
      </c>
      <c r="Q6" s="22"/>
      <c r="R6" s="22"/>
      <c r="S6" s="9" t="str">
        <f>"777,5"</f>
        <v>777,5</v>
      </c>
      <c r="T6" s="9" t="str">
        <f>"452,5050"</f>
        <v>452,5050</v>
      </c>
      <c r="U6" s="7" t="s">
        <v>416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E6886-B682-4285-9CDA-36CF5FDF0355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6.33203125" style="5" bestFit="1" customWidth="1"/>
    <col min="4" max="4" width="21.5" style="5" bestFit="1" customWidth="1"/>
    <col min="5" max="5" width="10.5" style="10" customWidth="1"/>
    <col min="6" max="6" width="36.83203125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62" t="s">
        <v>421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56" t="s">
        <v>1</v>
      </c>
      <c r="P3" s="56" t="s">
        <v>3</v>
      </c>
      <c r="Q3" s="58" t="s">
        <v>2</v>
      </c>
    </row>
    <row r="4" spans="1:17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7"/>
      <c r="P4" s="57"/>
      <c r="Q4" s="59"/>
    </row>
    <row r="5" spans="1:17" ht="16">
      <c r="A5" s="60" t="s">
        <v>163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>
      <c r="A6" s="22" t="s">
        <v>30</v>
      </c>
      <c r="B6" s="7" t="s">
        <v>336</v>
      </c>
      <c r="C6" s="7" t="s">
        <v>318</v>
      </c>
      <c r="D6" s="7" t="s">
        <v>319</v>
      </c>
      <c r="E6" s="8" t="s">
        <v>465</v>
      </c>
      <c r="F6" s="7" t="s">
        <v>459</v>
      </c>
      <c r="G6" s="21" t="s">
        <v>103</v>
      </c>
      <c r="H6" s="21" t="s">
        <v>130</v>
      </c>
      <c r="I6" s="21" t="s">
        <v>320</v>
      </c>
      <c r="J6" s="22"/>
      <c r="K6" s="21" t="s">
        <v>157</v>
      </c>
      <c r="L6" s="21" t="s">
        <v>149</v>
      </c>
      <c r="M6" s="21" t="s">
        <v>279</v>
      </c>
      <c r="N6" s="22"/>
      <c r="O6" s="9" t="str">
        <f>"360,0"</f>
        <v>360,0</v>
      </c>
      <c r="P6" s="9" t="str">
        <f>"221,4000"</f>
        <v>221,4000</v>
      </c>
      <c r="Q6" s="7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31B1-5662-4BE4-92D3-D7C1000DBE90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7.6640625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27.33203125" style="5" bestFit="1" customWidth="1"/>
    <col min="18" max="16384" width="9.1640625" style="3"/>
  </cols>
  <sheetData>
    <row r="1" spans="1:17" s="2" customFormat="1" ht="29" customHeight="1">
      <c r="A1" s="62" t="s">
        <v>422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56" t="s">
        <v>1</v>
      </c>
      <c r="P3" s="56" t="s">
        <v>3</v>
      </c>
      <c r="Q3" s="58" t="s">
        <v>2</v>
      </c>
    </row>
    <row r="4" spans="1:17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7"/>
      <c r="P4" s="57"/>
      <c r="Q4" s="59"/>
    </row>
    <row r="5" spans="1:17" ht="16">
      <c r="A5" s="60" t="s">
        <v>53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>
      <c r="A6" s="22" t="s">
        <v>30</v>
      </c>
      <c r="B6" s="7" t="s">
        <v>346</v>
      </c>
      <c r="C6" s="7" t="s">
        <v>341</v>
      </c>
      <c r="D6" s="7" t="s">
        <v>342</v>
      </c>
      <c r="E6" s="8" t="s">
        <v>479</v>
      </c>
      <c r="F6" s="7" t="s">
        <v>459</v>
      </c>
      <c r="G6" s="21" t="s">
        <v>49</v>
      </c>
      <c r="H6" s="21" t="s">
        <v>41</v>
      </c>
      <c r="I6" s="21" t="s">
        <v>42</v>
      </c>
      <c r="J6" s="22"/>
      <c r="K6" s="21" t="s">
        <v>138</v>
      </c>
      <c r="L6" s="21" t="s">
        <v>51</v>
      </c>
      <c r="M6" s="21" t="s">
        <v>118</v>
      </c>
      <c r="N6" s="22"/>
      <c r="O6" s="9" t="str">
        <f>"225,0"</f>
        <v>225,0</v>
      </c>
      <c r="P6" s="9" t="str">
        <f>"152,4150"</f>
        <v>152,4150</v>
      </c>
      <c r="Q6" s="7" t="s">
        <v>413</v>
      </c>
    </row>
    <row r="8" spans="1:17" ht="16">
      <c r="A8" s="52" t="s">
        <v>163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22" t="s">
        <v>30</v>
      </c>
      <c r="B9" s="7" t="s">
        <v>347</v>
      </c>
      <c r="C9" s="7" t="s">
        <v>343</v>
      </c>
      <c r="D9" s="7" t="s">
        <v>344</v>
      </c>
      <c r="E9" s="8" t="s">
        <v>465</v>
      </c>
      <c r="F9" s="7" t="s">
        <v>460</v>
      </c>
      <c r="G9" s="21" t="s">
        <v>51</v>
      </c>
      <c r="H9" s="21" t="s">
        <v>118</v>
      </c>
      <c r="I9" s="21" t="s">
        <v>18</v>
      </c>
      <c r="J9" s="22"/>
      <c r="K9" s="21" t="s">
        <v>64</v>
      </c>
      <c r="L9" s="21" t="s">
        <v>156</v>
      </c>
      <c r="M9" s="21" t="s">
        <v>73</v>
      </c>
      <c r="N9" s="22"/>
      <c r="O9" s="9" t="str">
        <f>"350,0"</f>
        <v>350,0</v>
      </c>
      <c r="P9" s="9" t="str">
        <f>"215,0400"</f>
        <v>215,0400</v>
      </c>
      <c r="Q9" s="7" t="s">
        <v>345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B23A-7503-4820-A8CB-240F65E0A16F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7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19.6640625" style="5" customWidth="1"/>
    <col min="18" max="16384" width="9.1640625" style="3"/>
  </cols>
  <sheetData>
    <row r="1" spans="1:17" s="2" customFormat="1" ht="29" customHeight="1">
      <c r="A1" s="62" t="s">
        <v>423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56" t="s">
        <v>1</v>
      </c>
      <c r="P3" s="56" t="s">
        <v>3</v>
      </c>
      <c r="Q3" s="58" t="s">
        <v>2</v>
      </c>
    </row>
    <row r="4" spans="1:17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7"/>
      <c r="P4" s="57"/>
      <c r="Q4" s="59"/>
    </row>
    <row r="5" spans="1:17" ht="16">
      <c r="A5" s="60" t="s">
        <v>44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>
      <c r="A6" s="22" t="s">
        <v>30</v>
      </c>
      <c r="B6" s="7" t="s">
        <v>340</v>
      </c>
      <c r="C6" s="7" t="s">
        <v>338</v>
      </c>
      <c r="D6" s="7" t="s">
        <v>145</v>
      </c>
      <c r="E6" s="8" t="s">
        <v>465</v>
      </c>
      <c r="F6" s="7" t="s">
        <v>471</v>
      </c>
      <c r="G6" s="21" t="s">
        <v>51</v>
      </c>
      <c r="H6" s="21" t="s">
        <v>18</v>
      </c>
      <c r="I6" s="22"/>
      <c r="J6" s="22"/>
      <c r="K6" s="21" t="s">
        <v>160</v>
      </c>
      <c r="L6" s="23" t="s">
        <v>147</v>
      </c>
      <c r="M6" s="23" t="s">
        <v>147</v>
      </c>
      <c r="N6" s="22"/>
      <c r="O6" s="9" t="str">
        <f>"355,0"</f>
        <v>355,0</v>
      </c>
      <c r="P6" s="9" t="str">
        <f>"252,9730"</f>
        <v>252,9730</v>
      </c>
      <c r="Q6" s="7" t="s">
        <v>339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5B57-74D5-4372-AE19-F17C122FE527}">
  <dimension ref="A1:M4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83203125" style="5" customWidth="1"/>
    <col min="4" max="4" width="21.5" style="5" bestFit="1" customWidth="1"/>
    <col min="5" max="5" width="10.5" style="10" bestFit="1" customWidth="1"/>
    <col min="6" max="6" width="43.83203125" style="5" customWidth="1"/>
    <col min="7" max="7" width="5.6640625" style="19" bestFit="1" customWidth="1"/>
    <col min="8" max="9" width="5.5" style="19" customWidth="1"/>
    <col min="10" max="10" width="4.83203125" style="19" customWidth="1"/>
    <col min="11" max="11" width="10.5" style="20" bestFit="1" customWidth="1"/>
    <col min="12" max="12" width="8.5" style="6" bestFit="1" customWidth="1"/>
    <col min="13" max="13" width="17.33203125" style="5" customWidth="1"/>
    <col min="14" max="16384" width="9.1640625" style="3"/>
  </cols>
  <sheetData>
    <row r="1" spans="1:13" s="2" customFormat="1" ht="29" customHeight="1">
      <c r="A1" s="62" t="s">
        <v>424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10</v>
      </c>
      <c r="H3" s="74"/>
      <c r="I3" s="74"/>
      <c r="J3" s="74"/>
      <c r="K3" s="75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76"/>
      <c r="L4" s="57"/>
      <c r="M4" s="59"/>
    </row>
    <row r="5" spans="1:13" ht="16">
      <c r="A5" s="60" t="s">
        <v>220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250</v>
      </c>
      <c r="C6" s="7" t="s">
        <v>221</v>
      </c>
      <c r="D6" s="7" t="s">
        <v>222</v>
      </c>
      <c r="E6" s="8" t="s">
        <v>465</v>
      </c>
      <c r="F6" s="7" t="s">
        <v>468</v>
      </c>
      <c r="G6" s="23" t="s">
        <v>39</v>
      </c>
      <c r="H6" s="21" t="s">
        <v>39</v>
      </c>
      <c r="I6" s="21" t="s">
        <v>223</v>
      </c>
      <c r="J6" s="22"/>
      <c r="K6" s="43" t="str">
        <f>"45,0"</f>
        <v>45,0</v>
      </c>
      <c r="L6" s="9" t="str">
        <f>"60,0570"</f>
        <v>60,0570</v>
      </c>
      <c r="M6" s="7"/>
    </row>
    <row r="8" spans="1:13" ht="16">
      <c r="A8" s="52" t="s">
        <v>93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2" t="s">
        <v>30</v>
      </c>
      <c r="B9" s="7" t="s">
        <v>251</v>
      </c>
      <c r="C9" s="7" t="s">
        <v>224</v>
      </c>
      <c r="D9" s="7" t="s">
        <v>225</v>
      </c>
      <c r="E9" s="8" t="s">
        <v>465</v>
      </c>
      <c r="F9" s="7" t="s">
        <v>472</v>
      </c>
      <c r="G9" s="21" t="s">
        <v>223</v>
      </c>
      <c r="H9" s="23" t="s">
        <v>226</v>
      </c>
      <c r="I9" s="23" t="s">
        <v>113</v>
      </c>
      <c r="J9" s="22"/>
      <c r="K9" s="43" t="str">
        <f>"45,0"</f>
        <v>45,0</v>
      </c>
      <c r="L9" s="9" t="str">
        <f>"58,4280"</f>
        <v>58,4280</v>
      </c>
      <c r="M9" s="7"/>
    </row>
    <row r="11" spans="1:13" ht="16">
      <c r="A11" s="52" t="s">
        <v>104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22" t="s">
        <v>30</v>
      </c>
      <c r="B12" s="7" t="s">
        <v>252</v>
      </c>
      <c r="C12" s="7" t="s">
        <v>227</v>
      </c>
      <c r="D12" s="7" t="s">
        <v>228</v>
      </c>
      <c r="E12" s="8" t="s">
        <v>466</v>
      </c>
      <c r="F12" s="7" t="s">
        <v>459</v>
      </c>
      <c r="G12" s="21" t="s">
        <v>38</v>
      </c>
      <c r="H12" s="21" t="s">
        <v>39</v>
      </c>
      <c r="I12" s="23" t="s">
        <v>40</v>
      </c>
      <c r="J12" s="22"/>
      <c r="K12" s="43" t="str">
        <f>"40,0"</f>
        <v>40,0</v>
      </c>
      <c r="L12" s="9" t="str">
        <f>"49,2800"</f>
        <v>49,2800</v>
      </c>
      <c r="M12" s="7"/>
    </row>
    <row r="14" spans="1:13" ht="16">
      <c r="A14" s="52" t="s">
        <v>123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3">
      <c r="A15" s="22" t="s">
        <v>30</v>
      </c>
      <c r="B15" s="7" t="s">
        <v>253</v>
      </c>
      <c r="C15" s="7" t="s">
        <v>229</v>
      </c>
      <c r="D15" s="7" t="s">
        <v>230</v>
      </c>
      <c r="E15" s="8" t="s">
        <v>465</v>
      </c>
      <c r="F15" s="7" t="s">
        <v>459</v>
      </c>
      <c r="G15" s="21" t="s">
        <v>130</v>
      </c>
      <c r="H15" s="23" t="s">
        <v>48</v>
      </c>
      <c r="I15" s="23" t="s">
        <v>48</v>
      </c>
      <c r="J15" s="22"/>
      <c r="K15" s="43" t="str">
        <f>"115,0"</f>
        <v>115,0</v>
      </c>
      <c r="L15" s="9" t="str">
        <f>"90,2980"</f>
        <v>90,2980</v>
      </c>
      <c r="M15" s="7"/>
    </row>
    <row r="17" spans="1:13" ht="16">
      <c r="A17" s="52" t="s">
        <v>53</v>
      </c>
      <c r="B17" s="52"/>
      <c r="C17" s="53"/>
      <c r="D17" s="53"/>
      <c r="E17" s="53"/>
      <c r="F17" s="53"/>
      <c r="G17" s="53"/>
      <c r="H17" s="53"/>
      <c r="I17" s="53"/>
      <c r="J17" s="53"/>
    </row>
    <row r="18" spans="1:13">
      <c r="A18" s="31" t="s">
        <v>30</v>
      </c>
      <c r="B18" s="24" t="s">
        <v>254</v>
      </c>
      <c r="C18" s="24" t="s">
        <v>232</v>
      </c>
      <c r="D18" s="24" t="s">
        <v>233</v>
      </c>
      <c r="E18" s="25" t="s">
        <v>465</v>
      </c>
      <c r="F18" s="24" t="s">
        <v>468</v>
      </c>
      <c r="G18" s="30" t="s">
        <v>57</v>
      </c>
      <c r="H18" s="30" t="s">
        <v>118</v>
      </c>
      <c r="I18" s="32" t="s">
        <v>52</v>
      </c>
      <c r="J18" s="31"/>
      <c r="K18" s="44" t="str">
        <f>"145,0"</f>
        <v>145,0</v>
      </c>
      <c r="L18" s="26" t="str">
        <f>"97,2080"</f>
        <v>97,2080</v>
      </c>
      <c r="M18" s="24" t="s">
        <v>415</v>
      </c>
    </row>
    <row r="19" spans="1:13">
      <c r="A19" s="41" t="s">
        <v>91</v>
      </c>
      <c r="B19" s="36" t="s">
        <v>255</v>
      </c>
      <c r="C19" s="36" t="s">
        <v>234</v>
      </c>
      <c r="D19" s="36" t="s">
        <v>235</v>
      </c>
      <c r="E19" s="37" t="s">
        <v>465</v>
      </c>
      <c r="F19" s="36" t="s">
        <v>459</v>
      </c>
      <c r="G19" s="39" t="s">
        <v>108</v>
      </c>
      <c r="H19" s="39" t="s">
        <v>109</v>
      </c>
      <c r="I19" s="39" t="s">
        <v>57</v>
      </c>
      <c r="J19" s="41"/>
      <c r="K19" s="45" t="str">
        <f>"135,0"</f>
        <v>135,0</v>
      </c>
      <c r="L19" s="38" t="str">
        <f>"91,3815"</f>
        <v>91,3815</v>
      </c>
      <c r="M19" s="36"/>
    </row>
    <row r="20" spans="1:13">
      <c r="A20" s="35" t="s">
        <v>195</v>
      </c>
      <c r="B20" s="27" t="s">
        <v>256</v>
      </c>
      <c r="C20" s="27" t="s">
        <v>236</v>
      </c>
      <c r="D20" s="27" t="s">
        <v>237</v>
      </c>
      <c r="E20" s="28" t="s">
        <v>465</v>
      </c>
      <c r="F20" s="27" t="s">
        <v>459</v>
      </c>
      <c r="G20" s="33" t="s">
        <v>130</v>
      </c>
      <c r="H20" s="33" t="s">
        <v>135</v>
      </c>
      <c r="I20" s="33" t="s">
        <v>108</v>
      </c>
      <c r="J20" s="35"/>
      <c r="K20" s="46" t="str">
        <f>"127,5"</f>
        <v>127,5</v>
      </c>
      <c r="L20" s="29" t="str">
        <f>"85,9223"</f>
        <v>85,9223</v>
      </c>
      <c r="M20" s="27"/>
    </row>
    <row r="22" spans="1:13" ht="16">
      <c r="A22" s="52" t="s">
        <v>58</v>
      </c>
      <c r="B22" s="52"/>
      <c r="C22" s="53"/>
      <c r="D22" s="53"/>
      <c r="E22" s="53"/>
      <c r="F22" s="53"/>
      <c r="G22" s="53"/>
      <c r="H22" s="53"/>
      <c r="I22" s="53"/>
      <c r="J22" s="53"/>
    </row>
    <row r="23" spans="1:13">
      <c r="A23" s="22" t="s">
        <v>30</v>
      </c>
      <c r="B23" s="7" t="s">
        <v>257</v>
      </c>
      <c r="C23" s="7" t="s">
        <v>238</v>
      </c>
      <c r="D23" s="7" t="s">
        <v>162</v>
      </c>
      <c r="E23" s="8" t="s">
        <v>465</v>
      </c>
      <c r="F23" s="7" t="s">
        <v>461</v>
      </c>
      <c r="G23" s="21" t="s">
        <v>239</v>
      </c>
      <c r="H23" s="21" t="s">
        <v>139</v>
      </c>
      <c r="I23" s="23" t="s">
        <v>119</v>
      </c>
      <c r="J23" s="22"/>
      <c r="K23" s="43" t="str">
        <f>"147,5"</f>
        <v>147,5</v>
      </c>
      <c r="L23" s="9" t="str">
        <f>"94,9900"</f>
        <v>94,9900</v>
      </c>
      <c r="M23" s="7" t="s">
        <v>457</v>
      </c>
    </row>
    <row r="25" spans="1:13" ht="16">
      <c r="A25" s="52" t="s">
        <v>163</v>
      </c>
      <c r="B25" s="52"/>
      <c r="C25" s="53"/>
      <c r="D25" s="53"/>
      <c r="E25" s="53"/>
      <c r="F25" s="53"/>
      <c r="G25" s="53"/>
      <c r="H25" s="53"/>
      <c r="I25" s="53"/>
      <c r="J25" s="53"/>
    </row>
    <row r="26" spans="1:13">
      <c r="A26" s="31" t="s">
        <v>30</v>
      </c>
      <c r="B26" s="24" t="s">
        <v>258</v>
      </c>
      <c r="C26" s="24" t="s">
        <v>241</v>
      </c>
      <c r="D26" s="24" t="s">
        <v>242</v>
      </c>
      <c r="E26" s="25" t="s">
        <v>465</v>
      </c>
      <c r="F26" s="24" t="s">
        <v>461</v>
      </c>
      <c r="G26" s="30" t="s">
        <v>129</v>
      </c>
      <c r="H26" s="32" t="s">
        <v>243</v>
      </c>
      <c r="I26" s="32" t="s">
        <v>243</v>
      </c>
      <c r="J26" s="31"/>
      <c r="K26" s="44" t="str">
        <f>"170,0"</f>
        <v>170,0</v>
      </c>
      <c r="L26" s="26" t="str">
        <f>"106,8450"</f>
        <v>106,8450</v>
      </c>
      <c r="M26" s="24"/>
    </row>
    <row r="27" spans="1:13">
      <c r="A27" s="35" t="s">
        <v>91</v>
      </c>
      <c r="B27" s="27" t="s">
        <v>259</v>
      </c>
      <c r="C27" s="27" t="s">
        <v>245</v>
      </c>
      <c r="D27" s="27" t="s">
        <v>246</v>
      </c>
      <c r="E27" s="28" t="s">
        <v>465</v>
      </c>
      <c r="F27" s="27" t="s">
        <v>459</v>
      </c>
      <c r="G27" s="33" t="s">
        <v>51</v>
      </c>
      <c r="H27" s="33" t="s">
        <v>18</v>
      </c>
      <c r="I27" s="33" t="s">
        <v>52</v>
      </c>
      <c r="J27" s="35"/>
      <c r="K27" s="46" t="str">
        <f>"155,0"</f>
        <v>155,0</v>
      </c>
      <c r="L27" s="29" t="str">
        <f>"95,1080"</f>
        <v>95,1080</v>
      </c>
      <c r="M27" s="27"/>
    </row>
    <row r="29" spans="1:13" ht="16">
      <c r="A29" s="52" t="s">
        <v>247</v>
      </c>
      <c r="B29" s="52"/>
      <c r="C29" s="53"/>
      <c r="D29" s="53"/>
      <c r="E29" s="53"/>
      <c r="F29" s="53"/>
      <c r="G29" s="53"/>
      <c r="H29" s="53"/>
      <c r="I29" s="53"/>
      <c r="J29" s="53"/>
    </row>
    <row r="30" spans="1:13">
      <c r="A30" s="22" t="s">
        <v>217</v>
      </c>
      <c r="B30" s="7" t="s">
        <v>260</v>
      </c>
      <c r="C30" s="7" t="s">
        <v>248</v>
      </c>
      <c r="D30" s="7" t="s">
        <v>249</v>
      </c>
      <c r="E30" s="8" t="s">
        <v>480</v>
      </c>
      <c r="F30" s="7" t="s">
        <v>473</v>
      </c>
      <c r="G30" s="23" t="s">
        <v>110</v>
      </c>
      <c r="H30" s="23" t="s">
        <v>110</v>
      </c>
      <c r="I30" s="23" t="s">
        <v>110</v>
      </c>
      <c r="J30" s="22"/>
      <c r="K30" s="43">
        <v>0</v>
      </c>
      <c r="L30" s="9" t="str">
        <f>"0,0000"</f>
        <v>0,0000</v>
      </c>
      <c r="M30" s="7"/>
    </row>
    <row r="32" spans="1:13" ht="16">
      <c r="F32" s="11"/>
      <c r="G32" s="5"/>
      <c r="M32" s="6"/>
    </row>
    <row r="33" spans="2:13">
      <c r="G33" s="5"/>
      <c r="M33" s="6"/>
    </row>
    <row r="34" spans="2:13" ht="18">
      <c r="B34" s="12" t="s">
        <v>23</v>
      </c>
      <c r="C34" s="12"/>
      <c r="M34" s="6"/>
    </row>
    <row r="35" spans="2:13" ht="16">
      <c r="B35" s="13" t="s">
        <v>24</v>
      </c>
      <c r="C35" s="13"/>
      <c r="M35" s="6"/>
    </row>
    <row r="36" spans="2:13" ht="14">
      <c r="B36" s="14"/>
      <c r="C36" s="15" t="s">
        <v>25</v>
      </c>
      <c r="M36" s="6"/>
    </row>
    <row r="37" spans="2:13" ht="14">
      <c r="B37" s="16" t="s">
        <v>26</v>
      </c>
      <c r="C37" s="16" t="s">
        <v>27</v>
      </c>
      <c r="D37" s="16" t="s">
        <v>440</v>
      </c>
      <c r="E37" s="17" t="s">
        <v>212</v>
      </c>
      <c r="F37" s="16" t="s">
        <v>29</v>
      </c>
      <c r="M37" s="6"/>
    </row>
    <row r="38" spans="2:13">
      <c r="B38" s="5" t="s">
        <v>240</v>
      </c>
      <c r="C38" s="5" t="s">
        <v>25</v>
      </c>
      <c r="D38" s="19" t="s">
        <v>177</v>
      </c>
      <c r="E38" s="20">
        <v>170</v>
      </c>
      <c r="F38" s="18">
        <v>106.844997406006</v>
      </c>
      <c r="M38" s="6"/>
    </row>
    <row r="39" spans="2:13">
      <c r="B39" s="5" t="s">
        <v>231</v>
      </c>
      <c r="C39" s="5" t="s">
        <v>25</v>
      </c>
      <c r="D39" s="19" t="s">
        <v>83</v>
      </c>
      <c r="E39" s="20">
        <v>145</v>
      </c>
      <c r="F39" s="18">
        <v>97.208003401756301</v>
      </c>
      <c r="M39" s="6"/>
    </row>
    <row r="40" spans="2:13">
      <c r="B40" s="5" t="s">
        <v>244</v>
      </c>
      <c r="C40" s="5" t="s">
        <v>25</v>
      </c>
      <c r="D40" s="19" t="s">
        <v>177</v>
      </c>
      <c r="E40" s="20">
        <v>155</v>
      </c>
      <c r="F40" s="18">
        <v>95.108002424240098</v>
      </c>
      <c r="M40" s="6"/>
    </row>
    <row r="41" spans="2:13">
      <c r="E41" s="5"/>
      <c r="F41" s="10"/>
      <c r="G41" s="5"/>
      <c r="M41" s="6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9:J29"/>
    <mergeCell ref="B3:B4"/>
    <mergeCell ref="A8:J8"/>
    <mergeCell ref="A11:J11"/>
    <mergeCell ref="A14:J14"/>
    <mergeCell ref="A17:J17"/>
    <mergeCell ref="A22:J22"/>
    <mergeCell ref="A25:J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FB24-5A3A-4FA6-BBF9-D0F6FF5F8256}"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7.5" style="5" customWidth="1"/>
    <col min="7" max="9" width="5.5" style="19" customWidth="1"/>
    <col min="10" max="10" width="4.83203125" style="19" customWidth="1"/>
    <col min="11" max="11" width="10.5" style="20" bestFit="1" customWidth="1"/>
    <col min="12" max="12" width="8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62" t="s">
        <v>425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10</v>
      </c>
      <c r="H3" s="74"/>
      <c r="I3" s="74"/>
      <c r="J3" s="74"/>
      <c r="K3" s="75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76"/>
      <c r="L4" s="57"/>
      <c r="M4" s="59"/>
    </row>
    <row r="5" spans="1:13" ht="16">
      <c r="A5" s="60" t="s">
        <v>53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31" t="s">
        <v>30</v>
      </c>
      <c r="B6" s="24" t="s">
        <v>213</v>
      </c>
      <c r="C6" s="24" t="s">
        <v>199</v>
      </c>
      <c r="D6" s="24" t="s">
        <v>200</v>
      </c>
      <c r="E6" s="25" t="s">
        <v>465</v>
      </c>
      <c r="F6" s="24" t="s">
        <v>459</v>
      </c>
      <c r="G6" s="30" t="s">
        <v>57</v>
      </c>
      <c r="H6" s="30" t="s">
        <v>51</v>
      </c>
      <c r="I6" s="30" t="s">
        <v>118</v>
      </c>
      <c r="J6" s="31"/>
      <c r="K6" s="44" t="str">
        <f>"145,0"</f>
        <v>145,0</v>
      </c>
      <c r="L6" s="26" t="str">
        <f>"102,1090"</f>
        <v>102,1090</v>
      </c>
      <c r="M6" s="24"/>
    </row>
    <row r="7" spans="1:13">
      <c r="A7" s="35" t="s">
        <v>30</v>
      </c>
      <c r="B7" s="27" t="s">
        <v>214</v>
      </c>
      <c r="C7" s="27" t="s">
        <v>201</v>
      </c>
      <c r="D7" s="27" t="s">
        <v>202</v>
      </c>
      <c r="E7" s="28" t="s">
        <v>481</v>
      </c>
      <c r="F7" s="27" t="s">
        <v>474</v>
      </c>
      <c r="G7" s="34" t="s">
        <v>138</v>
      </c>
      <c r="H7" s="33" t="s">
        <v>138</v>
      </c>
      <c r="I7" s="33" t="s">
        <v>57</v>
      </c>
      <c r="J7" s="35"/>
      <c r="K7" s="46" t="str">
        <f>"135,0"</f>
        <v>135,0</v>
      </c>
      <c r="L7" s="29" t="str">
        <f>"101,4982"</f>
        <v>101,4982</v>
      </c>
      <c r="M7" s="27" t="s">
        <v>457</v>
      </c>
    </row>
    <row r="9" spans="1:13" ht="16">
      <c r="A9" s="52" t="s">
        <v>58</v>
      </c>
      <c r="B9" s="52"/>
      <c r="C9" s="53"/>
      <c r="D9" s="53"/>
      <c r="E9" s="53"/>
      <c r="F9" s="53"/>
      <c r="G9" s="53"/>
      <c r="H9" s="53"/>
      <c r="I9" s="53"/>
      <c r="J9" s="53"/>
    </row>
    <row r="10" spans="1:13">
      <c r="A10" s="31" t="s">
        <v>30</v>
      </c>
      <c r="B10" s="24" t="s">
        <v>215</v>
      </c>
      <c r="C10" s="24" t="s">
        <v>203</v>
      </c>
      <c r="D10" s="24" t="s">
        <v>162</v>
      </c>
      <c r="E10" s="25" t="s">
        <v>465</v>
      </c>
      <c r="F10" s="24" t="s">
        <v>460</v>
      </c>
      <c r="G10" s="30" t="s">
        <v>19</v>
      </c>
      <c r="H10" s="30" t="s">
        <v>153</v>
      </c>
      <c r="I10" s="30" t="s">
        <v>129</v>
      </c>
      <c r="J10" s="31"/>
      <c r="K10" s="44" t="str">
        <f>"170,0"</f>
        <v>170,0</v>
      </c>
      <c r="L10" s="26" t="str">
        <f>"109,4800"</f>
        <v>109,4800</v>
      </c>
      <c r="M10" s="24"/>
    </row>
    <row r="11" spans="1:13">
      <c r="A11" s="35" t="s">
        <v>91</v>
      </c>
      <c r="B11" s="27" t="s">
        <v>216</v>
      </c>
      <c r="C11" s="27" t="s">
        <v>204</v>
      </c>
      <c r="D11" s="27" t="s">
        <v>205</v>
      </c>
      <c r="E11" s="28" t="s">
        <v>465</v>
      </c>
      <c r="F11" s="27" t="s">
        <v>459</v>
      </c>
      <c r="G11" s="33" t="s">
        <v>52</v>
      </c>
      <c r="H11" s="33" t="s">
        <v>206</v>
      </c>
      <c r="I11" s="34" t="s">
        <v>20</v>
      </c>
      <c r="J11" s="35"/>
      <c r="K11" s="46" t="str">
        <f>"162,5"</f>
        <v>162,5</v>
      </c>
      <c r="L11" s="29" t="str">
        <f>"104,7150"</f>
        <v>104,7150</v>
      </c>
      <c r="M11" s="27" t="s">
        <v>457</v>
      </c>
    </row>
    <row r="13" spans="1:13" ht="16">
      <c r="A13" s="52" t="s">
        <v>163</v>
      </c>
      <c r="B13" s="52"/>
      <c r="C13" s="53"/>
      <c r="D13" s="53"/>
      <c r="E13" s="53"/>
      <c r="F13" s="53"/>
      <c r="G13" s="53"/>
      <c r="H13" s="53"/>
      <c r="I13" s="53"/>
      <c r="J13" s="53"/>
    </row>
    <row r="14" spans="1:13">
      <c r="A14" s="22" t="s">
        <v>217</v>
      </c>
      <c r="B14" s="7" t="s">
        <v>218</v>
      </c>
      <c r="C14" s="7" t="s">
        <v>207</v>
      </c>
      <c r="D14" s="7" t="s">
        <v>208</v>
      </c>
      <c r="E14" s="8" t="s">
        <v>478</v>
      </c>
      <c r="F14" s="7" t="s">
        <v>459</v>
      </c>
      <c r="G14" s="23" t="s">
        <v>47</v>
      </c>
      <c r="H14" s="23" t="s">
        <v>47</v>
      </c>
      <c r="I14" s="23" t="s">
        <v>138</v>
      </c>
      <c r="J14" s="22"/>
      <c r="K14" s="43">
        <v>0</v>
      </c>
      <c r="L14" s="9" t="str">
        <f>"0,0000"</f>
        <v>0,0000</v>
      </c>
      <c r="M14" s="7"/>
    </row>
    <row r="16" spans="1:13" ht="16">
      <c r="A16" s="52" t="s">
        <v>68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31" t="s">
        <v>30</v>
      </c>
      <c r="B17" s="24" t="s">
        <v>219</v>
      </c>
      <c r="C17" s="24" t="s">
        <v>209</v>
      </c>
      <c r="D17" s="24" t="s">
        <v>210</v>
      </c>
      <c r="E17" s="25" t="s">
        <v>465</v>
      </c>
      <c r="F17" s="24" t="s">
        <v>460</v>
      </c>
      <c r="G17" s="30" t="s">
        <v>73</v>
      </c>
      <c r="H17" s="30" t="s">
        <v>211</v>
      </c>
      <c r="I17" s="30" t="s">
        <v>131</v>
      </c>
      <c r="J17" s="31"/>
      <c r="K17" s="44" t="str">
        <f>"210,0"</f>
        <v>210,0</v>
      </c>
      <c r="L17" s="26" t="str">
        <f>"123,9000"</f>
        <v>123,9000</v>
      </c>
      <c r="M17" s="24"/>
    </row>
    <row r="18" spans="1:13">
      <c r="A18" s="35" t="s">
        <v>91</v>
      </c>
      <c r="B18" s="27" t="s">
        <v>92</v>
      </c>
      <c r="C18" s="27" t="s">
        <v>77</v>
      </c>
      <c r="D18" s="27" t="s">
        <v>78</v>
      </c>
      <c r="E18" s="28" t="s">
        <v>465</v>
      </c>
      <c r="F18" s="27" t="s">
        <v>460</v>
      </c>
      <c r="G18" s="33" t="s">
        <v>64</v>
      </c>
      <c r="H18" s="33" t="s">
        <v>72</v>
      </c>
      <c r="I18" s="34" t="s">
        <v>73</v>
      </c>
      <c r="J18" s="35"/>
      <c r="K18" s="46" t="str">
        <f>"192,5"</f>
        <v>192,5</v>
      </c>
      <c r="L18" s="29" t="str">
        <f>"113,2863"</f>
        <v>113,2863</v>
      </c>
      <c r="M18" s="27" t="s">
        <v>457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3:J13"/>
    <mergeCell ref="A16:J16"/>
    <mergeCell ref="B3:B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49FC-C014-43D0-97DA-2E219B0AB36A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5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5.1640625" style="5" customWidth="1"/>
    <col min="14" max="16384" width="9.1640625" style="3"/>
  </cols>
  <sheetData>
    <row r="1" spans="1:13" s="2" customFormat="1" ht="29" customHeight="1">
      <c r="A1" s="62" t="s">
        <v>426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458</v>
      </c>
      <c r="B3" s="54" t="s">
        <v>0</v>
      </c>
      <c r="C3" s="72" t="s">
        <v>463</v>
      </c>
      <c r="D3" s="72" t="s">
        <v>8</v>
      </c>
      <c r="E3" s="56" t="s">
        <v>464</v>
      </c>
      <c r="F3" s="74" t="s">
        <v>5</v>
      </c>
      <c r="G3" s="74" t="s">
        <v>10</v>
      </c>
      <c r="H3" s="74"/>
      <c r="I3" s="74"/>
      <c r="J3" s="74"/>
      <c r="K3" s="56" t="s">
        <v>198</v>
      </c>
      <c r="L3" s="56" t="s">
        <v>3</v>
      </c>
      <c r="M3" s="58" t="s">
        <v>2</v>
      </c>
    </row>
    <row r="4" spans="1:13" s="1" customFormat="1" ht="21" customHeight="1" thickBot="1">
      <c r="A4" s="71"/>
      <c r="B4" s="55"/>
      <c r="C4" s="73"/>
      <c r="D4" s="73"/>
      <c r="E4" s="57"/>
      <c r="F4" s="73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163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269</v>
      </c>
      <c r="C6" s="7" t="s">
        <v>261</v>
      </c>
      <c r="D6" s="7" t="s">
        <v>262</v>
      </c>
      <c r="E6" s="8" t="s">
        <v>465</v>
      </c>
      <c r="F6" s="7" t="s">
        <v>459</v>
      </c>
      <c r="G6" s="21" t="s">
        <v>66</v>
      </c>
      <c r="H6" s="21" t="s">
        <v>75</v>
      </c>
      <c r="I6" s="23" t="s">
        <v>76</v>
      </c>
      <c r="J6" s="22"/>
      <c r="K6" s="9" t="str">
        <f>"300,0"</f>
        <v>300,0</v>
      </c>
      <c r="L6" s="9" t="str">
        <f>"176,2350"</f>
        <v>176,2350</v>
      </c>
      <c r="M6" s="7"/>
    </row>
    <row r="8" spans="1:13" ht="16">
      <c r="A8" s="52" t="s">
        <v>12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2" t="s">
        <v>30</v>
      </c>
      <c r="B9" s="7" t="s">
        <v>270</v>
      </c>
      <c r="C9" s="7" t="s">
        <v>263</v>
      </c>
      <c r="D9" s="7" t="s">
        <v>264</v>
      </c>
      <c r="E9" s="8" t="s">
        <v>465</v>
      </c>
      <c r="F9" s="7" t="s">
        <v>468</v>
      </c>
      <c r="G9" s="21" t="s">
        <v>265</v>
      </c>
      <c r="H9" s="23" t="s">
        <v>266</v>
      </c>
      <c r="I9" s="23" t="s">
        <v>267</v>
      </c>
      <c r="J9" s="22"/>
      <c r="K9" s="9" t="str">
        <f>"380,0"</f>
        <v>380,0</v>
      </c>
      <c r="L9" s="9" t="str">
        <f>"208,6010"</f>
        <v>208,6010</v>
      </c>
      <c r="M9" s="7" t="s">
        <v>339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Двоеборье без экип</vt:lpstr>
      <vt:lpstr>WEPF Двоеборье экип ДК</vt:lpstr>
      <vt:lpstr>WRPF Жим лежа без экип ДК</vt:lpstr>
      <vt:lpstr>WRPF Жим лежа без экип</vt:lpstr>
      <vt:lpstr>WEPF Жим софт многопетельная</vt:lpstr>
      <vt:lpstr>WRPF Военный жим ДК</vt:lpstr>
      <vt:lpstr>WRPF Тяга без экипировки ДК</vt:lpstr>
      <vt:lpstr>WRPF Тяга без экипировки</vt:lpstr>
      <vt:lpstr>WEPF Тяга экип ДК</vt:lpstr>
      <vt:lpstr>WRPF Подъем на бицепс ДК</vt:lpstr>
      <vt:lpstr>WRPF Подъем на бицепс</vt:lpstr>
      <vt:lpstr>СПР Пауэрспорт ДК</vt:lpstr>
      <vt:lpstr>СПР Пауэрспорт</vt:lpstr>
      <vt:lpstr>СПР Жим стоя ДК</vt:lpstr>
      <vt:lpstr>СПР Подъем на бицепс ДК</vt:lpstr>
      <vt:lpstr>СПР Подъем на бицепс</vt:lpstr>
      <vt:lpstr>ФЖД Армейский жим двоеборье ДК</vt:lpstr>
      <vt:lpstr>ФЖД Армейский жим макс.ДК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2023-11-20T12:48:12Z</dcterms:modified>
</cp:coreProperties>
</file>