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Январь-Февраль/"/>
    </mc:Choice>
  </mc:AlternateContent>
  <xr:revisionPtr revIDLastSave="0" documentId="13_ncr:1_{6D5D7852-1987-CF40-B041-50075F13567F}" xr6:coauthVersionLast="45" xr6:coauthVersionMax="45" xr10:uidLastSave="{00000000-0000-0000-0000-000000000000}"/>
  <bookViews>
    <workbookView xWindow="480" yWindow="460" windowWidth="27840" windowHeight="15380" activeTab="3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  <sheet name="WRPF Подъем на бицепс" sheetId="8" r:id="rId4"/>
  </sheets>
  <definedNames>
    <definedName name="_FilterDatabase" localSheetId="0" hidden="1">'WRPF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8" i="5" l="1"/>
  <c r="L29" i="8"/>
  <c r="K29" i="8"/>
  <c r="L28" i="8"/>
  <c r="K28" i="8"/>
  <c r="L27" i="8"/>
  <c r="K27" i="8"/>
  <c r="L24" i="8"/>
  <c r="K24" i="8"/>
  <c r="L23" i="8"/>
  <c r="K23" i="8"/>
  <c r="L22" i="8"/>
  <c r="K22" i="8"/>
  <c r="L19" i="8"/>
  <c r="K19" i="8"/>
  <c r="L18" i="8"/>
  <c r="K18" i="8"/>
  <c r="L17" i="8"/>
  <c r="K17" i="8"/>
  <c r="L14" i="8"/>
  <c r="K14" i="8"/>
  <c r="L11" i="8"/>
  <c r="K11" i="8"/>
  <c r="L10" i="8"/>
  <c r="K10" i="8"/>
  <c r="L7" i="8"/>
  <c r="K7" i="8"/>
  <c r="L6" i="8"/>
  <c r="K6" i="8"/>
  <c r="T15" i="5"/>
  <c r="L57" i="7"/>
  <c r="K57" i="7"/>
  <c r="L54" i="7"/>
  <c r="K54" i="7"/>
  <c r="L53" i="7"/>
  <c r="K53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7" i="7"/>
  <c r="K37" i="7"/>
  <c r="L36" i="7"/>
  <c r="K36" i="7"/>
  <c r="L33" i="7"/>
  <c r="K33" i="7"/>
  <c r="L32" i="7"/>
  <c r="K32" i="7"/>
  <c r="L29" i="7"/>
  <c r="K29" i="7"/>
  <c r="L26" i="7"/>
  <c r="K26" i="7"/>
  <c r="L23" i="7"/>
  <c r="K23" i="7"/>
  <c r="L20" i="7"/>
  <c r="K20" i="7"/>
  <c r="L17" i="7"/>
  <c r="K17" i="7"/>
  <c r="L16" i="7"/>
  <c r="K16" i="7"/>
  <c r="L15" i="7"/>
  <c r="K15" i="7"/>
  <c r="L12" i="7"/>
  <c r="K12" i="7"/>
  <c r="L9" i="7"/>
  <c r="K9" i="7"/>
  <c r="L6" i="7"/>
  <c r="K6" i="7"/>
  <c r="L67" i="6"/>
  <c r="K67" i="6"/>
  <c r="L61" i="6"/>
  <c r="K61" i="6"/>
  <c r="L60" i="6"/>
  <c r="K60" i="6"/>
  <c r="L57" i="6"/>
  <c r="K57" i="6"/>
  <c r="L56" i="6"/>
  <c r="K56" i="6"/>
  <c r="L55" i="6"/>
  <c r="K55" i="6"/>
  <c r="L54" i="6"/>
  <c r="K54" i="6"/>
  <c r="L53" i="6"/>
  <c r="K53" i="6"/>
  <c r="L52" i="6"/>
  <c r="K52" i="6"/>
  <c r="L51" i="6"/>
  <c r="K51" i="6"/>
  <c r="L48" i="6"/>
  <c r="K48" i="6"/>
  <c r="L47" i="6"/>
  <c r="K47" i="6"/>
  <c r="L46" i="6"/>
  <c r="K46" i="6"/>
  <c r="L45" i="6"/>
  <c r="K45" i="6"/>
  <c r="L44" i="6"/>
  <c r="K44" i="6"/>
  <c r="L43" i="6"/>
  <c r="K43" i="6"/>
  <c r="L40" i="6"/>
  <c r="K40" i="6"/>
  <c r="L39" i="6"/>
  <c r="K39" i="6"/>
  <c r="L38" i="6"/>
  <c r="K38" i="6"/>
  <c r="L35" i="6"/>
  <c r="K35" i="6"/>
  <c r="L34" i="6"/>
  <c r="K34" i="6"/>
  <c r="L33" i="6"/>
  <c r="K33" i="6"/>
  <c r="L32" i="6"/>
  <c r="K32" i="6"/>
  <c r="L29" i="6"/>
  <c r="K29" i="6"/>
  <c r="L26" i="6"/>
  <c r="K26" i="6"/>
  <c r="L25" i="6"/>
  <c r="K25" i="6"/>
  <c r="L22" i="6"/>
  <c r="K22" i="6"/>
  <c r="L19" i="6"/>
  <c r="K19" i="6"/>
  <c r="L16" i="6"/>
  <c r="K16" i="6"/>
  <c r="L15" i="6"/>
  <c r="K15" i="6"/>
  <c r="L14" i="6"/>
  <c r="K14" i="6"/>
  <c r="L11" i="6"/>
  <c r="K11" i="6"/>
  <c r="L10" i="6"/>
  <c r="K10" i="6"/>
  <c r="L7" i="6"/>
  <c r="K7" i="6"/>
  <c r="L6" i="6"/>
  <c r="K6" i="6"/>
  <c r="T72" i="5"/>
  <c r="S72" i="5"/>
  <c r="T69" i="5"/>
  <c r="T66" i="5"/>
  <c r="S66" i="5"/>
  <c r="T65" i="5"/>
  <c r="S65" i="5"/>
  <c r="T62" i="5"/>
  <c r="S62" i="5"/>
  <c r="T61" i="5"/>
  <c r="S61" i="5"/>
  <c r="T60" i="5"/>
  <c r="S60" i="5"/>
  <c r="T59" i="5"/>
  <c r="S59" i="5"/>
  <c r="T58" i="5"/>
  <c r="S58" i="5"/>
  <c r="T57" i="5"/>
  <c r="S57" i="5"/>
  <c r="T56" i="5"/>
  <c r="S56" i="5"/>
  <c r="T53" i="5"/>
  <c r="S53" i="5"/>
  <c r="T52" i="5"/>
  <c r="S52" i="5"/>
  <c r="T51" i="5"/>
  <c r="S51" i="5"/>
  <c r="T50" i="5"/>
  <c r="S50" i="5"/>
  <c r="T49" i="5"/>
  <c r="S49" i="5"/>
  <c r="T48" i="5"/>
  <c r="T47" i="5"/>
  <c r="S47" i="5"/>
  <c r="T44" i="5"/>
  <c r="S44" i="5"/>
  <c r="T41" i="5"/>
  <c r="S41" i="5"/>
  <c r="T40" i="5"/>
  <c r="S40" i="5"/>
  <c r="T39" i="5"/>
  <c r="S39" i="5"/>
  <c r="T38" i="5"/>
  <c r="S38" i="5"/>
  <c r="T35" i="5"/>
  <c r="S35" i="5"/>
  <c r="T34" i="5"/>
  <c r="S34" i="5"/>
  <c r="T31" i="5"/>
  <c r="S31" i="5"/>
  <c r="T28" i="5"/>
  <c r="S28" i="5"/>
  <c r="T25" i="5"/>
  <c r="S25" i="5"/>
  <c r="T22" i="5"/>
  <c r="S22" i="5"/>
  <c r="T21" i="5"/>
  <c r="S21" i="5"/>
  <c r="S18" i="5"/>
  <c r="T17" i="5"/>
  <c r="S17" i="5"/>
  <c r="T16" i="5"/>
  <c r="S16" i="5"/>
  <c r="S15" i="5"/>
  <c r="T12" i="5"/>
  <c r="S12" i="5"/>
  <c r="T11" i="5"/>
  <c r="S11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<sst xmlns="http://schemas.openxmlformats.org/spreadsheetml/2006/main" count="1700" uniqueCount="459">
  <si>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</si>
  <si>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</si>
  <si>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</si>
  <si>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</si>
  <si>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</si>
  <si>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</si>
  <si>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</si>
  <si>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</si>
  <si>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</si>
  <si>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</si>
  <si>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</si>
  <si>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50,40</t>
  </si>
  <si>
    <t>60,0</t>
  </si>
  <si>
    <t>72,5</t>
  </si>
  <si>
    <t>82,5</t>
  </si>
  <si>
    <t>35,0</t>
  </si>
  <si>
    <t>40,0</t>
  </si>
  <si>
    <t>80,0</t>
  </si>
  <si>
    <t>90,0</t>
  </si>
  <si>
    <t>100,0</t>
  </si>
  <si>
    <t>ВЕСОВАЯ КАТЕГОРИЯ   56</t>
  </si>
  <si>
    <t xml:space="preserve">Зайникаева Ксения </t>
  </si>
  <si>
    <t>Юниорки (06.02.2004)/20</t>
  </si>
  <si>
    <t>54,20</t>
  </si>
  <si>
    <t>95,0</t>
  </si>
  <si>
    <t>50,0</t>
  </si>
  <si>
    <t>55,0</t>
  </si>
  <si>
    <t>107,5</t>
  </si>
  <si>
    <t>112,5</t>
  </si>
  <si>
    <t xml:space="preserve">Шульгина Карина </t>
  </si>
  <si>
    <t>Открытая (19.05.1995)/28</t>
  </si>
  <si>
    <t>55,80</t>
  </si>
  <si>
    <t>105,0</t>
  </si>
  <si>
    <t>115,0</t>
  </si>
  <si>
    <t>52,5</t>
  </si>
  <si>
    <t>57,5</t>
  </si>
  <si>
    <t>125,0</t>
  </si>
  <si>
    <t>135,0</t>
  </si>
  <si>
    <t>Открытая (06.02.2004)/20</t>
  </si>
  <si>
    <t>Открытая (12.05.1999)/24</t>
  </si>
  <si>
    <t>53,90</t>
  </si>
  <si>
    <t>120,0</t>
  </si>
  <si>
    <t>70,0</t>
  </si>
  <si>
    <t>30,0</t>
  </si>
  <si>
    <t>ВЕСОВАЯ КАТЕГОРИЯ   67.5</t>
  </si>
  <si>
    <t xml:space="preserve">Волобуева Вера </t>
  </si>
  <si>
    <t>Открытая (23.03.1957)/66</t>
  </si>
  <si>
    <t>67,30</t>
  </si>
  <si>
    <t>75,0</t>
  </si>
  <si>
    <t>130,0</t>
  </si>
  <si>
    <t>140,0</t>
  </si>
  <si>
    <t xml:space="preserve">Ускова Мария </t>
  </si>
  <si>
    <t>Открытая (12.08.1995)/28</t>
  </si>
  <si>
    <t>64,60</t>
  </si>
  <si>
    <t>110,0</t>
  </si>
  <si>
    <t>65,0</t>
  </si>
  <si>
    <t>145,0</t>
  </si>
  <si>
    <t>155,0</t>
  </si>
  <si>
    <t xml:space="preserve">Захарова Ирина </t>
  </si>
  <si>
    <t>Открытая (16.04.1989)/34</t>
  </si>
  <si>
    <t>66,30</t>
  </si>
  <si>
    <t>ВЕСОВАЯ КАТЕГОРИЯ   75</t>
  </si>
  <si>
    <t>Открытая (25.09.1997)/26</t>
  </si>
  <si>
    <t>75,00</t>
  </si>
  <si>
    <t>117,5</t>
  </si>
  <si>
    <t>122,5</t>
  </si>
  <si>
    <t>152,5</t>
  </si>
  <si>
    <t>160,0</t>
  </si>
  <si>
    <t>Открытая (06.05.1996)/27</t>
  </si>
  <si>
    <t>71,00</t>
  </si>
  <si>
    <t>ВЕСОВАЯ КАТЕГОРИЯ   82.5</t>
  </si>
  <si>
    <t>Открытая (02.11.1987)/36</t>
  </si>
  <si>
    <t>78,50</t>
  </si>
  <si>
    <t>37,5</t>
  </si>
  <si>
    <t>42,5</t>
  </si>
  <si>
    <t xml:space="preserve">Кутузов Тимофей </t>
  </si>
  <si>
    <t>48,40</t>
  </si>
  <si>
    <t>62,5</t>
  </si>
  <si>
    <t xml:space="preserve">Мальцев Семен </t>
  </si>
  <si>
    <t>54,60</t>
  </si>
  <si>
    <t xml:space="preserve">Прокопец Арсений </t>
  </si>
  <si>
    <t>Юниоры (02.07.2003)/20</t>
  </si>
  <si>
    <t>66,50</t>
  </si>
  <si>
    <t>77,5</t>
  </si>
  <si>
    <t>150,0</t>
  </si>
  <si>
    <t>162,5</t>
  </si>
  <si>
    <t>170,0</t>
  </si>
  <si>
    <t>Открытая (24.12.1995)/28</t>
  </si>
  <si>
    <t>62,80</t>
  </si>
  <si>
    <t>180,0</t>
  </si>
  <si>
    <t>195,0</t>
  </si>
  <si>
    <t>210,0</t>
  </si>
  <si>
    <t xml:space="preserve">Лукьянов Егор </t>
  </si>
  <si>
    <t>70,70</t>
  </si>
  <si>
    <t>165,0</t>
  </si>
  <si>
    <t>71,40</t>
  </si>
  <si>
    <t>132,5</t>
  </si>
  <si>
    <t xml:space="preserve">Рудаков Сергей </t>
  </si>
  <si>
    <t>Открытая (18.05.1979)/44</t>
  </si>
  <si>
    <t>74,70</t>
  </si>
  <si>
    <t>185,0</t>
  </si>
  <si>
    <t>225,0</t>
  </si>
  <si>
    <t>235,0</t>
  </si>
  <si>
    <t>240,0</t>
  </si>
  <si>
    <t>Открытая (21.02.2000)/24</t>
  </si>
  <si>
    <t>82,40</t>
  </si>
  <si>
    <t>202,5</t>
  </si>
  <si>
    <t>102,5</t>
  </si>
  <si>
    <t>227,5</t>
  </si>
  <si>
    <t>ВЕСОВАЯ КАТЕГОРИЯ   90</t>
  </si>
  <si>
    <t xml:space="preserve">Панин Сергей </t>
  </si>
  <si>
    <t>Юниоры (21.04.2000)/23</t>
  </si>
  <si>
    <t>87,90</t>
  </si>
  <si>
    <t>175,0</t>
  </si>
  <si>
    <t>190,0</t>
  </si>
  <si>
    <t>200,0</t>
  </si>
  <si>
    <t>Юниоры (03.02.2003)/21</t>
  </si>
  <si>
    <t>88,50</t>
  </si>
  <si>
    <t xml:space="preserve">Мальцев Александр </t>
  </si>
  <si>
    <t>Открытая (27.09.1983)/40</t>
  </si>
  <si>
    <t>87,20</t>
  </si>
  <si>
    <t>222,5</t>
  </si>
  <si>
    <t>182,5</t>
  </si>
  <si>
    <t>250,0</t>
  </si>
  <si>
    <t>265,0</t>
  </si>
  <si>
    <t>270,0</t>
  </si>
  <si>
    <t xml:space="preserve">Лычагин Алексей </t>
  </si>
  <si>
    <t>Открытая (04.08.1983)/40</t>
  </si>
  <si>
    <t>84,70</t>
  </si>
  <si>
    <t>205,0</t>
  </si>
  <si>
    <t>172,5</t>
  </si>
  <si>
    <t>177,5</t>
  </si>
  <si>
    <t>280,0</t>
  </si>
  <si>
    <t>292,5</t>
  </si>
  <si>
    <t>Открытая (10.07.1995)/28</t>
  </si>
  <si>
    <t>86,80</t>
  </si>
  <si>
    <t>147,5</t>
  </si>
  <si>
    <t>220,0</t>
  </si>
  <si>
    <t>Открытая (28.10.1999)/24</t>
  </si>
  <si>
    <t>83,40</t>
  </si>
  <si>
    <t>230,0</t>
  </si>
  <si>
    <t>ВЕСОВАЯ КАТЕГОРИЯ   100</t>
  </si>
  <si>
    <t xml:space="preserve">Волокитин Роман </t>
  </si>
  <si>
    <t>Юниоры (12.01.2004)/20</t>
  </si>
  <si>
    <t>98,80</t>
  </si>
  <si>
    <t xml:space="preserve">Постников Евгений </t>
  </si>
  <si>
    <t>Юниоры (13.02.2003)/21</t>
  </si>
  <si>
    <t>98,30</t>
  </si>
  <si>
    <t xml:space="preserve">Новосельцев Сергей </t>
  </si>
  <si>
    <t>Открытая (20.07.1995)/28</t>
  </si>
  <si>
    <t>Открытая (08.05.1986)/37</t>
  </si>
  <si>
    <t>99,30</t>
  </si>
  <si>
    <t>215,0</t>
  </si>
  <si>
    <t>Открытая (07.06.1989)/34</t>
  </si>
  <si>
    <t>99,70</t>
  </si>
  <si>
    <t>Открытая (09.01.1994)/30</t>
  </si>
  <si>
    <t>98,40</t>
  </si>
  <si>
    <t xml:space="preserve">Кругов Игорь </t>
  </si>
  <si>
    <t>97,90</t>
  </si>
  <si>
    <t>ВЕСОВАЯ КАТЕГОРИЯ   110</t>
  </si>
  <si>
    <t>102,70</t>
  </si>
  <si>
    <t>67,5</t>
  </si>
  <si>
    <t xml:space="preserve">Синельников Дмитрий </t>
  </si>
  <si>
    <t>Открытая (05.08.1999)/24</t>
  </si>
  <si>
    <t>102,80</t>
  </si>
  <si>
    <t>260,0</t>
  </si>
  <si>
    <t>290,0</t>
  </si>
  <si>
    <t>302,5</t>
  </si>
  <si>
    <t>ВЕСОВАЯ КАТЕГОРИЯ   125</t>
  </si>
  <si>
    <t xml:space="preserve">Тактаев Александр </t>
  </si>
  <si>
    <t>Открытая (13.09.1996)/27</t>
  </si>
  <si>
    <t>113,40</t>
  </si>
  <si>
    <t>275,0</t>
  </si>
  <si>
    <t>157,5</t>
  </si>
  <si>
    <t>ВЕСОВАЯ КАТЕГОРИЯ   140</t>
  </si>
  <si>
    <t>Юниоры (18.11.2001)/22</t>
  </si>
  <si>
    <t>134,40</t>
  </si>
  <si>
    <t xml:space="preserve">Абсолютный зачёт </t>
  </si>
  <si>
    <t xml:space="preserve">Женщины </t>
  </si>
  <si>
    <t xml:space="preserve">Девушки </t>
  </si>
  <si>
    <t xml:space="preserve">ФИО </t>
  </si>
  <si>
    <t xml:space="preserve">Возрастная группа </t>
  </si>
  <si>
    <t xml:space="preserve">Сумма </t>
  </si>
  <si>
    <t xml:space="preserve">Wilks </t>
  </si>
  <si>
    <t>52</t>
  </si>
  <si>
    <t xml:space="preserve">Юниоры </t>
  </si>
  <si>
    <t>56</t>
  </si>
  <si>
    <t xml:space="preserve">Открытая </t>
  </si>
  <si>
    <t>67.5</t>
  </si>
  <si>
    <t xml:space="preserve">Мастера </t>
  </si>
  <si>
    <t xml:space="preserve">Мужчины </t>
  </si>
  <si>
    <t xml:space="preserve">Юноши </t>
  </si>
  <si>
    <t>75</t>
  </si>
  <si>
    <t>90</t>
  </si>
  <si>
    <t>100</t>
  </si>
  <si>
    <t>110</t>
  </si>
  <si>
    <t>1</t>
  </si>
  <si>
    <t>Радченко Полина</t>
  </si>
  <si>
    <t>Зайникаева Ксения</t>
  </si>
  <si>
    <t>Шульгина Карина</t>
  </si>
  <si>
    <t>2</t>
  </si>
  <si>
    <t>3</t>
  </si>
  <si>
    <t>Боева Дарья</t>
  </si>
  <si>
    <t>-</t>
  </si>
  <si>
    <t>Волобуева Вера</t>
  </si>
  <si>
    <t>Ускова Мария</t>
  </si>
  <si>
    <t>Захарова Ирина</t>
  </si>
  <si>
    <t>Евдокимова Вера</t>
  </si>
  <si>
    <t>Руппель Виктория</t>
  </si>
  <si>
    <t>Кузнецова Нина</t>
  </si>
  <si>
    <t>Кутузов Тимофей</t>
  </si>
  <si>
    <t>Мальцев Семен</t>
  </si>
  <si>
    <t>Прокопец Арсений</t>
  </si>
  <si>
    <t>Иванов Александр</t>
  </si>
  <si>
    <t>Лукьянов Егор</t>
  </si>
  <si>
    <t>Оглоблин Данил</t>
  </si>
  <si>
    <t>Сидоркин Артем</t>
  </si>
  <si>
    <t>Рудаков Сергей</t>
  </si>
  <si>
    <t>Горбунов Евгений</t>
  </si>
  <si>
    <t>Панин Сергей</t>
  </si>
  <si>
    <t>Брусник Владислав</t>
  </si>
  <si>
    <t>Мальцев Александр</t>
  </si>
  <si>
    <t>Лычагин Алексей</t>
  </si>
  <si>
    <t>Сакович Владислав</t>
  </si>
  <si>
    <t>4</t>
  </si>
  <si>
    <t>Гусилетов Андрей</t>
  </si>
  <si>
    <t>Волокитин Роман</t>
  </si>
  <si>
    <t>Постников Евгений</t>
  </si>
  <si>
    <t>Новосельцев Сергей</t>
  </si>
  <si>
    <t>Сатюков Максим</t>
  </si>
  <si>
    <t>Овсиенко Дмитрий</t>
  </si>
  <si>
    <t>Гоголев Павел</t>
  </si>
  <si>
    <t>Кругов Игорь</t>
  </si>
  <si>
    <t>Харченко Иван</t>
  </si>
  <si>
    <t>Синельников Дмитрий</t>
  </si>
  <si>
    <t>Тактаев Александр</t>
  </si>
  <si>
    <t>Барышко Яков</t>
  </si>
  <si>
    <t>45,0</t>
  </si>
  <si>
    <t>47,5</t>
  </si>
  <si>
    <t>81,70</t>
  </si>
  <si>
    <t xml:space="preserve">Массольд Оксана </t>
  </si>
  <si>
    <t>Открытая (27.06.1982)/41</t>
  </si>
  <si>
    <t>82,50</t>
  </si>
  <si>
    <t xml:space="preserve">Курышин Платон </t>
  </si>
  <si>
    <t>48,90</t>
  </si>
  <si>
    <t>25,0</t>
  </si>
  <si>
    <t>ВЕСОВАЯ КАТЕГОРИЯ   60</t>
  </si>
  <si>
    <t xml:space="preserve">Кравцов Вадим </t>
  </si>
  <si>
    <t>60,00</t>
  </si>
  <si>
    <t xml:space="preserve">Юрьев Анатолий </t>
  </si>
  <si>
    <t>59,10</t>
  </si>
  <si>
    <t>65,20</t>
  </si>
  <si>
    <t>Юниоры (09.02.2001)/23</t>
  </si>
  <si>
    <t>74,90</t>
  </si>
  <si>
    <t>Открытая (15.08.1989)/34</t>
  </si>
  <si>
    <t>74,80</t>
  </si>
  <si>
    <t>Открытая (01.07.1995)/28</t>
  </si>
  <si>
    <t>72,60</t>
  </si>
  <si>
    <t>85,0</t>
  </si>
  <si>
    <t>Открытая (11.08.1999)/24</t>
  </si>
  <si>
    <t>81,20</t>
  </si>
  <si>
    <t xml:space="preserve">Карпунин Кирилл </t>
  </si>
  <si>
    <t>Открытая (29.12.1991)/32</t>
  </si>
  <si>
    <t>167,5</t>
  </si>
  <si>
    <t>80,20</t>
  </si>
  <si>
    <t>Открытая (09.10.1997)/26</t>
  </si>
  <si>
    <t>90,00</t>
  </si>
  <si>
    <t>142,5</t>
  </si>
  <si>
    <t>Открытая (02.10.1990)/33</t>
  </si>
  <si>
    <t>89,30</t>
  </si>
  <si>
    <t xml:space="preserve">Куропаткин Антон </t>
  </si>
  <si>
    <t>Открытая (21.11.1984)/39</t>
  </si>
  <si>
    <t>97,20</t>
  </si>
  <si>
    <t>Открытая (12.02.1996)/28</t>
  </si>
  <si>
    <t>96,60</t>
  </si>
  <si>
    <t>Открытая (11.07.1994)/29</t>
  </si>
  <si>
    <t>99,50</t>
  </si>
  <si>
    <t>Открытая (15.09.1999)/24</t>
  </si>
  <si>
    <t>98,10</t>
  </si>
  <si>
    <t>127,5</t>
  </si>
  <si>
    <t>92,00</t>
  </si>
  <si>
    <t xml:space="preserve">Михеда Алексей </t>
  </si>
  <si>
    <t>107,90</t>
  </si>
  <si>
    <t>Открытая (21.02.2003)/21</t>
  </si>
  <si>
    <t>138,70</t>
  </si>
  <si>
    <t xml:space="preserve">Результат </t>
  </si>
  <si>
    <t>82.5</t>
  </si>
  <si>
    <t>60</t>
  </si>
  <si>
    <t>Результат</t>
  </si>
  <si>
    <t>Харламова Дарья</t>
  </si>
  <si>
    <t>Синько Анастасия</t>
  </si>
  <si>
    <t>Массольд Оксана</t>
  </si>
  <si>
    <t>Курышин Платон</t>
  </si>
  <si>
    <t>Кузьменко Арсений</t>
  </si>
  <si>
    <t>Кравцов Вадим</t>
  </si>
  <si>
    <t>Юрьев Анатолий</t>
  </si>
  <si>
    <t>Краснов Александр</t>
  </si>
  <si>
    <t>Панов Даниил</t>
  </si>
  <si>
    <t>Козырь Дмитрий</t>
  </si>
  <si>
    <t>Гусаров Евгений</t>
  </si>
  <si>
    <t>Федоров Вячеслав</t>
  </si>
  <si>
    <t>Чернаков Кирилл</t>
  </si>
  <si>
    <t>Карпунин Кирилл</t>
  </si>
  <si>
    <t>Немченко Сергей</t>
  </si>
  <si>
    <t>Лукьянов Данил</t>
  </si>
  <si>
    <t>Липатов Евгений</t>
  </si>
  <si>
    <t>Анохин Фёдор</t>
  </si>
  <si>
    <t>Куропаткин Антон</t>
  </si>
  <si>
    <t>Ананьин Андрей</t>
  </si>
  <si>
    <t>Адаменко Илья</t>
  </si>
  <si>
    <t>5</t>
  </si>
  <si>
    <t>Михеда Егор</t>
  </si>
  <si>
    <t>Астафьев Николай</t>
  </si>
  <si>
    <t>Михеда Алексей</t>
  </si>
  <si>
    <t>Логушкин Владимир</t>
  </si>
  <si>
    <t>Хозяинов Николай</t>
  </si>
  <si>
    <t>ВЕСОВАЯ КАТЕГОРИЯ   48</t>
  </si>
  <si>
    <t xml:space="preserve">Статьина Марина </t>
  </si>
  <si>
    <t>45,40</t>
  </si>
  <si>
    <t>Открытая (29.08.1994)/29</t>
  </si>
  <si>
    <t>51,30</t>
  </si>
  <si>
    <t xml:space="preserve">Узингер Карина </t>
  </si>
  <si>
    <t>63,50</t>
  </si>
  <si>
    <t>ВЕСОВАЯ КАТЕГОРИЯ   90+</t>
  </si>
  <si>
    <t xml:space="preserve">Шибких Светлана </t>
  </si>
  <si>
    <t>100,10</t>
  </si>
  <si>
    <t xml:space="preserve">Пашков Анатолий </t>
  </si>
  <si>
    <t>81,30</t>
  </si>
  <si>
    <t>88,40</t>
  </si>
  <si>
    <t xml:space="preserve">Романов Максим </t>
  </si>
  <si>
    <t>Юниоры (05.08.2001)/22</t>
  </si>
  <si>
    <t>100,00</t>
  </si>
  <si>
    <t>252,5</t>
  </si>
  <si>
    <t xml:space="preserve">Тактаев Николай </t>
  </si>
  <si>
    <t>99,90</t>
  </si>
  <si>
    <t>267,5</t>
  </si>
  <si>
    <t>Открытая (05.08.2001)/22</t>
  </si>
  <si>
    <t>Открытая (29.09.1999)/24</t>
  </si>
  <si>
    <t>99,00</t>
  </si>
  <si>
    <t>108,30</t>
  </si>
  <si>
    <t>247,5</t>
  </si>
  <si>
    <t>104,00</t>
  </si>
  <si>
    <t>48</t>
  </si>
  <si>
    <t>90+</t>
  </si>
  <si>
    <t>125</t>
  </si>
  <si>
    <t>Статьина Марина</t>
  </si>
  <si>
    <t>Вилисова Алевтина</t>
  </si>
  <si>
    <t>Узингер Карина</t>
  </si>
  <si>
    <t>Шибких Светлана</t>
  </si>
  <si>
    <t>Пашков Анатолий</t>
  </si>
  <si>
    <t>Массольд Денис</t>
  </si>
  <si>
    <t>Романов Максим</t>
  </si>
  <si>
    <t>Тактаев Николай</t>
  </si>
  <si>
    <t>Триппель Денис</t>
  </si>
  <si>
    <t>Фролов Алексей</t>
  </si>
  <si>
    <t>Исмагилов Виктор</t>
  </si>
  <si>
    <t>Зиновьев Дмитрий</t>
  </si>
  <si>
    <t>Райлян Валентин</t>
  </si>
  <si>
    <t>Девушки (28.05.2006)/17</t>
  </si>
  <si>
    <t>Мастера (23.03.1957)/66</t>
  </si>
  <si>
    <t>Юноши (24.12.2008)/15</t>
  </si>
  <si>
    <t>Юноши (20.05.2007)/16</t>
  </si>
  <si>
    <t>Юноши (25.03.2008)/15</t>
  </si>
  <si>
    <t>Юноши (01.05.2009)/14</t>
  </si>
  <si>
    <t>Мастера (04.08.1983)/40</t>
  </si>
  <si>
    <t>Мастера (15.02.1971)/53</t>
  </si>
  <si>
    <t>Юноши (10.11.2008)/15</t>
  </si>
  <si>
    <t>Клюкин Дмитрий</t>
  </si>
  <si>
    <t xml:space="preserve">Ефимов Андрей </t>
  </si>
  <si>
    <t xml:space="preserve">Сакович Владислав </t>
  </si>
  <si>
    <t xml:space="preserve">Чукмаров Азис </t>
  </si>
  <si>
    <t>Ефимов Андрей</t>
  </si>
  <si>
    <t xml:space="preserve">Санаров Дмитрий </t>
  </si>
  <si>
    <t xml:space="preserve">Клюкин Дмитрий </t>
  </si>
  <si>
    <t xml:space="preserve">Полосин Сергей </t>
  </si>
  <si>
    <t xml:space="preserve">Чернозипунников Тимофей </t>
  </si>
  <si>
    <t>Чукмаров Азис</t>
  </si>
  <si>
    <t xml:space="preserve">Волков Владислав </t>
  </si>
  <si>
    <t>Юноши (08.06.2009)/14</t>
  </si>
  <si>
    <t>Юноши</t>
  </si>
  <si>
    <t>Мастера (07.04.1975)/48</t>
  </si>
  <si>
    <t>Мастера (03.02.1979)/45</t>
  </si>
  <si>
    <t>Мастера (31.07.1975)/48</t>
  </si>
  <si>
    <t>Мастера (15.05.1959)/64</t>
  </si>
  <si>
    <t>Девушки (13.09.2007)/16</t>
  </si>
  <si>
    <t>Юноши (16.08.2009)/14</t>
  </si>
  <si>
    <t>Юноши (26.01.2011)/13</t>
  </si>
  <si>
    <t>Юноши (19.03.2005)/18</t>
  </si>
  <si>
    <t>Юноши (01.07.2008)/15</t>
  </si>
  <si>
    <t>Юноши (15.07.2010)/13</t>
  </si>
  <si>
    <t>Юноши (06.04.2006)/17</t>
  </si>
  <si>
    <t>Мастера (21.03.1961)/62</t>
  </si>
  <si>
    <t xml:space="preserve">Кузякин Виктор </t>
  </si>
  <si>
    <t xml:space="preserve">Воробьёв Эдуард </t>
  </si>
  <si>
    <t xml:space="preserve">Авдеев Роман </t>
  </si>
  <si>
    <t>Девушки (26.08.2004)/19</t>
  </si>
  <si>
    <t>Полосин Сергей</t>
  </si>
  <si>
    <t>Курланов Игорь</t>
  </si>
  <si>
    <t>Чернозипунников Тимофей</t>
  </si>
  <si>
    <t>Мастера (01.03.1968)/55</t>
  </si>
  <si>
    <t>Мастера (30.01.1948)/76</t>
  </si>
  <si>
    <t>Мастера (19.02.2000)/24</t>
  </si>
  <si>
    <t>Мастера (26.04.1971)/52</t>
  </si>
  <si>
    <t>Мастера (16.05.1950)/73</t>
  </si>
  <si>
    <t>Мастера</t>
  </si>
  <si>
    <t>Юноши (16.01.2007)/17</t>
  </si>
  <si>
    <t>Девушки (18.02.2007)/17</t>
  </si>
  <si>
    <t>Девушки (05.12.2004)/19</t>
  </si>
  <si>
    <t>Девушки (20.04.2009)/14</t>
  </si>
  <si>
    <t>Сидоров Тимофей</t>
  </si>
  <si>
    <t>Юноши (29.09.2008)/15</t>
  </si>
  <si>
    <t>67,40</t>
  </si>
  <si>
    <t>Гнилозубов Владислав</t>
  </si>
  <si>
    <t>Юниоры (06.08.2003)/20</t>
  </si>
  <si>
    <t>66,60</t>
  </si>
  <si>
    <t>Такмаков Андрей</t>
  </si>
  <si>
    <t>73,40</t>
  </si>
  <si>
    <t>Шаров Илья</t>
  </si>
  <si>
    <t>Юноши (14.03.2006)/17</t>
  </si>
  <si>
    <t>78,70</t>
  </si>
  <si>
    <t>Устинов Михаил</t>
  </si>
  <si>
    <t>88,20</t>
  </si>
  <si>
    <t>Унгефуг Иван</t>
  </si>
  <si>
    <t>Открытая (17.04.1994)/29</t>
  </si>
  <si>
    <t>Сподникайло Максим</t>
  </si>
  <si>
    <t>Открытая (22.04.1991)/32</t>
  </si>
  <si>
    <t>Решетников Павел</t>
  </si>
  <si>
    <t>Открытая (07.03.1995)/28</t>
  </si>
  <si>
    <t>Калугин Анатолий</t>
  </si>
  <si>
    <t>Открытая (23.04.1971)/52</t>
  </si>
  <si>
    <t>106,60</t>
  </si>
  <si>
    <t>Открытая (26.04.1971)/52</t>
  </si>
  <si>
    <t xml:space="preserve">Gloss </t>
  </si>
  <si>
    <t xml:space="preserve">Шаров Илья </t>
  </si>
  <si>
    <t xml:space="preserve">Устинов Михаил </t>
  </si>
  <si>
    <t xml:space="preserve">Сидоров Тимофей </t>
  </si>
  <si>
    <t xml:space="preserve">Ананьин Андрей </t>
  </si>
  <si>
    <t xml:space="preserve">Унгефуг Иван </t>
  </si>
  <si>
    <t xml:space="preserve">Лукьянов Данил </t>
  </si>
  <si>
    <t>Пономарев Сергей</t>
  </si>
  <si>
    <t>Юноши (17.10.2004)/19</t>
  </si>
  <si>
    <t>Юниоры (09.04.2003)/21</t>
  </si>
  <si>
    <t>V Открытый Кубок города Новоалтайска
WRPF Пауэрлифтинг без экипировки
Новоалтайск/Алтайский край, 25 февраля 2024 года</t>
  </si>
  <si>
    <t>V Открытый Кубок города Новоалтайска
WRPF Жим лежа без экипировки
Новоалтайск/Алтайский край, 25 февраля 2024 года</t>
  </si>
  <si>
    <t>V Открытый Кубок города Новоалтайска
WRPF Становая тяга без экипировки
Новоалтайск/Алтайский край, 25 февраля 2024 года</t>
  </si>
  <si>
    <t>V Открытый Кубок города Новоалтайска
WRPF Строгий подъем на бицепс
Новоалтайск/Алтайский край, 25 февраля 2024 года</t>
  </si>
  <si>
    <t>Весовая категория</t>
  </si>
  <si>
    <t>жим</t>
  </si>
  <si>
    <t>№</t>
  </si>
  <si>
    <t>Алтайский край, Барнаул</t>
  </si>
  <si>
    <t>Алтайский край, Новоалтайск</t>
  </si>
  <si>
    <t>Алтайский край, Заринск</t>
  </si>
  <si>
    <t>Алтайский край, Кулунда</t>
  </si>
  <si>
    <t xml:space="preserve">
Дата рождения/Возраст</t>
  </si>
  <si>
    <t>Возрастная группа</t>
  </si>
  <si>
    <t>T</t>
  </si>
  <si>
    <t>J</t>
  </si>
  <si>
    <t>O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</si>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</sst>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b/>
      <sz val="24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01"/>
  <sheetViews>
    <sheetView topLeftCell="A43" zoomScaleNormal="100" workbookViewId="0">
      <selection activeCell="E73" sqref="E73"/>
    </sheetView>
  </sheetViews>
  <sheetFormatPr baseColWidth="10" defaultColWidth="9.1640625" defaultRowHeight="13"/>
  <cols>
    <col min="1" max="1" width="7.33203125" style="5" bestFit="1" customWidth="1"/>
    <col min="2" max="2" width="23.5" style="5" customWidth="1"/>
    <col min="3" max="3" width="27.83203125" style="5" customWidth="1"/>
    <col min="4" max="4" width="13.6640625" style="5" bestFit="1" customWidth="1"/>
    <col min="5" max="5" width="10.1640625" style="19" bestFit="1" customWidth="1"/>
    <col min="6" max="6" width="32.5" style="5" customWidth="1"/>
    <col min="7" max="7" width="5.6640625" style="27" bestFit="1" customWidth="1"/>
    <col min="8" max="9" width="5.5" style="27" customWidth="1"/>
    <col min="10" max="10" width="4.5" style="27" customWidth="1"/>
    <col min="11" max="13" width="5.5" style="27" customWidth="1"/>
    <col min="14" max="14" width="4.5" style="27" customWidth="1"/>
    <col min="15" max="17" width="5.5" style="27" customWidth="1"/>
    <col min="18" max="18" width="4.5" style="27" customWidth="1"/>
    <col min="19" max="19" width="7.6640625" style="28" bestFit="1" customWidth="1"/>
    <col min="20" max="20" width="8.5" style="6" bestFit="1" customWidth="1"/>
    <col min="21" max="21" width="24.83203125" style="5" customWidth="1"/>
    <col min="22" max="16384" width="9.1640625" style="3"/>
  </cols>
  <sheetData>
    <row r="1" spans="1:21" s="2" customFormat="1" ht="29" customHeight="1">
      <c r="A1" s="60" t="s">
        <v>442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s="2" customFormat="1" ht="66" customHeight="1" thickBo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5" t="s">
        <v>448</v>
      </c>
      <c r="B3" s="71" t="s">
        <v>0</v>
      </c>
      <c r="C3" s="67" t="s">
        <v>453</v>
      </c>
      <c r="D3" s="67" t="s">
        <v>6</v>
      </c>
      <c r="E3" s="56" t="s">
        <v>454</v>
      </c>
      <c r="F3" s="64" t="s">
        <v>5</v>
      </c>
      <c r="G3" s="64" t="s">
        <v>7</v>
      </c>
      <c r="H3" s="64"/>
      <c r="I3" s="64"/>
      <c r="J3" s="64"/>
      <c r="K3" s="64" t="s">
        <v>8</v>
      </c>
      <c r="L3" s="64"/>
      <c r="M3" s="64"/>
      <c r="N3" s="64"/>
      <c r="O3" s="64" t="s">
        <v>9</v>
      </c>
      <c r="P3" s="64"/>
      <c r="Q3" s="64"/>
      <c r="R3" s="64"/>
      <c r="S3" s="58" t="s">
        <v>1</v>
      </c>
      <c r="T3" s="56" t="s">
        <v>3</v>
      </c>
      <c r="U3" s="69" t="s">
        <v>2</v>
      </c>
    </row>
    <row r="4" spans="1:21" s="1" customFormat="1" ht="21" customHeight="1" thickBot="1">
      <c r="A4" s="66"/>
      <c r="B4" s="72"/>
      <c r="C4" s="68"/>
      <c r="D4" s="68"/>
      <c r="E4" s="57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57"/>
      <c r="U4" s="70"/>
    </row>
    <row r="5" spans="1:21" ht="16">
      <c r="A5" s="73" t="s">
        <v>10</v>
      </c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1">
      <c r="A6" s="31" t="s">
        <v>196</v>
      </c>
      <c r="B6" s="7" t="s">
        <v>197</v>
      </c>
      <c r="C6" s="41" t="s">
        <v>358</v>
      </c>
      <c r="D6" s="7" t="s">
        <v>11</v>
      </c>
      <c r="E6" s="8" t="s">
        <v>455</v>
      </c>
      <c r="F6" s="7" t="s">
        <v>449</v>
      </c>
      <c r="G6" s="29" t="s">
        <v>12</v>
      </c>
      <c r="H6" s="29" t="s">
        <v>13</v>
      </c>
      <c r="I6" s="30" t="s">
        <v>14</v>
      </c>
      <c r="J6" s="31"/>
      <c r="K6" s="29" t="s">
        <v>15</v>
      </c>
      <c r="L6" s="30" t="s">
        <v>16</v>
      </c>
      <c r="M6" s="29" t="s">
        <v>16</v>
      </c>
      <c r="N6" s="31"/>
      <c r="O6" s="29" t="s">
        <v>17</v>
      </c>
      <c r="P6" s="29" t="s">
        <v>18</v>
      </c>
      <c r="Q6" s="29" t="s">
        <v>19</v>
      </c>
      <c r="R6" s="31"/>
      <c r="S6" s="51" t="str">
        <f>"212,5"</f>
        <v>212,5</v>
      </c>
      <c r="T6" s="9" t="str">
        <f>"271,3413"</f>
        <v>271,3413</v>
      </c>
      <c r="U6" s="41" t="s">
        <v>367</v>
      </c>
    </row>
    <row r="8" spans="1:21" ht="16">
      <c r="A8" s="75" t="s">
        <v>20</v>
      </c>
      <c r="B8" s="75"/>
      <c r="C8" s="75"/>
      <c r="D8" s="75"/>
      <c r="E8" s="76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21">
      <c r="A9" s="34" t="s">
        <v>196</v>
      </c>
      <c r="B9" s="10" t="s">
        <v>198</v>
      </c>
      <c r="C9" s="10" t="s">
        <v>22</v>
      </c>
      <c r="D9" s="10" t="s">
        <v>23</v>
      </c>
      <c r="E9" s="11" t="s">
        <v>456</v>
      </c>
      <c r="F9" s="10" t="s">
        <v>450</v>
      </c>
      <c r="G9" s="32" t="s">
        <v>18</v>
      </c>
      <c r="H9" s="33" t="s">
        <v>24</v>
      </c>
      <c r="I9" s="33" t="s">
        <v>24</v>
      </c>
      <c r="J9" s="34"/>
      <c r="K9" s="32" t="s">
        <v>25</v>
      </c>
      <c r="L9" s="33" t="s">
        <v>26</v>
      </c>
      <c r="M9" s="32" t="s">
        <v>26</v>
      </c>
      <c r="N9" s="34"/>
      <c r="O9" s="32" t="s">
        <v>19</v>
      </c>
      <c r="P9" s="32" t="s">
        <v>27</v>
      </c>
      <c r="Q9" s="32" t="s">
        <v>28</v>
      </c>
      <c r="R9" s="34"/>
      <c r="S9" s="52" t="str">
        <f>"257,5"</f>
        <v>257,5</v>
      </c>
      <c r="T9" s="49" t="str">
        <f>"310,8283"</f>
        <v>310,8283</v>
      </c>
      <c r="U9" s="43" t="s">
        <v>368</v>
      </c>
    </row>
    <row r="10" spans="1:21">
      <c r="A10" s="37" t="s">
        <v>196</v>
      </c>
      <c r="B10" s="13" t="s">
        <v>199</v>
      </c>
      <c r="C10" s="13" t="s">
        <v>30</v>
      </c>
      <c r="D10" s="13" t="s">
        <v>31</v>
      </c>
      <c r="E10" s="14" t="s">
        <v>457</v>
      </c>
      <c r="F10" s="13" t="s">
        <v>449</v>
      </c>
      <c r="G10" s="35" t="s">
        <v>32</v>
      </c>
      <c r="H10" s="35" t="s">
        <v>28</v>
      </c>
      <c r="I10" s="36" t="s">
        <v>33</v>
      </c>
      <c r="J10" s="37"/>
      <c r="K10" s="35" t="s">
        <v>34</v>
      </c>
      <c r="L10" s="35" t="s">
        <v>35</v>
      </c>
      <c r="M10" s="36" t="s">
        <v>12</v>
      </c>
      <c r="N10" s="37"/>
      <c r="O10" s="35" t="s">
        <v>33</v>
      </c>
      <c r="P10" s="35" t="s">
        <v>36</v>
      </c>
      <c r="Q10" s="36" t="s">
        <v>37</v>
      </c>
      <c r="R10" s="37"/>
      <c r="S10" s="53" t="str">
        <f>"295,0"</f>
        <v>295,0</v>
      </c>
      <c r="T10" s="48" t="str">
        <f>"348,0705"</f>
        <v>348,0705</v>
      </c>
      <c r="U10" s="44" t="s">
        <v>369</v>
      </c>
    </row>
    <row r="11" spans="1:21">
      <c r="A11" s="37" t="s">
        <v>200</v>
      </c>
      <c r="B11" s="13" t="s">
        <v>198</v>
      </c>
      <c r="C11" s="13" t="s">
        <v>38</v>
      </c>
      <c r="D11" s="13" t="s">
        <v>23</v>
      </c>
      <c r="E11" s="14" t="s">
        <v>457</v>
      </c>
      <c r="F11" s="13" t="s">
        <v>450</v>
      </c>
      <c r="G11" s="35" t="s">
        <v>18</v>
      </c>
      <c r="H11" s="36" t="s">
        <v>24</v>
      </c>
      <c r="I11" s="36" t="s">
        <v>24</v>
      </c>
      <c r="J11" s="37"/>
      <c r="K11" s="35" t="s">
        <v>25</v>
      </c>
      <c r="L11" s="36" t="s">
        <v>26</v>
      </c>
      <c r="M11" s="35" t="s">
        <v>26</v>
      </c>
      <c r="N11" s="37"/>
      <c r="O11" s="35" t="s">
        <v>19</v>
      </c>
      <c r="P11" s="35" t="s">
        <v>27</v>
      </c>
      <c r="Q11" s="35" t="s">
        <v>28</v>
      </c>
      <c r="R11" s="37"/>
      <c r="S11" s="53" t="str">
        <f>"257,5"</f>
        <v>257,5</v>
      </c>
      <c r="T11" s="48" t="str">
        <f>"310,8283"</f>
        <v>310,8283</v>
      </c>
      <c r="U11" s="44" t="s">
        <v>368</v>
      </c>
    </row>
    <row r="12" spans="1:21">
      <c r="A12" s="39" t="s">
        <v>201</v>
      </c>
      <c r="B12" s="16" t="s">
        <v>202</v>
      </c>
      <c r="C12" s="16" t="s">
        <v>39</v>
      </c>
      <c r="D12" s="16" t="s">
        <v>40</v>
      </c>
      <c r="E12" s="17" t="s">
        <v>457</v>
      </c>
      <c r="F12" s="16" t="s">
        <v>449</v>
      </c>
      <c r="G12" s="40" t="s">
        <v>18</v>
      </c>
      <c r="H12" s="38" t="s">
        <v>24</v>
      </c>
      <c r="I12" s="38" t="s">
        <v>19</v>
      </c>
      <c r="J12" s="39"/>
      <c r="K12" s="40" t="s">
        <v>25</v>
      </c>
      <c r="L12" s="38" t="s">
        <v>26</v>
      </c>
      <c r="M12" s="38" t="s">
        <v>26</v>
      </c>
      <c r="N12" s="39"/>
      <c r="O12" s="40" t="s">
        <v>27</v>
      </c>
      <c r="P12" s="40" t="s">
        <v>33</v>
      </c>
      <c r="Q12" s="38" t="s">
        <v>41</v>
      </c>
      <c r="R12" s="39"/>
      <c r="S12" s="54" t="str">
        <f>"255,0"</f>
        <v>255,0</v>
      </c>
      <c r="T12" s="50" t="str">
        <f>"309,1365"</f>
        <v>309,1365</v>
      </c>
      <c r="U12" s="42" t="s">
        <v>370</v>
      </c>
    </row>
    <row r="14" spans="1:21" ht="16">
      <c r="A14" s="75" t="s">
        <v>44</v>
      </c>
      <c r="B14" s="75"/>
      <c r="C14" s="75"/>
      <c r="D14" s="75"/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spans="1:21">
      <c r="A15" s="34" t="s">
        <v>196</v>
      </c>
      <c r="B15" s="10" t="s">
        <v>204</v>
      </c>
      <c r="C15" s="10" t="s">
        <v>46</v>
      </c>
      <c r="D15" s="10" t="s">
        <v>47</v>
      </c>
      <c r="E15" s="11" t="s">
        <v>457</v>
      </c>
      <c r="F15" s="10" t="s">
        <v>450</v>
      </c>
      <c r="G15" s="32" t="s">
        <v>33</v>
      </c>
      <c r="H15" s="32" t="s">
        <v>41</v>
      </c>
      <c r="I15" s="33" t="s">
        <v>36</v>
      </c>
      <c r="J15" s="34"/>
      <c r="K15" s="32" t="s">
        <v>42</v>
      </c>
      <c r="L15" s="32" t="s">
        <v>13</v>
      </c>
      <c r="M15" s="32" t="s">
        <v>48</v>
      </c>
      <c r="N15" s="34"/>
      <c r="O15" s="32" t="s">
        <v>49</v>
      </c>
      <c r="P15" s="32" t="s">
        <v>37</v>
      </c>
      <c r="Q15" s="32" t="s">
        <v>50</v>
      </c>
      <c r="R15" s="34"/>
      <c r="S15" s="52" t="str">
        <f>"335,0"</f>
        <v>335,0</v>
      </c>
      <c r="T15" s="49" t="str">
        <f>"342,6380"</f>
        <v>342,6380</v>
      </c>
      <c r="U15" s="43" t="s">
        <v>368</v>
      </c>
    </row>
    <row r="16" spans="1:21">
      <c r="A16" s="37" t="s">
        <v>200</v>
      </c>
      <c r="B16" s="13" t="s">
        <v>205</v>
      </c>
      <c r="C16" s="13" t="s">
        <v>52</v>
      </c>
      <c r="D16" s="13" t="s">
        <v>53</v>
      </c>
      <c r="E16" s="14" t="s">
        <v>457</v>
      </c>
      <c r="F16" s="13" t="s">
        <v>449</v>
      </c>
      <c r="G16" s="36" t="s">
        <v>32</v>
      </c>
      <c r="H16" s="36" t="s">
        <v>54</v>
      </c>
      <c r="I16" s="35" t="s">
        <v>54</v>
      </c>
      <c r="J16" s="37"/>
      <c r="K16" s="35" t="s">
        <v>55</v>
      </c>
      <c r="L16" s="36" t="s">
        <v>13</v>
      </c>
      <c r="M16" s="35" t="s">
        <v>13</v>
      </c>
      <c r="N16" s="37"/>
      <c r="O16" s="35" t="s">
        <v>37</v>
      </c>
      <c r="P16" s="35" t="s">
        <v>56</v>
      </c>
      <c r="Q16" s="36" t="s">
        <v>57</v>
      </c>
      <c r="R16" s="37"/>
      <c r="S16" s="53" t="str">
        <f>"327,5"</f>
        <v>327,5</v>
      </c>
      <c r="T16" s="48" t="str">
        <f>"345,1523"</f>
        <v>345,1523</v>
      </c>
      <c r="U16" s="44" t="s">
        <v>369</v>
      </c>
    </row>
    <row r="17" spans="1:21">
      <c r="A17" s="37" t="s">
        <v>201</v>
      </c>
      <c r="B17" s="13" t="s">
        <v>206</v>
      </c>
      <c r="C17" s="13" t="s">
        <v>59</v>
      </c>
      <c r="D17" s="13" t="s">
        <v>60</v>
      </c>
      <c r="E17" s="14" t="s">
        <v>457</v>
      </c>
      <c r="F17" s="13" t="s">
        <v>449</v>
      </c>
      <c r="G17" s="35" t="s">
        <v>18</v>
      </c>
      <c r="H17" s="35" t="s">
        <v>24</v>
      </c>
      <c r="I17" s="35" t="s">
        <v>19</v>
      </c>
      <c r="J17" s="37"/>
      <c r="K17" s="35" t="s">
        <v>26</v>
      </c>
      <c r="L17" s="36" t="s">
        <v>12</v>
      </c>
      <c r="M17" s="36" t="s">
        <v>12</v>
      </c>
      <c r="N17" s="37"/>
      <c r="O17" s="35" t="s">
        <v>41</v>
      </c>
      <c r="P17" s="35" t="s">
        <v>49</v>
      </c>
      <c r="Q17" s="35" t="s">
        <v>50</v>
      </c>
      <c r="R17" s="37"/>
      <c r="S17" s="55" t="str">
        <f>"295,0"</f>
        <v>295,0</v>
      </c>
      <c r="T17" s="48" t="str">
        <f>"305,0005"</f>
        <v>305,0005</v>
      </c>
      <c r="U17" s="44" t="s">
        <v>270</v>
      </c>
    </row>
    <row r="18" spans="1:21">
      <c r="A18" s="39" t="s">
        <v>196</v>
      </c>
      <c r="B18" s="16" t="s">
        <v>204</v>
      </c>
      <c r="C18" s="42" t="s">
        <v>359</v>
      </c>
      <c r="D18" s="16" t="s">
        <v>47</v>
      </c>
      <c r="E18" s="17" t="s">
        <v>458</v>
      </c>
      <c r="F18" s="16" t="s">
        <v>450</v>
      </c>
      <c r="G18" s="40" t="s">
        <v>33</v>
      </c>
      <c r="H18" s="40" t="s">
        <v>41</v>
      </c>
      <c r="I18" s="38" t="s">
        <v>36</v>
      </c>
      <c r="J18" s="39"/>
      <c r="K18" s="40" t="s">
        <v>42</v>
      </c>
      <c r="L18" s="40" t="s">
        <v>13</v>
      </c>
      <c r="M18" s="40" t="s">
        <v>48</v>
      </c>
      <c r="N18" s="39"/>
      <c r="O18" s="40" t="s">
        <v>49</v>
      </c>
      <c r="P18" s="40" t="s">
        <v>37</v>
      </c>
      <c r="Q18" s="40" t="s">
        <v>50</v>
      </c>
      <c r="R18" s="39"/>
      <c r="S18" s="54" t="str">
        <f>"335,0"</f>
        <v>335,0</v>
      </c>
      <c r="T18" s="50" t="str">
        <f>"342,6380"</f>
        <v>342,6380</v>
      </c>
      <c r="U18" s="42" t="s">
        <v>368</v>
      </c>
    </row>
    <row r="20" spans="1:21" ht="16">
      <c r="A20" s="75" t="s">
        <v>61</v>
      </c>
      <c r="B20" s="75"/>
      <c r="C20" s="75"/>
      <c r="D20" s="75"/>
      <c r="E20" s="76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21">
      <c r="A21" s="34" t="s">
        <v>196</v>
      </c>
      <c r="B21" s="10" t="s">
        <v>207</v>
      </c>
      <c r="C21" s="10" t="s">
        <v>62</v>
      </c>
      <c r="D21" s="10" t="s">
        <v>63</v>
      </c>
      <c r="E21" s="11" t="s">
        <v>457</v>
      </c>
      <c r="F21" s="10" t="s">
        <v>450</v>
      </c>
      <c r="G21" s="32" t="s">
        <v>33</v>
      </c>
      <c r="H21" s="32" t="s">
        <v>64</v>
      </c>
      <c r="I21" s="32" t="s">
        <v>65</v>
      </c>
      <c r="J21" s="34"/>
      <c r="K21" s="32" t="s">
        <v>55</v>
      </c>
      <c r="L21" s="32" t="s">
        <v>42</v>
      </c>
      <c r="M21" s="32" t="s">
        <v>13</v>
      </c>
      <c r="N21" s="34"/>
      <c r="O21" s="32" t="s">
        <v>56</v>
      </c>
      <c r="P21" s="32" t="s">
        <v>66</v>
      </c>
      <c r="Q21" s="32" t="s">
        <v>67</v>
      </c>
      <c r="R21" s="34"/>
      <c r="S21" s="52" t="str">
        <f>"355,0"</f>
        <v>355,0</v>
      </c>
      <c r="T21" s="12" t="str">
        <f>"337,4630"</f>
        <v>337,4630</v>
      </c>
      <c r="U21" s="43" t="s">
        <v>118</v>
      </c>
    </row>
    <row r="22" spans="1:21">
      <c r="A22" s="39" t="s">
        <v>200</v>
      </c>
      <c r="B22" s="16" t="s">
        <v>208</v>
      </c>
      <c r="C22" s="16" t="s">
        <v>68</v>
      </c>
      <c r="D22" s="16" t="s">
        <v>69</v>
      </c>
      <c r="E22" s="17" t="s">
        <v>457</v>
      </c>
      <c r="F22" s="16" t="s">
        <v>449</v>
      </c>
      <c r="G22" s="40" t="s">
        <v>54</v>
      </c>
      <c r="H22" s="40" t="s">
        <v>41</v>
      </c>
      <c r="I22" s="40" t="s">
        <v>49</v>
      </c>
      <c r="J22" s="39"/>
      <c r="K22" s="40" t="s">
        <v>55</v>
      </c>
      <c r="L22" s="40" t="s">
        <v>42</v>
      </c>
      <c r="M22" s="38" t="s">
        <v>13</v>
      </c>
      <c r="N22" s="39"/>
      <c r="O22" s="40" t="s">
        <v>19</v>
      </c>
      <c r="P22" s="40" t="s">
        <v>54</v>
      </c>
      <c r="Q22" s="40" t="s">
        <v>33</v>
      </c>
      <c r="R22" s="39"/>
      <c r="S22" s="54" t="str">
        <f>"315,0"</f>
        <v>315,0</v>
      </c>
      <c r="T22" s="18" t="str">
        <f>"310,3380"</f>
        <v>310,3380</v>
      </c>
      <c r="U22" s="42" t="s">
        <v>369</v>
      </c>
    </row>
    <row r="24" spans="1:21" ht="16">
      <c r="A24" s="75" t="s">
        <v>70</v>
      </c>
      <c r="B24" s="75"/>
      <c r="C24" s="75"/>
      <c r="D24" s="75"/>
      <c r="E24" s="76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21">
      <c r="A25" s="31" t="s">
        <v>196</v>
      </c>
      <c r="B25" s="7" t="s">
        <v>209</v>
      </c>
      <c r="C25" s="7" t="s">
        <v>71</v>
      </c>
      <c r="D25" s="7" t="s">
        <v>72</v>
      </c>
      <c r="E25" s="8" t="s">
        <v>457</v>
      </c>
      <c r="F25" s="7" t="s">
        <v>450</v>
      </c>
      <c r="G25" s="29" t="s">
        <v>42</v>
      </c>
      <c r="H25" s="29" t="s">
        <v>48</v>
      </c>
      <c r="I25" s="30" t="s">
        <v>17</v>
      </c>
      <c r="J25" s="31"/>
      <c r="K25" s="29" t="s">
        <v>73</v>
      </c>
      <c r="L25" s="30" t="s">
        <v>74</v>
      </c>
      <c r="M25" s="30" t="s">
        <v>74</v>
      </c>
      <c r="N25" s="31"/>
      <c r="O25" s="30" t="s">
        <v>18</v>
      </c>
      <c r="P25" s="29" t="s">
        <v>18</v>
      </c>
      <c r="Q25" s="31"/>
      <c r="R25" s="31"/>
      <c r="S25" s="51" t="str">
        <f>"202,5"</f>
        <v>202,5</v>
      </c>
      <c r="T25" s="9" t="str">
        <f>"187,2922"</f>
        <v>187,2922</v>
      </c>
      <c r="U25" s="41" t="s">
        <v>371</v>
      </c>
    </row>
    <row r="27" spans="1:21" ht="16">
      <c r="A27" s="75" t="s">
        <v>10</v>
      </c>
      <c r="B27" s="75"/>
      <c r="C27" s="75"/>
      <c r="D27" s="75"/>
      <c r="E27" s="76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21">
      <c r="A28" s="31" t="s">
        <v>196</v>
      </c>
      <c r="B28" s="7" t="s">
        <v>210</v>
      </c>
      <c r="C28" s="7" t="s">
        <v>378</v>
      </c>
      <c r="D28" s="7" t="s">
        <v>76</v>
      </c>
      <c r="E28" s="8" t="s">
        <v>455</v>
      </c>
      <c r="F28" s="7" t="s">
        <v>450</v>
      </c>
      <c r="G28" s="30" t="s">
        <v>48</v>
      </c>
      <c r="H28" s="29" t="s">
        <v>48</v>
      </c>
      <c r="I28" s="30" t="s">
        <v>17</v>
      </c>
      <c r="J28" s="31"/>
      <c r="K28" s="30" t="s">
        <v>12</v>
      </c>
      <c r="L28" s="29" t="s">
        <v>12</v>
      </c>
      <c r="M28" s="29" t="s">
        <v>77</v>
      </c>
      <c r="N28" s="31"/>
      <c r="O28" s="29" t="s">
        <v>32</v>
      </c>
      <c r="P28" s="29" t="s">
        <v>54</v>
      </c>
      <c r="Q28" s="30" t="s">
        <v>28</v>
      </c>
      <c r="R28" s="31"/>
      <c r="S28" s="51" t="str">
        <f>"247,5"</f>
        <v>247,5</v>
      </c>
      <c r="T28" s="9" t="str">
        <f>"262,4490"</f>
        <v>262,4490</v>
      </c>
      <c r="U28" s="41" t="s">
        <v>371</v>
      </c>
    </row>
    <row r="30" spans="1:21" ht="16">
      <c r="A30" s="75" t="s">
        <v>20</v>
      </c>
      <c r="B30" s="75"/>
      <c r="C30" s="75"/>
      <c r="D30" s="75"/>
      <c r="E30" s="76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21">
      <c r="A31" s="31" t="s">
        <v>196</v>
      </c>
      <c r="B31" s="7" t="s">
        <v>211</v>
      </c>
      <c r="C31" s="41" t="s">
        <v>360</v>
      </c>
      <c r="D31" s="7" t="s">
        <v>79</v>
      </c>
      <c r="E31" s="8" t="s">
        <v>455</v>
      </c>
      <c r="F31" s="7" t="s">
        <v>450</v>
      </c>
      <c r="G31" s="30" t="s">
        <v>33</v>
      </c>
      <c r="H31" s="29" t="s">
        <v>33</v>
      </c>
      <c r="I31" s="30" t="s">
        <v>41</v>
      </c>
      <c r="J31" s="31"/>
      <c r="K31" s="29" t="s">
        <v>42</v>
      </c>
      <c r="L31" s="30" t="s">
        <v>48</v>
      </c>
      <c r="M31" s="30" t="s">
        <v>48</v>
      </c>
      <c r="N31" s="31"/>
      <c r="O31" s="29" t="s">
        <v>36</v>
      </c>
      <c r="P31" s="29" t="s">
        <v>37</v>
      </c>
      <c r="Q31" s="30" t="s">
        <v>50</v>
      </c>
      <c r="R31" s="31"/>
      <c r="S31" s="51" t="str">
        <f>"320,0"</f>
        <v>320,0</v>
      </c>
      <c r="T31" s="9" t="str">
        <f>"298,6880"</f>
        <v>298,6880</v>
      </c>
      <c r="U31" s="41" t="s">
        <v>371</v>
      </c>
    </row>
    <row r="33" spans="1:21" ht="16">
      <c r="A33" s="75" t="s">
        <v>44</v>
      </c>
      <c r="B33" s="75"/>
      <c r="C33" s="75"/>
      <c r="D33" s="75"/>
      <c r="E33" s="7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21">
      <c r="A34" s="34" t="s">
        <v>196</v>
      </c>
      <c r="B34" s="10" t="s">
        <v>212</v>
      </c>
      <c r="C34" s="10" t="s">
        <v>81</v>
      </c>
      <c r="D34" s="10" t="s">
        <v>82</v>
      </c>
      <c r="E34" s="11" t="s">
        <v>456</v>
      </c>
      <c r="F34" s="10" t="s">
        <v>449</v>
      </c>
      <c r="G34" s="32" t="s">
        <v>32</v>
      </c>
      <c r="H34" s="33" t="s">
        <v>41</v>
      </c>
      <c r="I34" s="33" t="s">
        <v>36</v>
      </c>
      <c r="J34" s="34"/>
      <c r="K34" s="32" t="s">
        <v>42</v>
      </c>
      <c r="L34" s="33" t="s">
        <v>83</v>
      </c>
      <c r="M34" s="33" t="s">
        <v>17</v>
      </c>
      <c r="N34" s="34"/>
      <c r="O34" s="32" t="s">
        <v>84</v>
      </c>
      <c r="P34" s="32" t="s">
        <v>85</v>
      </c>
      <c r="Q34" s="33" t="s">
        <v>86</v>
      </c>
      <c r="R34" s="34"/>
      <c r="S34" s="52" t="str">
        <f>"337,5"</f>
        <v>337,5</v>
      </c>
      <c r="T34" s="12" t="str">
        <f>"263,3850"</f>
        <v>263,3850</v>
      </c>
      <c r="U34" s="43" t="s">
        <v>235</v>
      </c>
    </row>
    <row r="35" spans="1:21">
      <c r="A35" s="39" t="s">
        <v>196</v>
      </c>
      <c r="B35" s="16" t="s">
        <v>213</v>
      </c>
      <c r="C35" s="16" t="s">
        <v>87</v>
      </c>
      <c r="D35" s="16" t="s">
        <v>88</v>
      </c>
      <c r="E35" s="17" t="s">
        <v>457</v>
      </c>
      <c r="F35" s="16" t="s">
        <v>450</v>
      </c>
      <c r="G35" s="38" t="s">
        <v>49</v>
      </c>
      <c r="H35" s="40" t="s">
        <v>49</v>
      </c>
      <c r="I35" s="40" t="s">
        <v>50</v>
      </c>
      <c r="J35" s="39"/>
      <c r="K35" s="38" t="s">
        <v>54</v>
      </c>
      <c r="L35" s="38" t="s">
        <v>54</v>
      </c>
      <c r="M35" s="40" t="s">
        <v>54</v>
      </c>
      <c r="N35" s="39"/>
      <c r="O35" s="40" t="s">
        <v>89</v>
      </c>
      <c r="P35" s="40" t="s">
        <v>90</v>
      </c>
      <c r="Q35" s="38" t="s">
        <v>91</v>
      </c>
      <c r="R35" s="39"/>
      <c r="S35" s="54" t="str">
        <f>"445,0"</f>
        <v>445,0</v>
      </c>
      <c r="T35" s="18" t="str">
        <f>"364,4105"</f>
        <v>364,4105</v>
      </c>
      <c r="U35" s="42" t="s">
        <v>371</v>
      </c>
    </row>
    <row r="37" spans="1:21" ht="16">
      <c r="A37" s="75" t="s">
        <v>61</v>
      </c>
      <c r="B37" s="75"/>
      <c r="C37" s="75"/>
      <c r="D37" s="75"/>
      <c r="E37" s="7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pans="1:21">
      <c r="A38" s="34" t="s">
        <v>196</v>
      </c>
      <c r="B38" s="10" t="s">
        <v>214</v>
      </c>
      <c r="C38" s="43" t="s">
        <v>361</v>
      </c>
      <c r="D38" s="10" t="s">
        <v>93</v>
      </c>
      <c r="E38" s="11" t="s">
        <v>455</v>
      </c>
      <c r="F38" s="10" t="s">
        <v>449</v>
      </c>
      <c r="G38" s="32" t="s">
        <v>49</v>
      </c>
      <c r="H38" s="32" t="s">
        <v>50</v>
      </c>
      <c r="I38" s="33" t="s">
        <v>56</v>
      </c>
      <c r="J38" s="34"/>
      <c r="K38" s="32" t="s">
        <v>55</v>
      </c>
      <c r="L38" s="32" t="s">
        <v>48</v>
      </c>
      <c r="M38" s="33" t="s">
        <v>17</v>
      </c>
      <c r="N38" s="34"/>
      <c r="O38" s="33" t="s">
        <v>50</v>
      </c>
      <c r="P38" s="32" t="s">
        <v>84</v>
      </c>
      <c r="Q38" s="32" t="s">
        <v>94</v>
      </c>
      <c r="R38" s="34"/>
      <c r="S38" s="52" t="str">
        <f>"380,0"</f>
        <v>380,0</v>
      </c>
      <c r="T38" s="12" t="str">
        <f>"282,6060"</f>
        <v>282,6060</v>
      </c>
      <c r="U38" s="43" t="s">
        <v>377</v>
      </c>
    </row>
    <row r="39" spans="1:21">
      <c r="A39" s="37" t="s">
        <v>200</v>
      </c>
      <c r="B39" s="13" t="s">
        <v>215</v>
      </c>
      <c r="C39" s="44" t="s">
        <v>362</v>
      </c>
      <c r="D39" s="13" t="s">
        <v>95</v>
      </c>
      <c r="E39" s="14" t="s">
        <v>455</v>
      </c>
      <c r="F39" s="13" t="s">
        <v>450</v>
      </c>
      <c r="G39" s="35" t="s">
        <v>28</v>
      </c>
      <c r="H39" s="35" t="s">
        <v>33</v>
      </c>
      <c r="I39" s="35" t="s">
        <v>41</v>
      </c>
      <c r="J39" s="37"/>
      <c r="K39" s="35" t="s">
        <v>42</v>
      </c>
      <c r="L39" s="35" t="s">
        <v>48</v>
      </c>
      <c r="M39" s="36" t="s">
        <v>17</v>
      </c>
      <c r="N39" s="37"/>
      <c r="O39" s="35" t="s">
        <v>65</v>
      </c>
      <c r="P39" s="35" t="s">
        <v>96</v>
      </c>
      <c r="Q39" s="35" t="s">
        <v>37</v>
      </c>
      <c r="R39" s="37"/>
      <c r="S39" s="53" t="str">
        <f>"330,0"</f>
        <v>330,0</v>
      </c>
      <c r="T39" s="15" t="str">
        <f>"243,6390"</f>
        <v>243,6390</v>
      </c>
      <c r="U39" s="44" t="s">
        <v>372</v>
      </c>
    </row>
    <row r="40" spans="1:21">
      <c r="A40" s="37" t="s">
        <v>201</v>
      </c>
      <c r="B40" s="13" t="s">
        <v>216</v>
      </c>
      <c r="C40" s="44" t="s">
        <v>363</v>
      </c>
      <c r="D40" s="13" t="s">
        <v>93</v>
      </c>
      <c r="E40" s="14" t="s">
        <v>455</v>
      </c>
      <c r="F40" s="13" t="s">
        <v>450</v>
      </c>
      <c r="G40" s="35" t="s">
        <v>18</v>
      </c>
      <c r="H40" s="36" t="s">
        <v>32</v>
      </c>
      <c r="I40" s="36" t="s">
        <v>32</v>
      </c>
      <c r="J40" s="37"/>
      <c r="K40" s="36" t="s">
        <v>42</v>
      </c>
      <c r="L40" s="35" t="s">
        <v>42</v>
      </c>
      <c r="M40" s="37"/>
      <c r="N40" s="37"/>
      <c r="O40" s="35" t="s">
        <v>54</v>
      </c>
      <c r="P40" s="35" t="s">
        <v>41</v>
      </c>
      <c r="Q40" s="36" t="s">
        <v>36</v>
      </c>
      <c r="R40" s="37"/>
      <c r="S40" s="53" t="str">
        <f>"280,0"</f>
        <v>280,0</v>
      </c>
      <c r="T40" s="15" t="str">
        <f>"208,2360"</f>
        <v>208,2360</v>
      </c>
      <c r="U40" s="44" t="s">
        <v>371</v>
      </c>
    </row>
    <row r="41" spans="1:21">
      <c r="A41" s="39" t="s">
        <v>196</v>
      </c>
      <c r="B41" s="16" t="s">
        <v>217</v>
      </c>
      <c r="C41" s="16" t="s">
        <v>98</v>
      </c>
      <c r="D41" s="16" t="s">
        <v>99</v>
      </c>
      <c r="E41" s="17" t="s">
        <v>457</v>
      </c>
      <c r="F41" s="16" t="s">
        <v>449</v>
      </c>
      <c r="G41" s="40" t="s">
        <v>86</v>
      </c>
      <c r="H41" s="38" t="s">
        <v>89</v>
      </c>
      <c r="I41" s="38" t="s">
        <v>100</v>
      </c>
      <c r="J41" s="39"/>
      <c r="K41" s="38" t="s">
        <v>56</v>
      </c>
      <c r="L41" s="40" t="s">
        <v>84</v>
      </c>
      <c r="M41" s="38" t="s">
        <v>57</v>
      </c>
      <c r="N41" s="39"/>
      <c r="O41" s="40" t="s">
        <v>101</v>
      </c>
      <c r="P41" s="38" t="s">
        <v>102</v>
      </c>
      <c r="Q41" s="38" t="s">
        <v>103</v>
      </c>
      <c r="R41" s="39"/>
      <c r="S41" s="54" t="str">
        <f>"545,0"</f>
        <v>545,0</v>
      </c>
      <c r="T41" s="18" t="str">
        <f>"389,4570"</f>
        <v>389,4570</v>
      </c>
      <c r="U41" s="16"/>
    </row>
    <row r="43" spans="1:21" ht="16">
      <c r="A43" s="75" t="s">
        <v>70</v>
      </c>
      <c r="B43" s="75"/>
      <c r="C43" s="75"/>
      <c r="D43" s="75"/>
      <c r="E43" s="76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21">
      <c r="A44" s="31" t="s">
        <v>196</v>
      </c>
      <c r="B44" s="7" t="s">
        <v>218</v>
      </c>
      <c r="C44" s="7" t="s">
        <v>104</v>
      </c>
      <c r="D44" s="7" t="s">
        <v>105</v>
      </c>
      <c r="E44" s="8" t="s">
        <v>457</v>
      </c>
      <c r="F44" s="7" t="s">
        <v>449</v>
      </c>
      <c r="G44" s="29" t="s">
        <v>100</v>
      </c>
      <c r="H44" s="29" t="s">
        <v>90</v>
      </c>
      <c r="I44" s="29" t="s">
        <v>106</v>
      </c>
      <c r="J44" s="31"/>
      <c r="K44" s="29" t="s">
        <v>107</v>
      </c>
      <c r="L44" s="29" t="s">
        <v>27</v>
      </c>
      <c r="M44" s="30" t="s">
        <v>54</v>
      </c>
      <c r="N44" s="31"/>
      <c r="O44" s="30" t="s">
        <v>108</v>
      </c>
      <c r="P44" s="30" t="s">
        <v>108</v>
      </c>
      <c r="Q44" s="29" t="s">
        <v>108</v>
      </c>
      <c r="R44" s="31"/>
      <c r="S44" s="51" t="str">
        <f>"537,5"</f>
        <v>537,5</v>
      </c>
      <c r="T44" s="9" t="str">
        <f>"360,3400"</f>
        <v>360,3400</v>
      </c>
      <c r="U44" s="41" t="s">
        <v>235</v>
      </c>
    </row>
    <row r="46" spans="1:21" ht="16">
      <c r="A46" s="75" t="s">
        <v>109</v>
      </c>
      <c r="B46" s="75"/>
      <c r="C46" s="75"/>
      <c r="D46" s="75"/>
      <c r="E46" s="76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7" spans="1:21">
      <c r="A47" s="34" t="s">
        <v>196</v>
      </c>
      <c r="B47" s="10" t="s">
        <v>219</v>
      </c>
      <c r="C47" s="10" t="s">
        <v>111</v>
      </c>
      <c r="D47" s="10" t="s">
        <v>112</v>
      </c>
      <c r="E47" s="11" t="s">
        <v>456</v>
      </c>
      <c r="F47" s="10" t="s">
        <v>449</v>
      </c>
      <c r="G47" s="32" t="s">
        <v>67</v>
      </c>
      <c r="H47" s="32" t="s">
        <v>113</v>
      </c>
      <c r="I47" s="32" t="s">
        <v>114</v>
      </c>
      <c r="J47" s="34"/>
      <c r="K47" s="32" t="s">
        <v>41</v>
      </c>
      <c r="L47" s="32" t="s">
        <v>49</v>
      </c>
      <c r="M47" s="33" t="s">
        <v>50</v>
      </c>
      <c r="N47" s="34"/>
      <c r="O47" s="32" t="s">
        <v>89</v>
      </c>
      <c r="P47" s="33" t="s">
        <v>115</v>
      </c>
      <c r="Q47" s="34"/>
      <c r="R47" s="34"/>
      <c r="S47" s="52" t="str">
        <f>"500,0"</f>
        <v>500,0</v>
      </c>
      <c r="T47" s="12" t="str">
        <f>"323,1500"</f>
        <v>323,1500</v>
      </c>
      <c r="U47" s="43" t="s">
        <v>373</v>
      </c>
    </row>
    <row r="48" spans="1:21">
      <c r="A48" s="37" t="s">
        <v>203</v>
      </c>
      <c r="B48" s="13" t="s">
        <v>220</v>
      </c>
      <c r="C48" s="13" t="s">
        <v>116</v>
      </c>
      <c r="D48" s="13" t="s">
        <v>117</v>
      </c>
      <c r="E48" s="14" t="s">
        <v>456</v>
      </c>
      <c r="F48" s="13" t="s">
        <v>450</v>
      </c>
      <c r="G48" s="36" t="s">
        <v>57</v>
      </c>
      <c r="H48" s="36" t="s">
        <v>57</v>
      </c>
      <c r="I48" s="36" t="s">
        <v>57</v>
      </c>
      <c r="J48" s="37"/>
      <c r="K48" s="36"/>
      <c r="L48" s="36"/>
      <c r="M48" s="36"/>
      <c r="N48" s="37"/>
      <c r="O48" s="36"/>
      <c r="P48" s="37"/>
      <c r="Q48" s="37"/>
      <c r="R48" s="37"/>
      <c r="S48" s="53">
        <v>0</v>
      </c>
      <c r="T48" s="15" t="str">
        <f>"0,0000"</f>
        <v>0,0000</v>
      </c>
      <c r="U48" s="44" t="s">
        <v>372</v>
      </c>
    </row>
    <row r="49" spans="1:21">
      <c r="A49" s="37" t="s">
        <v>196</v>
      </c>
      <c r="B49" s="13" t="s">
        <v>221</v>
      </c>
      <c r="C49" s="13" t="s">
        <v>119</v>
      </c>
      <c r="D49" s="13" t="s">
        <v>120</v>
      </c>
      <c r="E49" s="14" t="s">
        <v>457</v>
      </c>
      <c r="F49" s="13" t="s">
        <v>450</v>
      </c>
      <c r="G49" s="35" t="s">
        <v>91</v>
      </c>
      <c r="H49" s="35" t="s">
        <v>121</v>
      </c>
      <c r="I49" s="35" t="s">
        <v>108</v>
      </c>
      <c r="J49" s="37"/>
      <c r="K49" s="35" t="s">
        <v>113</v>
      </c>
      <c r="L49" s="35" t="s">
        <v>122</v>
      </c>
      <c r="M49" s="35" t="s">
        <v>114</v>
      </c>
      <c r="N49" s="37"/>
      <c r="O49" s="35" t="s">
        <v>123</v>
      </c>
      <c r="P49" s="35" t="s">
        <v>124</v>
      </c>
      <c r="Q49" s="36" t="s">
        <v>125</v>
      </c>
      <c r="R49" s="37"/>
      <c r="S49" s="53" t="str">
        <f>"682,5"</f>
        <v>682,5</v>
      </c>
      <c r="T49" s="15" t="str">
        <f>"443,0108"</f>
        <v>443,0108</v>
      </c>
      <c r="U49" s="13"/>
    </row>
    <row r="50" spans="1:21">
      <c r="A50" s="37" t="s">
        <v>200</v>
      </c>
      <c r="B50" s="13" t="s">
        <v>222</v>
      </c>
      <c r="C50" s="13" t="s">
        <v>127</v>
      </c>
      <c r="D50" s="13" t="s">
        <v>128</v>
      </c>
      <c r="E50" s="14" t="s">
        <v>457</v>
      </c>
      <c r="F50" s="13" t="s">
        <v>449</v>
      </c>
      <c r="G50" s="35" t="s">
        <v>86</v>
      </c>
      <c r="H50" s="35" t="s">
        <v>114</v>
      </c>
      <c r="I50" s="35" t="s">
        <v>129</v>
      </c>
      <c r="J50" s="37"/>
      <c r="K50" s="35" t="s">
        <v>94</v>
      </c>
      <c r="L50" s="35" t="s">
        <v>130</v>
      </c>
      <c r="M50" s="36" t="s">
        <v>131</v>
      </c>
      <c r="N50" s="37"/>
      <c r="O50" s="35" t="s">
        <v>132</v>
      </c>
      <c r="P50" s="36" t="s">
        <v>133</v>
      </c>
      <c r="Q50" s="35" t="s">
        <v>133</v>
      </c>
      <c r="R50" s="37"/>
      <c r="S50" s="53" t="str">
        <f>"670,0"</f>
        <v>670,0</v>
      </c>
      <c r="T50" s="15" t="str">
        <f>"441,9990"</f>
        <v>441,9990</v>
      </c>
      <c r="U50" s="44"/>
    </row>
    <row r="51" spans="1:21">
      <c r="A51" s="37" t="s">
        <v>201</v>
      </c>
      <c r="B51" s="13" t="s">
        <v>223</v>
      </c>
      <c r="C51" s="13" t="s">
        <v>134</v>
      </c>
      <c r="D51" s="13" t="s">
        <v>135</v>
      </c>
      <c r="E51" s="14" t="s">
        <v>457</v>
      </c>
      <c r="F51" s="13" t="s">
        <v>449</v>
      </c>
      <c r="G51" s="35" t="s">
        <v>89</v>
      </c>
      <c r="H51" s="35" t="s">
        <v>90</v>
      </c>
      <c r="I51" s="35" t="s">
        <v>129</v>
      </c>
      <c r="J51" s="37"/>
      <c r="K51" s="35" t="s">
        <v>50</v>
      </c>
      <c r="L51" s="35" t="s">
        <v>56</v>
      </c>
      <c r="M51" s="36" t="s">
        <v>136</v>
      </c>
      <c r="N51" s="37"/>
      <c r="O51" s="35" t="s">
        <v>137</v>
      </c>
      <c r="P51" s="35" t="s">
        <v>103</v>
      </c>
      <c r="Q51" s="37"/>
      <c r="R51" s="37"/>
      <c r="S51" s="53" t="str">
        <f>"590,0"</f>
        <v>590,0</v>
      </c>
      <c r="T51" s="15" t="str">
        <f>"383,9130"</f>
        <v>383,9130</v>
      </c>
      <c r="U51" s="44"/>
    </row>
    <row r="52" spans="1:21">
      <c r="A52" s="37" t="s">
        <v>224</v>
      </c>
      <c r="B52" s="13" t="s">
        <v>225</v>
      </c>
      <c r="C52" s="13" t="s">
        <v>138</v>
      </c>
      <c r="D52" s="13" t="s">
        <v>139</v>
      </c>
      <c r="E52" s="14" t="s">
        <v>457</v>
      </c>
      <c r="F52" s="13" t="s">
        <v>449</v>
      </c>
      <c r="G52" s="35" t="s">
        <v>91</v>
      </c>
      <c r="H52" s="35" t="s">
        <v>137</v>
      </c>
      <c r="I52" s="36" t="s">
        <v>140</v>
      </c>
      <c r="J52" s="37"/>
      <c r="K52" s="35" t="s">
        <v>54</v>
      </c>
      <c r="L52" s="36" t="s">
        <v>64</v>
      </c>
      <c r="M52" s="35" t="s">
        <v>64</v>
      </c>
      <c r="N52" s="37"/>
      <c r="O52" s="36" t="s">
        <v>101</v>
      </c>
      <c r="P52" s="35" t="s">
        <v>101</v>
      </c>
      <c r="Q52" s="35" t="s">
        <v>102</v>
      </c>
      <c r="R52" s="37"/>
      <c r="S52" s="53" t="str">
        <f>"572,5"</f>
        <v>572,5</v>
      </c>
      <c r="T52" s="15" t="str">
        <f>"381,0560"</f>
        <v>381,0560</v>
      </c>
      <c r="U52" s="44" t="s">
        <v>169</v>
      </c>
    </row>
    <row r="53" spans="1:21">
      <c r="A53" s="39" t="s">
        <v>196</v>
      </c>
      <c r="B53" s="16" t="s">
        <v>222</v>
      </c>
      <c r="C53" s="42" t="s">
        <v>364</v>
      </c>
      <c r="D53" s="16" t="s">
        <v>128</v>
      </c>
      <c r="E53" s="17" t="s">
        <v>458</v>
      </c>
      <c r="F53" s="16" t="s">
        <v>449</v>
      </c>
      <c r="G53" s="40" t="s">
        <v>86</v>
      </c>
      <c r="H53" s="40" t="s">
        <v>114</v>
      </c>
      <c r="I53" s="40" t="s">
        <v>129</v>
      </c>
      <c r="J53" s="39"/>
      <c r="K53" s="40" t="s">
        <v>94</v>
      </c>
      <c r="L53" s="40" t="s">
        <v>130</v>
      </c>
      <c r="M53" s="38" t="s">
        <v>131</v>
      </c>
      <c r="N53" s="39"/>
      <c r="O53" s="40" t="s">
        <v>132</v>
      </c>
      <c r="P53" s="38" t="s">
        <v>133</v>
      </c>
      <c r="Q53" s="40" t="s">
        <v>133</v>
      </c>
      <c r="R53" s="39"/>
      <c r="S53" s="54" t="str">
        <f>"670,0"</f>
        <v>670,0</v>
      </c>
      <c r="T53" s="18" t="str">
        <f>"441,9990"</f>
        <v>441,9990</v>
      </c>
      <c r="U53" s="16"/>
    </row>
    <row r="55" spans="1:21" ht="16">
      <c r="A55" s="75" t="s">
        <v>141</v>
      </c>
      <c r="B55" s="75"/>
      <c r="C55" s="75"/>
      <c r="D55" s="75"/>
      <c r="E55" s="76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</row>
    <row r="56" spans="1:21">
      <c r="A56" s="34" t="s">
        <v>196</v>
      </c>
      <c r="B56" s="10" t="s">
        <v>226</v>
      </c>
      <c r="C56" s="10" t="s">
        <v>143</v>
      </c>
      <c r="D56" s="10" t="s">
        <v>144</v>
      </c>
      <c r="E56" s="11" t="s">
        <v>456</v>
      </c>
      <c r="F56" s="10" t="s">
        <v>450</v>
      </c>
      <c r="G56" s="32" t="s">
        <v>114</v>
      </c>
      <c r="H56" s="33" t="s">
        <v>90</v>
      </c>
      <c r="I56" s="33" t="s">
        <v>90</v>
      </c>
      <c r="J56" s="34"/>
      <c r="K56" s="32" t="s">
        <v>32</v>
      </c>
      <c r="L56" s="33" t="s">
        <v>54</v>
      </c>
      <c r="M56" s="33" t="s">
        <v>54</v>
      </c>
      <c r="N56" s="34"/>
      <c r="O56" s="32" t="s">
        <v>115</v>
      </c>
      <c r="P56" s="32" t="s">
        <v>129</v>
      </c>
      <c r="Q56" s="32" t="s">
        <v>91</v>
      </c>
      <c r="R56" s="34"/>
      <c r="S56" s="52" t="str">
        <f>"505,0"</f>
        <v>505,0</v>
      </c>
      <c r="T56" s="12" t="str">
        <f>"308,8580"</f>
        <v>308,8580</v>
      </c>
      <c r="U56" s="43" t="s">
        <v>374</v>
      </c>
    </row>
    <row r="57" spans="1:21">
      <c r="A57" s="37" t="s">
        <v>200</v>
      </c>
      <c r="B57" s="13" t="s">
        <v>227</v>
      </c>
      <c r="C57" s="13" t="s">
        <v>146</v>
      </c>
      <c r="D57" s="13" t="s">
        <v>147</v>
      </c>
      <c r="E57" s="14" t="s">
        <v>456</v>
      </c>
      <c r="F57" s="13" t="s">
        <v>450</v>
      </c>
      <c r="G57" s="35" t="s">
        <v>67</v>
      </c>
      <c r="H57" s="35" t="s">
        <v>86</v>
      </c>
      <c r="I57" s="35" t="s">
        <v>100</v>
      </c>
      <c r="J57" s="37"/>
      <c r="K57" s="35" t="s">
        <v>32</v>
      </c>
      <c r="L57" s="35" t="s">
        <v>27</v>
      </c>
      <c r="M57" s="35" t="s">
        <v>54</v>
      </c>
      <c r="N57" s="37"/>
      <c r="O57" s="35" t="s">
        <v>89</v>
      </c>
      <c r="P57" s="35" t="s">
        <v>90</v>
      </c>
      <c r="Q57" s="35" t="s">
        <v>129</v>
      </c>
      <c r="R57" s="37"/>
      <c r="S57" s="53" t="str">
        <f>"500,0"</f>
        <v>500,0</v>
      </c>
      <c r="T57" s="15" t="str">
        <f>"306,4500"</f>
        <v>306,4500</v>
      </c>
      <c r="U57" s="44" t="s">
        <v>374</v>
      </c>
    </row>
    <row r="58" spans="1:21">
      <c r="A58" s="37" t="s">
        <v>196</v>
      </c>
      <c r="B58" s="13" t="s">
        <v>228</v>
      </c>
      <c r="C58" s="13" t="s">
        <v>149</v>
      </c>
      <c r="D58" s="13" t="s">
        <v>144</v>
      </c>
      <c r="E58" s="14" t="s">
        <v>457</v>
      </c>
      <c r="F58" s="13" t="s">
        <v>449</v>
      </c>
      <c r="G58" s="35" t="s">
        <v>114</v>
      </c>
      <c r="H58" s="35" t="s">
        <v>115</v>
      </c>
      <c r="I58" s="36" t="s">
        <v>91</v>
      </c>
      <c r="J58" s="37"/>
      <c r="K58" s="35" t="s">
        <v>130</v>
      </c>
      <c r="L58" s="35" t="s">
        <v>89</v>
      </c>
      <c r="M58" s="35" t="s">
        <v>100</v>
      </c>
      <c r="N58" s="37"/>
      <c r="O58" s="35" t="s">
        <v>115</v>
      </c>
      <c r="P58" s="35" t="s">
        <v>137</v>
      </c>
      <c r="Q58" s="36" t="s">
        <v>140</v>
      </c>
      <c r="R58" s="37"/>
      <c r="S58" s="53" t="str">
        <f>"605,0"</f>
        <v>605,0</v>
      </c>
      <c r="T58" s="15" t="str">
        <f>"370,0180"</f>
        <v>370,0180</v>
      </c>
      <c r="U58" s="44" t="s">
        <v>223</v>
      </c>
    </row>
    <row r="59" spans="1:21">
      <c r="A59" s="37" t="s">
        <v>200</v>
      </c>
      <c r="B59" s="13" t="s">
        <v>229</v>
      </c>
      <c r="C59" s="13" t="s">
        <v>150</v>
      </c>
      <c r="D59" s="13" t="s">
        <v>151</v>
      </c>
      <c r="E59" s="14" t="s">
        <v>457</v>
      </c>
      <c r="F59" s="13" t="s">
        <v>450</v>
      </c>
      <c r="G59" s="36" t="s">
        <v>129</v>
      </c>
      <c r="H59" s="35" t="s">
        <v>129</v>
      </c>
      <c r="I59" s="37"/>
      <c r="J59" s="37"/>
      <c r="K59" s="35" t="s">
        <v>37</v>
      </c>
      <c r="L59" s="35" t="s">
        <v>50</v>
      </c>
      <c r="M59" s="35" t="s">
        <v>56</v>
      </c>
      <c r="N59" s="37"/>
      <c r="O59" s="35" t="s">
        <v>152</v>
      </c>
      <c r="P59" s="36" t="s">
        <v>140</v>
      </c>
      <c r="Q59" s="36" t="s">
        <v>140</v>
      </c>
      <c r="R59" s="37"/>
      <c r="S59" s="53" t="str">
        <f>"565,0"</f>
        <v>565,0</v>
      </c>
      <c r="T59" s="15" t="str">
        <f>"344,8195"</f>
        <v>344,8195</v>
      </c>
      <c r="U59" s="44" t="s">
        <v>371</v>
      </c>
    </row>
    <row r="60" spans="1:21">
      <c r="A60" s="37" t="s">
        <v>201</v>
      </c>
      <c r="B60" s="13" t="s">
        <v>230</v>
      </c>
      <c r="C60" s="13" t="s">
        <v>153</v>
      </c>
      <c r="D60" s="13" t="s">
        <v>154</v>
      </c>
      <c r="E60" s="14" t="s">
        <v>457</v>
      </c>
      <c r="F60" s="13" t="s">
        <v>450</v>
      </c>
      <c r="G60" s="36" t="s">
        <v>89</v>
      </c>
      <c r="H60" s="36" t="s">
        <v>89</v>
      </c>
      <c r="I60" s="35" t="s">
        <v>89</v>
      </c>
      <c r="J60" s="37"/>
      <c r="K60" s="35" t="s">
        <v>54</v>
      </c>
      <c r="L60" s="35" t="s">
        <v>33</v>
      </c>
      <c r="M60" s="36" t="s">
        <v>41</v>
      </c>
      <c r="N60" s="37"/>
      <c r="O60" s="35" t="s">
        <v>137</v>
      </c>
      <c r="P60" s="35" t="s">
        <v>140</v>
      </c>
      <c r="Q60" s="35" t="s">
        <v>102</v>
      </c>
      <c r="R60" s="37"/>
      <c r="S60" s="53" t="str">
        <f>"530,0"</f>
        <v>530,0</v>
      </c>
      <c r="T60" s="15" t="str">
        <f>"322,9290"</f>
        <v>322,9290</v>
      </c>
      <c r="U60" s="44" t="s">
        <v>368</v>
      </c>
    </row>
    <row r="61" spans="1:21">
      <c r="A61" s="37" t="s">
        <v>224</v>
      </c>
      <c r="B61" s="13" t="s">
        <v>231</v>
      </c>
      <c r="C61" s="13" t="s">
        <v>155</v>
      </c>
      <c r="D61" s="13" t="s">
        <v>156</v>
      </c>
      <c r="E61" s="14" t="s">
        <v>457</v>
      </c>
      <c r="F61" s="13" t="s">
        <v>449</v>
      </c>
      <c r="G61" s="35" t="s">
        <v>37</v>
      </c>
      <c r="H61" s="35" t="s">
        <v>56</v>
      </c>
      <c r="I61" s="36" t="s">
        <v>84</v>
      </c>
      <c r="J61" s="37"/>
      <c r="K61" s="35" t="s">
        <v>18</v>
      </c>
      <c r="L61" s="35" t="s">
        <v>24</v>
      </c>
      <c r="M61" s="36" t="s">
        <v>19</v>
      </c>
      <c r="N61" s="37"/>
      <c r="O61" s="35" t="s">
        <v>84</v>
      </c>
      <c r="P61" s="36" t="s">
        <v>57</v>
      </c>
      <c r="Q61" s="36" t="s">
        <v>57</v>
      </c>
      <c r="R61" s="37"/>
      <c r="S61" s="53" t="str">
        <f>"390,0"</f>
        <v>390,0</v>
      </c>
      <c r="T61" s="15" t="str">
        <f>"238,9140"</f>
        <v>238,9140</v>
      </c>
      <c r="U61" s="44" t="s">
        <v>375</v>
      </c>
    </row>
    <row r="62" spans="1:21">
      <c r="A62" s="39" t="s">
        <v>196</v>
      </c>
      <c r="B62" s="16" t="s">
        <v>232</v>
      </c>
      <c r="C62" s="42" t="s">
        <v>365</v>
      </c>
      <c r="D62" s="16" t="s">
        <v>158</v>
      </c>
      <c r="E62" s="17" t="s">
        <v>458</v>
      </c>
      <c r="F62" s="16" t="s">
        <v>450</v>
      </c>
      <c r="G62" s="40" t="s">
        <v>89</v>
      </c>
      <c r="H62" s="38" t="s">
        <v>90</v>
      </c>
      <c r="I62" s="38" t="s">
        <v>115</v>
      </c>
      <c r="J62" s="39"/>
      <c r="K62" s="40" t="s">
        <v>84</v>
      </c>
      <c r="L62" s="40" t="s">
        <v>67</v>
      </c>
      <c r="M62" s="38" t="s">
        <v>86</v>
      </c>
      <c r="N62" s="39"/>
      <c r="O62" s="40" t="s">
        <v>91</v>
      </c>
      <c r="P62" s="40" t="s">
        <v>101</v>
      </c>
      <c r="Q62" s="40" t="s">
        <v>102</v>
      </c>
      <c r="R62" s="39"/>
      <c r="S62" s="54" t="str">
        <f>"575,0"</f>
        <v>575,0</v>
      </c>
      <c r="T62" s="18" t="str">
        <f>"426,0620"</f>
        <v>426,0620</v>
      </c>
      <c r="U62" s="42" t="s">
        <v>368</v>
      </c>
    </row>
    <row r="64" spans="1:21" ht="16">
      <c r="A64" s="75" t="s">
        <v>159</v>
      </c>
      <c r="B64" s="75"/>
      <c r="C64" s="75"/>
      <c r="D64" s="75"/>
      <c r="E64" s="76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</row>
    <row r="65" spans="1:21">
      <c r="A65" s="34" t="s">
        <v>196</v>
      </c>
      <c r="B65" s="10" t="s">
        <v>233</v>
      </c>
      <c r="C65" s="43" t="s">
        <v>366</v>
      </c>
      <c r="D65" s="10" t="s">
        <v>160</v>
      </c>
      <c r="E65" s="11" t="s">
        <v>455</v>
      </c>
      <c r="F65" s="10" t="s">
        <v>449</v>
      </c>
      <c r="G65" s="32" t="s">
        <v>48</v>
      </c>
      <c r="H65" s="32" t="s">
        <v>17</v>
      </c>
      <c r="I65" s="32" t="s">
        <v>18</v>
      </c>
      <c r="J65" s="34"/>
      <c r="K65" s="32" t="s">
        <v>161</v>
      </c>
      <c r="L65" s="33" t="s">
        <v>48</v>
      </c>
      <c r="M65" s="33" t="s">
        <v>48</v>
      </c>
      <c r="N65" s="34"/>
      <c r="O65" s="32" t="s">
        <v>54</v>
      </c>
      <c r="P65" s="32" t="s">
        <v>41</v>
      </c>
      <c r="Q65" s="32" t="s">
        <v>49</v>
      </c>
      <c r="R65" s="34"/>
      <c r="S65" s="52" t="str">
        <f>"287,5"</f>
        <v>287,5</v>
      </c>
      <c r="T65" s="12" t="str">
        <f>"173,1900"</f>
        <v>173,1900</v>
      </c>
      <c r="U65" s="43" t="s">
        <v>376</v>
      </c>
    </row>
    <row r="66" spans="1:21">
      <c r="A66" s="39" t="s">
        <v>196</v>
      </c>
      <c r="B66" s="16" t="s">
        <v>234</v>
      </c>
      <c r="C66" s="16" t="s">
        <v>163</v>
      </c>
      <c r="D66" s="16" t="s">
        <v>164</v>
      </c>
      <c r="E66" s="17" t="s">
        <v>457</v>
      </c>
      <c r="F66" s="16" t="s">
        <v>449</v>
      </c>
      <c r="G66" s="40" t="s">
        <v>140</v>
      </c>
      <c r="H66" s="40" t="s">
        <v>123</v>
      </c>
      <c r="I66" s="38" t="s">
        <v>165</v>
      </c>
      <c r="J66" s="39"/>
      <c r="K66" s="40" t="s">
        <v>50</v>
      </c>
      <c r="L66" s="40" t="s">
        <v>84</v>
      </c>
      <c r="M66" s="40" t="s">
        <v>57</v>
      </c>
      <c r="N66" s="39"/>
      <c r="O66" s="40" t="s">
        <v>125</v>
      </c>
      <c r="P66" s="40" t="s">
        <v>166</v>
      </c>
      <c r="Q66" s="38" t="s">
        <v>167</v>
      </c>
      <c r="R66" s="39"/>
      <c r="S66" s="54" t="str">
        <f>"695,0"</f>
        <v>695,0</v>
      </c>
      <c r="T66" s="18" t="str">
        <f>"418,4595"</f>
        <v>418,4595</v>
      </c>
      <c r="U66" s="42" t="s">
        <v>223</v>
      </c>
    </row>
    <row r="68" spans="1:21" ht="16">
      <c r="A68" s="75" t="s">
        <v>168</v>
      </c>
      <c r="B68" s="75"/>
      <c r="C68" s="75"/>
      <c r="D68" s="75"/>
      <c r="E68" s="76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</row>
    <row r="69" spans="1:21">
      <c r="A69" s="31" t="s">
        <v>203</v>
      </c>
      <c r="B69" s="7" t="s">
        <v>235</v>
      </c>
      <c r="C69" s="7" t="s">
        <v>170</v>
      </c>
      <c r="D69" s="7" t="s">
        <v>171</v>
      </c>
      <c r="E69" s="8" t="s">
        <v>457</v>
      </c>
      <c r="F69" s="7" t="s">
        <v>449</v>
      </c>
      <c r="G69" s="30" t="s">
        <v>172</v>
      </c>
      <c r="H69" s="30" t="s">
        <v>172</v>
      </c>
      <c r="I69" s="30" t="s">
        <v>172</v>
      </c>
      <c r="J69" s="31"/>
      <c r="K69" s="31"/>
      <c r="L69" s="31"/>
      <c r="M69" s="31"/>
      <c r="N69" s="31"/>
      <c r="O69" s="31"/>
      <c r="P69" s="31"/>
      <c r="Q69" s="31"/>
      <c r="R69" s="31"/>
      <c r="S69" s="51">
        <v>0</v>
      </c>
      <c r="T69" s="9" t="str">
        <f>"0,0000"</f>
        <v>0,0000</v>
      </c>
      <c r="U69" s="7"/>
    </row>
    <row r="71" spans="1:21" ht="16">
      <c r="A71" s="75" t="s">
        <v>174</v>
      </c>
      <c r="B71" s="75"/>
      <c r="C71" s="75"/>
      <c r="D71" s="75"/>
      <c r="E71" s="76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</row>
    <row r="72" spans="1:21">
      <c r="A72" s="31" t="s">
        <v>196</v>
      </c>
      <c r="B72" s="7" t="s">
        <v>236</v>
      </c>
      <c r="C72" s="7" t="s">
        <v>175</v>
      </c>
      <c r="D72" s="7" t="s">
        <v>176</v>
      </c>
      <c r="E72" s="8" t="s">
        <v>456</v>
      </c>
      <c r="F72" s="7" t="s">
        <v>449</v>
      </c>
      <c r="G72" s="30" t="s">
        <v>84</v>
      </c>
      <c r="H72" s="29" t="s">
        <v>67</v>
      </c>
      <c r="I72" s="30" t="s">
        <v>89</v>
      </c>
      <c r="J72" s="31"/>
      <c r="K72" s="29" t="s">
        <v>54</v>
      </c>
      <c r="L72" s="30" t="s">
        <v>41</v>
      </c>
      <c r="M72" s="30" t="s">
        <v>41</v>
      </c>
      <c r="N72" s="31"/>
      <c r="O72" s="29" t="s">
        <v>67</v>
      </c>
      <c r="P72" s="30" t="s">
        <v>89</v>
      </c>
      <c r="Q72" s="29" t="s">
        <v>89</v>
      </c>
      <c r="R72" s="31"/>
      <c r="S72" s="51" t="str">
        <f>"450,0"</f>
        <v>450,0</v>
      </c>
      <c r="T72" s="9" t="str">
        <f>"253,0800"</f>
        <v>253,0800</v>
      </c>
      <c r="U72" s="41" t="s">
        <v>367</v>
      </c>
    </row>
    <row r="76" spans="1:21" ht="18">
      <c r="B76" s="20" t="s">
        <v>177</v>
      </c>
      <c r="C76" s="20"/>
    </row>
    <row r="77" spans="1:21" ht="16">
      <c r="B77" s="21" t="s">
        <v>178</v>
      </c>
      <c r="C77" s="21"/>
    </row>
    <row r="78" spans="1:21" ht="14">
      <c r="B78" s="22"/>
      <c r="C78" s="23" t="s">
        <v>187</v>
      </c>
    </row>
    <row r="79" spans="1:21" ht="14">
      <c r="B79" s="24" t="s">
        <v>180</v>
      </c>
      <c r="C79" s="24" t="s">
        <v>181</v>
      </c>
      <c r="D79" s="24" t="s">
        <v>446</v>
      </c>
      <c r="E79" s="25" t="s">
        <v>182</v>
      </c>
      <c r="F79" s="24" t="s">
        <v>183</v>
      </c>
    </row>
    <row r="80" spans="1:21">
      <c r="B80" s="5" t="s">
        <v>29</v>
      </c>
      <c r="C80" s="5" t="s">
        <v>187</v>
      </c>
      <c r="D80" s="27" t="s">
        <v>186</v>
      </c>
      <c r="E80" s="28">
        <v>295</v>
      </c>
      <c r="F80" s="26">
        <v>348.07051479816403</v>
      </c>
    </row>
    <row r="81" spans="2:6">
      <c r="B81" s="5" t="s">
        <v>51</v>
      </c>
      <c r="C81" s="5" t="s">
        <v>187</v>
      </c>
      <c r="D81" s="27" t="s">
        <v>188</v>
      </c>
      <c r="E81" s="28">
        <v>327.5</v>
      </c>
      <c r="F81" s="26">
        <v>345.15225112438202</v>
      </c>
    </row>
    <row r="82" spans="2:6">
      <c r="B82" s="5" t="s">
        <v>45</v>
      </c>
      <c r="C82" s="5" t="s">
        <v>187</v>
      </c>
      <c r="D82" s="27" t="s">
        <v>188</v>
      </c>
      <c r="E82" s="28">
        <v>335</v>
      </c>
      <c r="F82" s="26">
        <v>342.63798952102701</v>
      </c>
    </row>
    <row r="84" spans="2:6" ht="16">
      <c r="B84" s="21" t="s">
        <v>190</v>
      </c>
      <c r="C84" s="21"/>
    </row>
    <row r="85" spans="2:6" ht="14">
      <c r="B85" s="22"/>
      <c r="C85" s="23" t="s">
        <v>191</v>
      </c>
    </row>
    <row r="86" spans="2:6" ht="14">
      <c r="B86" s="24" t="s">
        <v>180</v>
      </c>
      <c r="C86" s="24" t="s">
        <v>181</v>
      </c>
      <c r="D86" s="24" t="s">
        <v>446</v>
      </c>
      <c r="E86" s="25" t="s">
        <v>182</v>
      </c>
      <c r="F86" s="24" t="s">
        <v>183</v>
      </c>
    </row>
    <row r="87" spans="2:6">
      <c r="B87" s="5" t="s">
        <v>78</v>
      </c>
      <c r="C87" s="45" t="s">
        <v>191</v>
      </c>
      <c r="D87" s="27" t="s">
        <v>186</v>
      </c>
      <c r="E87" s="28">
        <v>320</v>
      </c>
      <c r="F87" s="26">
        <v>298.68799209594698</v>
      </c>
    </row>
    <row r="88" spans="2:6">
      <c r="B88" s="5" t="s">
        <v>92</v>
      </c>
      <c r="C88" s="45" t="s">
        <v>191</v>
      </c>
      <c r="D88" s="27" t="s">
        <v>192</v>
      </c>
      <c r="E88" s="28">
        <v>380</v>
      </c>
      <c r="F88" s="26">
        <v>282.606010437012</v>
      </c>
    </row>
    <row r="89" spans="2:6">
      <c r="B89" s="5" t="s">
        <v>75</v>
      </c>
      <c r="C89" s="45" t="s">
        <v>191</v>
      </c>
      <c r="D89" s="27" t="s">
        <v>184</v>
      </c>
      <c r="E89" s="28">
        <v>247.5</v>
      </c>
      <c r="F89" s="26">
        <v>262.44900226593001</v>
      </c>
    </row>
    <row r="91" spans="2:6" ht="14">
      <c r="B91" s="22"/>
      <c r="C91" s="23" t="s">
        <v>185</v>
      </c>
    </row>
    <row r="92" spans="2:6" ht="14">
      <c r="B92" s="24" t="s">
        <v>180</v>
      </c>
      <c r="C92" s="24" t="s">
        <v>181</v>
      </c>
      <c r="D92" s="24" t="s">
        <v>446</v>
      </c>
      <c r="E92" s="25" t="s">
        <v>182</v>
      </c>
      <c r="F92" s="24" t="s">
        <v>183</v>
      </c>
    </row>
    <row r="93" spans="2:6">
      <c r="B93" s="5" t="s">
        <v>110</v>
      </c>
      <c r="C93" s="5" t="s">
        <v>185</v>
      </c>
      <c r="D93" s="27" t="s">
        <v>193</v>
      </c>
      <c r="E93" s="28">
        <v>500</v>
      </c>
      <c r="F93" s="26">
        <v>323.15000891685497</v>
      </c>
    </row>
    <row r="94" spans="2:6">
      <c r="B94" s="5" t="s">
        <v>142</v>
      </c>
      <c r="C94" s="5" t="s">
        <v>185</v>
      </c>
      <c r="D94" s="27" t="s">
        <v>194</v>
      </c>
      <c r="E94" s="28">
        <v>505</v>
      </c>
      <c r="F94" s="26">
        <v>308.85799080133398</v>
      </c>
    </row>
    <row r="95" spans="2:6">
      <c r="B95" s="5" t="s">
        <v>145</v>
      </c>
      <c r="C95" s="5" t="s">
        <v>185</v>
      </c>
      <c r="D95" s="27" t="s">
        <v>194</v>
      </c>
      <c r="E95" s="28">
        <v>500</v>
      </c>
      <c r="F95" s="26">
        <v>306.45000934600802</v>
      </c>
    </row>
    <row r="97" spans="2:7" ht="14">
      <c r="B97" s="22"/>
      <c r="C97" s="23" t="s">
        <v>187</v>
      </c>
    </row>
    <row r="98" spans="2:7" ht="14">
      <c r="B98" s="24" t="s">
        <v>180</v>
      </c>
      <c r="C98" s="24" t="s">
        <v>181</v>
      </c>
      <c r="D98" s="24" t="s">
        <v>446</v>
      </c>
      <c r="E98" s="25" t="s">
        <v>182</v>
      </c>
      <c r="F98" s="24" t="s">
        <v>183</v>
      </c>
    </row>
    <row r="99" spans="2:7">
      <c r="B99" s="5" t="s">
        <v>118</v>
      </c>
      <c r="C99" s="5" t="s">
        <v>187</v>
      </c>
      <c r="D99" s="27" t="s">
        <v>193</v>
      </c>
      <c r="E99" s="28">
        <v>682.5</v>
      </c>
      <c r="F99" s="26">
        <v>443.010753840208</v>
      </c>
    </row>
    <row r="100" spans="2:7">
      <c r="B100" s="5" t="s">
        <v>126</v>
      </c>
      <c r="C100" s="5" t="s">
        <v>187</v>
      </c>
      <c r="D100" s="27" t="s">
        <v>193</v>
      </c>
      <c r="E100" s="28">
        <v>670</v>
      </c>
      <c r="F100" s="26">
        <v>441.99898421764402</v>
      </c>
      <c r="G100" s="5"/>
    </row>
    <row r="101" spans="2:7">
      <c r="B101" s="5" t="s">
        <v>162</v>
      </c>
      <c r="C101" s="5" t="s">
        <v>187</v>
      </c>
      <c r="D101" s="27" t="s">
        <v>195</v>
      </c>
      <c r="E101" s="28">
        <v>695</v>
      </c>
      <c r="F101" s="26">
        <v>418.45951020717598</v>
      </c>
      <c r="G101" s="5"/>
    </row>
  </sheetData>
  <mergeCells count="28">
    <mergeCell ref="A46:R46"/>
    <mergeCell ref="A55:R55"/>
    <mergeCell ref="A64:R64"/>
    <mergeCell ref="A68:R68"/>
    <mergeCell ref="A71:R71"/>
    <mergeCell ref="A27:R27"/>
    <mergeCell ref="A30:R30"/>
    <mergeCell ref="A33:R33"/>
    <mergeCell ref="A37:R37"/>
    <mergeCell ref="A43:R43"/>
    <mergeCell ref="A5:R5"/>
    <mergeCell ref="A8:R8"/>
    <mergeCell ref="A14:R14"/>
    <mergeCell ref="A20:R20"/>
    <mergeCell ref="A24:R2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6"/>
  <sheetViews>
    <sheetView topLeftCell="A37" zoomScaleNormal="100" workbookViewId="0">
      <selection activeCell="E68" sqref="E68"/>
    </sheetView>
  </sheetViews>
  <sheetFormatPr baseColWidth="10" defaultColWidth="9.1640625" defaultRowHeight="13"/>
  <cols>
    <col min="1" max="1" width="7.33203125" style="5" bestFit="1" customWidth="1"/>
    <col min="2" max="2" width="20.83203125" style="5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33.33203125" style="5" customWidth="1"/>
    <col min="7" max="7" width="5.6640625" style="27" bestFit="1" customWidth="1"/>
    <col min="8" max="9" width="5.5" style="27" customWidth="1"/>
    <col min="10" max="10" width="4.5" style="27" customWidth="1"/>
    <col min="11" max="11" width="11.5" style="28" customWidth="1"/>
    <col min="12" max="12" width="8.5" style="6" bestFit="1" customWidth="1"/>
    <col min="13" max="13" width="25.5" style="5" customWidth="1"/>
    <col min="14" max="16384" width="9.1640625" style="3"/>
  </cols>
  <sheetData>
    <row r="1" spans="1:13" s="2" customFormat="1" ht="28.5" customHeight="1">
      <c r="A1" s="77" t="s">
        <v>443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66.75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65" t="s">
        <v>448</v>
      </c>
      <c r="B3" s="71" t="s">
        <v>0</v>
      </c>
      <c r="C3" s="67" t="s">
        <v>453</v>
      </c>
      <c r="D3" s="67" t="s">
        <v>6</v>
      </c>
      <c r="E3" s="56" t="s">
        <v>454</v>
      </c>
      <c r="F3" s="64" t="s">
        <v>5</v>
      </c>
      <c r="G3" s="64" t="s">
        <v>8</v>
      </c>
      <c r="H3" s="64"/>
      <c r="I3" s="64"/>
      <c r="J3" s="64"/>
      <c r="K3" s="58" t="s">
        <v>288</v>
      </c>
      <c r="L3" s="56" t="s">
        <v>3</v>
      </c>
      <c r="M3" s="69" t="s">
        <v>2</v>
      </c>
    </row>
    <row r="4" spans="1:13" s="1" customFormat="1" ht="21" customHeight="1" thickBot="1">
      <c r="A4" s="66"/>
      <c r="B4" s="72"/>
      <c r="C4" s="68"/>
      <c r="D4" s="68"/>
      <c r="E4" s="57"/>
      <c r="F4" s="68"/>
      <c r="G4" s="4">
        <v>1</v>
      </c>
      <c r="H4" s="4">
        <v>2</v>
      </c>
      <c r="I4" s="4">
        <v>3</v>
      </c>
      <c r="J4" s="4" t="s">
        <v>4</v>
      </c>
      <c r="K4" s="59"/>
      <c r="L4" s="57"/>
      <c r="M4" s="70"/>
    </row>
    <row r="5" spans="1:13" ht="16">
      <c r="A5" s="73" t="s">
        <v>20</v>
      </c>
      <c r="B5" s="73"/>
      <c r="C5" s="74"/>
      <c r="D5" s="74"/>
      <c r="E5" s="74"/>
      <c r="F5" s="74"/>
      <c r="G5" s="74"/>
      <c r="H5" s="74"/>
      <c r="I5" s="74"/>
      <c r="J5" s="74"/>
    </row>
    <row r="6" spans="1:13">
      <c r="A6" s="34" t="s">
        <v>196</v>
      </c>
      <c r="B6" s="10" t="s">
        <v>198</v>
      </c>
      <c r="C6" s="10" t="s">
        <v>38</v>
      </c>
      <c r="D6" s="10" t="s">
        <v>23</v>
      </c>
      <c r="E6" s="11" t="s">
        <v>457</v>
      </c>
      <c r="F6" s="10" t="s">
        <v>450</v>
      </c>
      <c r="G6" s="32" t="s">
        <v>25</v>
      </c>
      <c r="H6" s="33" t="s">
        <v>26</v>
      </c>
      <c r="I6" s="32" t="s">
        <v>26</v>
      </c>
      <c r="J6" s="34"/>
      <c r="K6" s="52" t="str">
        <f>"55,0"</f>
        <v>55,0</v>
      </c>
      <c r="L6" s="12" t="str">
        <f>"66,3905"</f>
        <v>66,3905</v>
      </c>
      <c r="M6" s="43" t="s">
        <v>371</v>
      </c>
    </row>
    <row r="7" spans="1:13">
      <c r="A7" s="39" t="s">
        <v>200</v>
      </c>
      <c r="B7" s="16" t="s">
        <v>202</v>
      </c>
      <c r="C7" s="16" t="s">
        <v>39</v>
      </c>
      <c r="D7" s="16" t="s">
        <v>40</v>
      </c>
      <c r="E7" s="17" t="s">
        <v>457</v>
      </c>
      <c r="F7" s="16" t="s">
        <v>449</v>
      </c>
      <c r="G7" s="40" t="s">
        <v>25</v>
      </c>
      <c r="H7" s="38" t="s">
        <v>26</v>
      </c>
      <c r="I7" s="38" t="s">
        <v>26</v>
      </c>
      <c r="J7" s="39"/>
      <c r="K7" s="54" t="str">
        <f>"50,0"</f>
        <v>50,0</v>
      </c>
      <c r="L7" s="18" t="str">
        <f>"60,6150"</f>
        <v>60,6150</v>
      </c>
      <c r="M7" s="42" t="s">
        <v>370</v>
      </c>
    </row>
    <row r="9" spans="1:13" ht="16">
      <c r="A9" s="75" t="s">
        <v>44</v>
      </c>
      <c r="B9" s="75"/>
      <c r="C9" s="75"/>
      <c r="D9" s="75"/>
      <c r="E9" s="76"/>
      <c r="F9" s="75"/>
      <c r="G9" s="75"/>
      <c r="H9" s="75"/>
      <c r="I9" s="75"/>
      <c r="J9" s="75"/>
    </row>
    <row r="10" spans="1:13">
      <c r="A10" s="34" t="s">
        <v>196</v>
      </c>
      <c r="B10" s="10" t="s">
        <v>289</v>
      </c>
      <c r="C10" s="43" t="s">
        <v>384</v>
      </c>
      <c r="D10" s="10" t="s">
        <v>82</v>
      </c>
      <c r="E10" s="11" t="s">
        <v>455</v>
      </c>
      <c r="F10" s="10" t="s">
        <v>449</v>
      </c>
      <c r="G10" s="32" t="s">
        <v>16</v>
      </c>
      <c r="H10" s="32" t="s">
        <v>237</v>
      </c>
      <c r="I10" s="33" t="s">
        <v>238</v>
      </c>
      <c r="J10" s="34"/>
      <c r="K10" s="52" t="str">
        <f>"45,0"</f>
        <v>45,0</v>
      </c>
      <c r="L10" s="12" t="str">
        <f>"46,4265"</f>
        <v>46,4265</v>
      </c>
      <c r="M10" s="43" t="s">
        <v>392</v>
      </c>
    </row>
    <row r="11" spans="1:13">
      <c r="A11" s="39" t="s">
        <v>196</v>
      </c>
      <c r="B11" s="16" t="s">
        <v>205</v>
      </c>
      <c r="C11" s="16" t="s">
        <v>52</v>
      </c>
      <c r="D11" s="16" t="s">
        <v>53</v>
      </c>
      <c r="E11" s="17" t="s">
        <v>457</v>
      </c>
      <c r="F11" s="16" t="s">
        <v>449</v>
      </c>
      <c r="G11" s="40" t="s">
        <v>55</v>
      </c>
      <c r="H11" s="38" t="s">
        <v>13</v>
      </c>
      <c r="I11" s="40" t="s">
        <v>13</v>
      </c>
      <c r="J11" s="39"/>
      <c r="K11" s="54" t="str">
        <f>"72,5"</f>
        <v>72,5</v>
      </c>
      <c r="L11" s="18" t="str">
        <f>"76,4078"</f>
        <v>76,4078</v>
      </c>
      <c r="M11" s="42" t="s">
        <v>369</v>
      </c>
    </row>
    <row r="13" spans="1:13" ht="16">
      <c r="A13" s="75" t="s">
        <v>70</v>
      </c>
      <c r="B13" s="75"/>
      <c r="C13" s="75"/>
      <c r="D13" s="75"/>
      <c r="E13" s="76"/>
      <c r="F13" s="75"/>
      <c r="G13" s="75"/>
      <c r="H13" s="75"/>
      <c r="I13" s="75"/>
      <c r="J13" s="75"/>
    </row>
    <row r="14" spans="1:13">
      <c r="A14" s="34" t="s">
        <v>196</v>
      </c>
      <c r="B14" s="10" t="s">
        <v>290</v>
      </c>
      <c r="C14" s="43" t="s">
        <v>395</v>
      </c>
      <c r="D14" s="10" t="s">
        <v>239</v>
      </c>
      <c r="E14" s="11" t="s">
        <v>455</v>
      </c>
      <c r="F14" s="10" t="s">
        <v>449</v>
      </c>
      <c r="G14" s="32" t="s">
        <v>25</v>
      </c>
      <c r="H14" s="33" t="s">
        <v>35</v>
      </c>
      <c r="I14" s="33" t="s">
        <v>35</v>
      </c>
      <c r="J14" s="34"/>
      <c r="K14" s="52" t="str">
        <f>"50,0"</f>
        <v>50,0</v>
      </c>
      <c r="L14" s="12" t="str">
        <f>"45,2300"</f>
        <v>45,2300</v>
      </c>
      <c r="M14" s="43" t="s">
        <v>393</v>
      </c>
    </row>
    <row r="15" spans="1:13">
      <c r="A15" s="37" t="s">
        <v>196</v>
      </c>
      <c r="B15" s="13" t="s">
        <v>291</v>
      </c>
      <c r="C15" s="13" t="s">
        <v>241</v>
      </c>
      <c r="D15" s="13" t="s">
        <v>242</v>
      </c>
      <c r="E15" s="14" t="s">
        <v>457</v>
      </c>
      <c r="F15" s="13" t="s">
        <v>450</v>
      </c>
      <c r="G15" s="35" t="s">
        <v>77</v>
      </c>
      <c r="H15" s="36" t="s">
        <v>161</v>
      </c>
      <c r="I15" s="35" t="s">
        <v>42</v>
      </c>
      <c r="J15" s="37"/>
      <c r="K15" s="53" t="str">
        <f>"70,0"</f>
        <v>70,0</v>
      </c>
      <c r="L15" s="15" t="str">
        <f>"63,0000"</f>
        <v>63,0000</v>
      </c>
      <c r="M15" s="44" t="s">
        <v>368</v>
      </c>
    </row>
    <row r="16" spans="1:13">
      <c r="A16" s="39" t="s">
        <v>200</v>
      </c>
      <c r="B16" s="16" t="s">
        <v>209</v>
      </c>
      <c r="C16" s="16" t="s">
        <v>71</v>
      </c>
      <c r="D16" s="16" t="s">
        <v>72</v>
      </c>
      <c r="E16" s="17" t="s">
        <v>457</v>
      </c>
      <c r="F16" s="16" t="s">
        <v>450</v>
      </c>
      <c r="G16" s="40" t="s">
        <v>73</v>
      </c>
      <c r="H16" s="38" t="s">
        <v>74</v>
      </c>
      <c r="I16" s="38" t="s">
        <v>74</v>
      </c>
      <c r="J16" s="39"/>
      <c r="K16" s="54" t="str">
        <f>"37,5"</f>
        <v>37,5</v>
      </c>
      <c r="L16" s="18" t="str">
        <f>"34,6837"</f>
        <v>34,6837</v>
      </c>
      <c r="M16" s="42" t="s">
        <v>368</v>
      </c>
    </row>
    <row r="18" spans="1:13" ht="16">
      <c r="A18" s="75" t="s">
        <v>10</v>
      </c>
      <c r="B18" s="75"/>
      <c r="C18" s="75"/>
      <c r="D18" s="75"/>
      <c r="E18" s="76"/>
      <c r="F18" s="75"/>
      <c r="G18" s="75"/>
      <c r="H18" s="75"/>
      <c r="I18" s="75"/>
      <c r="J18" s="75"/>
    </row>
    <row r="19" spans="1:13">
      <c r="A19" s="31" t="s">
        <v>196</v>
      </c>
      <c r="B19" s="7" t="s">
        <v>292</v>
      </c>
      <c r="C19" s="41" t="s">
        <v>385</v>
      </c>
      <c r="D19" s="7" t="s">
        <v>244</v>
      </c>
      <c r="E19" s="8" t="s">
        <v>455</v>
      </c>
      <c r="F19" s="7" t="s">
        <v>449</v>
      </c>
      <c r="G19" s="29" t="s">
        <v>55</v>
      </c>
      <c r="H19" s="29" t="s">
        <v>42</v>
      </c>
      <c r="I19" s="29" t="s">
        <v>83</v>
      </c>
      <c r="J19" s="31"/>
      <c r="K19" s="51" t="str">
        <f>"77,5"</f>
        <v>77,5</v>
      </c>
      <c r="L19" s="9" t="str">
        <f>"81,2510"</f>
        <v>81,2510</v>
      </c>
      <c r="M19" s="7"/>
    </row>
    <row r="21" spans="1:13" ht="16">
      <c r="A21" s="75" t="s">
        <v>20</v>
      </c>
      <c r="B21" s="75"/>
      <c r="C21" s="75"/>
      <c r="D21" s="75"/>
      <c r="E21" s="76"/>
      <c r="F21" s="75"/>
      <c r="G21" s="75"/>
      <c r="H21" s="75"/>
      <c r="I21" s="75"/>
      <c r="J21" s="75"/>
    </row>
    <row r="22" spans="1:13">
      <c r="A22" s="31" t="s">
        <v>196</v>
      </c>
      <c r="B22" s="7" t="s">
        <v>293</v>
      </c>
      <c r="C22" s="41" t="s">
        <v>386</v>
      </c>
      <c r="D22" s="7" t="s">
        <v>40</v>
      </c>
      <c r="E22" s="8" t="s">
        <v>455</v>
      </c>
      <c r="F22" s="7" t="s">
        <v>450</v>
      </c>
      <c r="G22" s="29" t="s">
        <v>245</v>
      </c>
      <c r="H22" s="29" t="s">
        <v>43</v>
      </c>
      <c r="I22" s="29" t="s">
        <v>15</v>
      </c>
      <c r="J22" s="31"/>
      <c r="K22" s="51" t="str">
        <f>"35,0"</f>
        <v>35,0</v>
      </c>
      <c r="L22" s="9" t="str">
        <f>"33,0995"</f>
        <v>33,0995</v>
      </c>
      <c r="M22" s="41" t="s">
        <v>368</v>
      </c>
    </row>
    <row r="24" spans="1:13" ht="16">
      <c r="A24" s="75" t="s">
        <v>246</v>
      </c>
      <c r="B24" s="75"/>
      <c r="C24" s="75"/>
      <c r="D24" s="75"/>
      <c r="E24" s="76"/>
      <c r="F24" s="75"/>
      <c r="G24" s="75"/>
      <c r="H24" s="75"/>
      <c r="I24" s="75"/>
      <c r="J24" s="75"/>
    </row>
    <row r="25" spans="1:13">
      <c r="A25" s="34" t="s">
        <v>196</v>
      </c>
      <c r="B25" s="10" t="s">
        <v>294</v>
      </c>
      <c r="C25" s="43" t="s">
        <v>387</v>
      </c>
      <c r="D25" s="10" t="s">
        <v>248</v>
      </c>
      <c r="E25" s="11" t="s">
        <v>455</v>
      </c>
      <c r="F25" s="10" t="s">
        <v>449</v>
      </c>
      <c r="G25" s="32" t="s">
        <v>42</v>
      </c>
      <c r="H25" s="32" t="s">
        <v>18</v>
      </c>
      <c r="I25" s="32" t="s">
        <v>19</v>
      </c>
      <c r="J25" s="34"/>
      <c r="K25" s="52" t="str">
        <f>"100,0"</f>
        <v>100,0</v>
      </c>
      <c r="L25" s="12" t="str">
        <f>"85,2900"</f>
        <v>85,2900</v>
      </c>
      <c r="M25" s="10"/>
    </row>
    <row r="26" spans="1:13">
      <c r="A26" s="39" t="s">
        <v>200</v>
      </c>
      <c r="B26" s="16" t="s">
        <v>295</v>
      </c>
      <c r="C26" s="42" t="s">
        <v>388</v>
      </c>
      <c r="D26" s="16" t="s">
        <v>250</v>
      </c>
      <c r="E26" s="17" t="s">
        <v>455</v>
      </c>
      <c r="F26" s="16" t="s">
        <v>450</v>
      </c>
      <c r="G26" s="40" t="s">
        <v>55</v>
      </c>
      <c r="H26" s="40" t="s">
        <v>42</v>
      </c>
      <c r="I26" s="40" t="s">
        <v>48</v>
      </c>
      <c r="J26" s="39"/>
      <c r="K26" s="54" t="str">
        <f>"75,0"</f>
        <v>75,0</v>
      </c>
      <c r="L26" s="18" t="str">
        <f>"64,8600"</f>
        <v>64,8600</v>
      </c>
      <c r="M26" s="42" t="s">
        <v>368</v>
      </c>
    </row>
    <row r="28" spans="1:13" ht="16">
      <c r="A28" s="75" t="s">
        <v>44</v>
      </c>
      <c r="B28" s="75"/>
      <c r="C28" s="75"/>
      <c r="D28" s="75"/>
      <c r="E28" s="76"/>
      <c r="F28" s="75"/>
      <c r="G28" s="75"/>
      <c r="H28" s="75"/>
      <c r="I28" s="75"/>
      <c r="J28" s="75"/>
    </row>
    <row r="29" spans="1:13">
      <c r="A29" s="31" t="s">
        <v>196</v>
      </c>
      <c r="B29" s="7" t="s">
        <v>296</v>
      </c>
      <c r="C29" s="41" t="s">
        <v>389</v>
      </c>
      <c r="D29" s="7" t="s">
        <v>251</v>
      </c>
      <c r="E29" s="8" t="s">
        <v>455</v>
      </c>
      <c r="F29" s="7" t="s">
        <v>449</v>
      </c>
      <c r="G29" s="29" t="s">
        <v>42</v>
      </c>
      <c r="H29" s="29" t="s">
        <v>48</v>
      </c>
      <c r="I29" s="29" t="s">
        <v>17</v>
      </c>
      <c r="J29" s="31"/>
      <c r="K29" s="51" t="str">
        <f>"80,0"</f>
        <v>80,0</v>
      </c>
      <c r="L29" s="9" t="str">
        <f>"63,4560"</f>
        <v>63,4560</v>
      </c>
      <c r="M29" s="41" t="s">
        <v>394</v>
      </c>
    </row>
    <row r="31" spans="1:13" ht="16">
      <c r="A31" s="75" t="s">
        <v>61</v>
      </c>
      <c r="B31" s="75"/>
      <c r="C31" s="75"/>
      <c r="D31" s="75"/>
      <c r="E31" s="76"/>
      <c r="F31" s="75"/>
      <c r="G31" s="75"/>
      <c r="H31" s="75"/>
      <c r="I31" s="75"/>
      <c r="J31" s="75"/>
    </row>
    <row r="32" spans="1:13">
      <c r="A32" s="34" t="s">
        <v>196</v>
      </c>
      <c r="B32" s="10" t="s">
        <v>297</v>
      </c>
      <c r="C32" s="10" t="s">
        <v>252</v>
      </c>
      <c r="D32" s="10" t="s">
        <v>253</v>
      </c>
      <c r="E32" s="11" t="s">
        <v>456</v>
      </c>
      <c r="F32" s="10" t="s">
        <v>450</v>
      </c>
      <c r="G32" s="32" t="s">
        <v>49</v>
      </c>
      <c r="H32" s="32" t="s">
        <v>37</v>
      </c>
      <c r="I32" s="33" t="s">
        <v>50</v>
      </c>
      <c r="J32" s="34"/>
      <c r="K32" s="52" t="str">
        <f>"135,0"</f>
        <v>135,0</v>
      </c>
      <c r="L32" s="12" t="str">
        <f>"96,2820"</f>
        <v>96,2820</v>
      </c>
      <c r="M32" s="43" t="s">
        <v>374</v>
      </c>
    </row>
    <row r="33" spans="1:13">
      <c r="A33" s="37" t="s">
        <v>196</v>
      </c>
      <c r="B33" s="13" t="s">
        <v>298</v>
      </c>
      <c r="C33" s="13" t="s">
        <v>254</v>
      </c>
      <c r="D33" s="13" t="s">
        <v>255</v>
      </c>
      <c r="E33" s="14" t="s">
        <v>457</v>
      </c>
      <c r="F33" s="13" t="s">
        <v>449</v>
      </c>
      <c r="G33" s="35" t="s">
        <v>32</v>
      </c>
      <c r="H33" s="35" t="s">
        <v>54</v>
      </c>
      <c r="I33" s="36" t="s">
        <v>33</v>
      </c>
      <c r="J33" s="37"/>
      <c r="K33" s="53" t="str">
        <f>"110,0"</f>
        <v>110,0</v>
      </c>
      <c r="L33" s="15" t="str">
        <f>"78,5290"</f>
        <v>78,5290</v>
      </c>
      <c r="M33" s="44" t="s">
        <v>375</v>
      </c>
    </row>
    <row r="34" spans="1:13">
      <c r="A34" s="37" t="s">
        <v>200</v>
      </c>
      <c r="B34" s="13" t="s">
        <v>299</v>
      </c>
      <c r="C34" s="13" t="s">
        <v>256</v>
      </c>
      <c r="D34" s="13" t="s">
        <v>257</v>
      </c>
      <c r="E34" s="14" t="s">
        <v>457</v>
      </c>
      <c r="F34" s="13" t="s">
        <v>450</v>
      </c>
      <c r="G34" s="35" t="s">
        <v>258</v>
      </c>
      <c r="H34" s="35" t="s">
        <v>18</v>
      </c>
      <c r="I34" s="36" t="s">
        <v>24</v>
      </c>
      <c r="J34" s="37"/>
      <c r="K34" s="53" t="str">
        <f>"90,0"</f>
        <v>90,0</v>
      </c>
      <c r="L34" s="15" t="str">
        <f>"65,6370"</f>
        <v>65,6370</v>
      </c>
      <c r="M34" s="44" t="s">
        <v>368</v>
      </c>
    </row>
    <row r="35" spans="1:13">
      <c r="A35" s="39" t="s">
        <v>203</v>
      </c>
      <c r="B35" s="16" t="s">
        <v>300</v>
      </c>
      <c r="C35" s="16" t="s">
        <v>259</v>
      </c>
      <c r="D35" s="16" t="s">
        <v>63</v>
      </c>
      <c r="E35" s="17" t="s">
        <v>457</v>
      </c>
      <c r="F35" s="16" t="s">
        <v>449</v>
      </c>
      <c r="G35" s="38" t="s">
        <v>33</v>
      </c>
      <c r="H35" s="38" t="s">
        <v>41</v>
      </c>
      <c r="I35" s="38" t="s">
        <v>41</v>
      </c>
      <c r="J35" s="39"/>
      <c r="K35" s="54" t="str">
        <f>"0.00"</f>
        <v>0.00</v>
      </c>
      <c r="L35" s="18" t="str">
        <f>"0,0000"</f>
        <v>0,0000</v>
      </c>
      <c r="M35" s="42" t="s">
        <v>169</v>
      </c>
    </row>
    <row r="37" spans="1:13" ht="16">
      <c r="A37" s="75" t="s">
        <v>70</v>
      </c>
      <c r="B37" s="75"/>
      <c r="C37" s="75"/>
      <c r="D37" s="75"/>
      <c r="E37" s="76"/>
      <c r="F37" s="75"/>
      <c r="G37" s="75"/>
      <c r="H37" s="75"/>
      <c r="I37" s="75"/>
      <c r="J37" s="75"/>
    </row>
    <row r="38" spans="1:13">
      <c r="A38" s="34" t="s">
        <v>196</v>
      </c>
      <c r="B38" s="10" t="s">
        <v>301</v>
      </c>
      <c r="C38" s="43" t="s">
        <v>390</v>
      </c>
      <c r="D38" s="10" t="s">
        <v>260</v>
      </c>
      <c r="E38" s="11" t="s">
        <v>455</v>
      </c>
      <c r="F38" s="10" t="s">
        <v>450</v>
      </c>
      <c r="G38" s="32" t="s">
        <v>12</v>
      </c>
      <c r="H38" s="32" t="s">
        <v>55</v>
      </c>
      <c r="I38" s="32" t="s">
        <v>42</v>
      </c>
      <c r="J38" s="34"/>
      <c r="K38" s="52" t="str">
        <f>"70,0"</f>
        <v>70,0</v>
      </c>
      <c r="L38" s="12" t="str">
        <f>"47,3480"</f>
        <v>47,3480</v>
      </c>
      <c r="M38" s="43" t="s">
        <v>368</v>
      </c>
    </row>
    <row r="39" spans="1:13">
      <c r="A39" s="37" t="s">
        <v>196</v>
      </c>
      <c r="B39" s="13" t="s">
        <v>302</v>
      </c>
      <c r="C39" s="13" t="s">
        <v>262</v>
      </c>
      <c r="D39" s="13" t="s">
        <v>242</v>
      </c>
      <c r="E39" s="14" t="s">
        <v>457</v>
      </c>
      <c r="F39" s="13" t="s">
        <v>450</v>
      </c>
      <c r="G39" s="35" t="s">
        <v>57</v>
      </c>
      <c r="H39" s="35" t="s">
        <v>85</v>
      </c>
      <c r="I39" s="35" t="s">
        <v>263</v>
      </c>
      <c r="J39" s="37"/>
      <c r="K39" s="53" t="str">
        <f>"167,5"</f>
        <v>167,5</v>
      </c>
      <c r="L39" s="15" t="str">
        <f>"112,2083"</f>
        <v>112,2083</v>
      </c>
      <c r="M39" s="44" t="s">
        <v>368</v>
      </c>
    </row>
    <row r="40" spans="1:13">
      <c r="A40" s="39" t="s">
        <v>196</v>
      </c>
      <c r="B40" s="16" t="s">
        <v>303</v>
      </c>
      <c r="C40" s="42" t="s">
        <v>391</v>
      </c>
      <c r="D40" s="16" t="s">
        <v>264</v>
      </c>
      <c r="E40" s="17" t="s">
        <v>458</v>
      </c>
      <c r="F40" s="16" t="s">
        <v>450</v>
      </c>
      <c r="G40" s="40" t="s">
        <v>48</v>
      </c>
      <c r="H40" s="40" t="s">
        <v>17</v>
      </c>
      <c r="I40" s="38" t="s">
        <v>258</v>
      </c>
      <c r="J40" s="39"/>
      <c r="K40" s="54" t="str">
        <f>"80,0"</f>
        <v>80,0</v>
      </c>
      <c r="L40" s="18" t="str">
        <f>"78,5203"</f>
        <v>78,5203</v>
      </c>
      <c r="M40" s="42" t="s">
        <v>368</v>
      </c>
    </row>
    <row r="42" spans="1:13" ht="16">
      <c r="A42" s="75" t="s">
        <v>109</v>
      </c>
      <c r="B42" s="75"/>
      <c r="C42" s="75"/>
      <c r="D42" s="75"/>
      <c r="E42" s="76"/>
      <c r="F42" s="75"/>
      <c r="G42" s="75"/>
      <c r="H42" s="75"/>
      <c r="I42" s="75"/>
      <c r="J42" s="75"/>
    </row>
    <row r="43" spans="1:13">
      <c r="A43" s="34" t="s">
        <v>203</v>
      </c>
      <c r="B43" s="10" t="s">
        <v>220</v>
      </c>
      <c r="C43" s="10" t="s">
        <v>116</v>
      </c>
      <c r="D43" s="10" t="s">
        <v>117</v>
      </c>
      <c r="E43" s="11" t="s">
        <v>456</v>
      </c>
      <c r="F43" s="10" t="s">
        <v>450</v>
      </c>
      <c r="G43" s="33" t="s">
        <v>41</v>
      </c>
      <c r="H43" s="33" t="s">
        <v>41</v>
      </c>
      <c r="I43" s="33" t="s">
        <v>41</v>
      </c>
      <c r="J43" s="34"/>
      <c r="K43" s="52" t="str">
        <f>"0.00"</f>
        <v>0.00</v>
      </c>
      <c r="L43" s="12" t="str">
        <f>"0,0000"</f>
        <v>0,0000</v>
      </c>
      <c r="M43" s="43" t="s">
        <v>372</v>
      </c>
    </row>
    <row r="44" spans="1:13">
      <c r="A44" s="37" t="s">
        <v>196</v>
      </c>
      <c r="B44" s="13" t="s">
        <v>223</v>
      </c>
      <c r="C44" s="13" t="s">
        <v>134</v>
      </c>
      <c r="D44" s="13" t="s">
        <v>135</v>
      </c>
      <c r="E44" s="14" t="s">
        <v>457</v>
      </c>
      <c r="F44" s="13" t="s">
        <v>449</v>
      </c>
      <c r="G44" s="35" t="s">
        <v>50</v>
      </c>
      <c r="H44" s="35" t="s">
        <v>56</v>
      </c>
      <c r="I44" s="36" t="s">
        <v>136</v>
      </c>
      <c r="J44" s="37"/>
      <c r="K44" s="53" t="str">
        <f>"145,0"</f>
        <v>145,0</v>
      </c>
      <c r="L44" s="15" t="str">
        <f>"94,3515"</f>
        <v>94,3515</v>
      </c>
      <c r="M44" s="44"/>
    </row>
    <row r="45" spans="1:13">
      <c r="A45" s="37" t="s">
        <v>200</v>
      </c>
      <c r="B45" s="13" t="s">
        <v>304</v>
      </c>
      <c r="C45" s="13" t="s">
        <v>265</v>
      </c>
      <c r="D45" s="13" t="s">
        <v>266</v>
      </c>
      <c r="E45" s="14" t="s">
        <v>457</v>
      </c>
      <c r="F45" s="13" t="s">
        <v>449</v>
      </c>
      <c r="G45" s="35" t="s">
        <v>37</v>
      </c>
      <c r="H45" s="35" t="s">
        <v>267</v>
      </c>
      <c r="I45" s="36" t="s">
        <v>136</v>
      </c>
      <c r="J45" s="37"/>
      <c r="K45" s="53" t="str">
        <f>"142,5"</f>
        <v>142,5</v>
      </c>
      <c r="L45" s="15" t="str">
        <f>"90,9720"</f>
        <v>90,9720</v>
      </c>
      <c r="M45" s="44"/>
    </row>
    <row r="46" spans="1:13">
      <c r="A46" s="37" t="s">
        <v>201</v>
      </c>
      <c r="B46" s="13" t="s">
        <v>305</v>
      </c>
      <c r="C46" s="13" t="s">
        <v>268</v>
      </c>
      <c r="D46" s="13" t="s">
        <v>266</v>
      </c>
      <c r="E46" s="14" t="s">
        <v>457</v>
      </c>
      <c r="F46" s="13" t="s">
        <v>450</v>
      </c>
      <c r="G46" s="35" t="s">
        <v>49</v>
      </c>
      <c r="H46" s="36" t="s">
        <v>37</v>
      </c>
      <c r="I46" s="36" t="s">
        <v>37</v>
      </c>
      <c r="J46" s="37"/>
      <c r="K46" s="53" t="str">
        <f>"130,0"</f>
        <v>130,0</v>
      </c>
      <c r="L46" s="15" t="str">
        <f>"82,9920"</f>
        <v>82,9920</v>
      </c>
      <c r="M46" s="44" t="s">
        <v>368</v>
      </c>
    </row>
    <row r="47" spans="1:13">
      <c r="A47" s="37" t="s">
        <v>196</v>
      </c>
      <c r="B47" s="13" t="s">
        <v>222</v>
      </c>
      <c r="C47" s="44" t="s">
        <v>364</v>
      </c>
      <c r="D47" s="13" t="s">
        <v>128</v>
      </c>
      <c r="E47" s="14" t="s">
        <v>458</v>
      </c>
      <c r="F47" s="13" t="s">
        <v>449</v>
      </c>
      <c r="G47" s="35" t="s">
        <v>94</v>
      </c>
      <c r="H47" s="35" t="s">
        <v>130</v>
      </c>
      <c r="I47" s="36" t="s">
        <v>131</v>
      </c>
      <c r="J47" s="37"/>
      <c r="K47" s="53" t="str">
        <f>"172,5"</f>
        <v>172,5</v>
      </c>
      <c r="L47" s="15" t="str">
        <f>"113,7982"</f>
        <v>113,7982</v>
      </c>
      <c r="M47" s="13"/>
    </row>
    <row r="48" spans="1:13">
      <c r="A48" s="39" t="s">
        <v>200</v>
      </c>
      <c r="B48" s="16" t="s">
        <v>306</v>
      </c>
      <c r="C48" s="42" t="s">
        <v>380</v>
      </c>
      <c r="D48" s="16" t="s">
        <v>269</v>
      </c>
      <c r="E48" s="17" t="s">
        <v>458</v>
      </c>
      <c r="F48" s="16" t="s">
        <v>450</v>
      </c>
      <c r="G48" s="40" t="s">
        <v>49</v>
      </c>
      <c r="H48" s="40" t="s">
        <v>37</v>
      </c>
      <c r="I48" s="38" t="s">
        <v>50</v>
      </c>
      <c r="J48" s="39"/>
      <c r="K48" s="54" t="str">
        <f>"135,0"</f>
        <v>135,0</v>
      </c>
      <c r="L48" s="18" t="str">
        <f>"96,4000"</f>
        <v>96,4000</v>
      </c>
      <c r="M48" s="42" t="s">
        <v>368</v>
      </c>
    </row>
    <row r="50" spans="1:13" ht="16">
      <c r="A50" s="75" t="s">
        <v>141</v>
      </c>
      <c r="B50" s="75"/>
      <c r="C50" s="75"/>
      <c r="D50" s="75"/>
      <c r="E50" s="76"/>
      <c r="F50" s="75"/>
      <c r="G50" s="75"/>
      <c r="H50" s="75"/>
      <c r="I50" s="75"/>
      <c r="J50" s="75"/>
    </row>
    <row r="51" spans="1:13">
      <c r="A51" s="34" t="s">
        <v>196</v>
      </c>
      <c r="B51" s="10" t="s">
        <v>228</v>
      </c>
      <c r="C51" s="10" t="s">
        <v>149</v>
      </c>
      <c r="D51" s="10" t="s">
        <v>144</v>
      </c>
      <c r="E51" s="11" t="s">
        <v>457</v>
      </c>
      <c r="F51" s="10" t="s">
        <v>449</v>
      </c>
      <c r="G51" s="32" t="s">
        <v>130</v>
      </c>
      <c r="H51" s="32" t="s">
        <v>89</v>
      </c>
      <c r="I51" s="32" t="s">
        <v>100</v>
      </c>
      <c r="J51" s="34"/>
      <c r="K51" s="52" t="str">
        <f>"185,0"</f>
        <v>185,0</v>
      </c>
      <c r="L51" s="12" t="str">
        <f>"113,1460"</f>
        <v>113,1460</v>
      </c>
      <c r="M51" s="43" t="s">
        <v>369</v>
      </c>
    </row>
    <row r="52" spans="1:13">
      <c r="A52" s="37" t="s">
        <v>200</v>
      </c>
      <c r="B52" s="13" t="s">
        <v>307</v>
      </c>
      <c r="C52" s="13" t="s">
        <v>271</v>
      </c>
      <c r="D52" s="13" t="s">
        <v>272</v>
      </c>
      <c r="E52" s="14" t="s">
        <v>457</v>
      </c>
      <c r="F52" s="13" t="s">
        <v>449</v>
      </c>
      <c r="G52" s="35" t="s">
        <v>84</v>
      </c>
      <c r="H52" s="35" t="s">
        <v>57</v>
      </c>
      <c r="I52" s="35" t="s">
        <v>67</v>
      </c>
      <c r="J52" s="37"/>
      <c r="K52" s="53" t="str">
        <f>"160,0"</f>
        <v>160,0</v>
      </c>
      <c r="L52" s="15" t="str">
        <f>"98,5280"</f>
        <v>98,5280</v>
      </c>
      <c r="M52" s="44"/>
    </row>
    <row r="53" spans="1:13">
      <c r="A53" s="37" t="s">
        <v>201</v>
      </c>
      <c r="B53" s="13" t="s">
        <v>308</v>
      </c>
      <c r="C53" s="13" t="s">
        <v>273</v>
      </c>
      <c r="D53" s="13" t="s">
        <v>274</v>
      </c>
      <c r="E53" s="14" t="s">
        <v>457</v>
      </c>
      <c r="F53" s="13" t="s">
        <v>449</v>
      </c>
      <c r="G53" s="35" t="s">
        <v>37</v>
      </c>
      <c r="H53" s="35" t="s">
        <v>267</v>
      </c>
      <c r="I53" s="36" t="s">
        <v>84</v>
      </c>
      <c r="J53" s="37"/>
      <c r="K53" s="53" t="str">
        <f>"142,5"</f>
        <v>142,5</v>
      </c>
      <c r="L53" s="15" t="str">
        <f>"87,9795"</f>
        <v>87,9795</v>
      </c>
      <c r="M53" s="44"/>
    </row>
    <row r="54" spans="1:13">
      <c r="A54" s="37" t="s">
        <v>224</v>
      </c>
      <c r="B54" s="13" t="s">
        <v>309</v>
      </c>
      <c r="C54" s="13" t="s">
        <v>275</v>
      </c>
      <c r="D54" s="13" t="s">
        <v>276</v>
      </c>
      <c r="E54" s="14" t="s">
        <v>457</v>
      </c>
      <c r="F54" s="13" t="s">
        <v>449</v>
      </c>
      <c r="G54" s="35" t="s">
        <v>49</v>
      </c>
      <c r="H54" s="35" t="s">
        <v>37</v>
      </c>
      <c r="I54" s="35" t="s">
        <v>50</v>
      </c>
      <c r="J54" s="37"/>
      <c r="K54" s="53" t="str">
        <f>"140,0"</f>
        <v>140,0</v>
      </c>
      <c r="L54" s="15" t="str">
        <f>"85,3720"</f>
        <v>85,3720</v>
      </c>
      <c r="M54" s="44" t="s">
        <v>270</v>
      </c>
    </row>
    <row r="55" spans="1:13">
      <c r="A55" s="37" t="s">
        <v>310</v>
      </c>
      <c r="B55" s="13" t="s">
        <v>311</v>
      </c>
      <c r="C55" s="13" t="s">
        <v>277</v>
      </c>
      <c r="D55" s="13" t="s">
        <v>278</v>
      </c>
      <c r="E55" s="14" t="s">
        <v>457</v>
      </c>
      <c r="F55" s="13" t="s">
        <v>450</v>
      </c>
      <c r="G55" s="35" t="s">
        <v>279</v>
      </c>
      <c r="H55" s="35" t="s">
        <v>49</v>
      </c>
      <c r="I55" s="36" t="s">
        <v>37</v>
      </c>
      <c r="J55" s="37"/>
      <c r="K55" s="53" t="str">
        <f>"130,0"</f>
        <v>130,0</v>
      </c>
      <c r="L55" s="15" t="str">
        <f>"79,7420"</f>
        <v>79,7420</v>
      </c>
      <c r="M55" s="44" t="s">
        <v>368</v>
      </c>
    </row>
    <row r="56" spans="1:13">
      <c r="A56" s="37" t="s">
        <v>196</v>
      </c>
      <c r="B56" s="13" t="s">
        <v>232</v>
      </c>
      <c r="C56" s="44" t="s">
        <v>365</v>
      </c>
      <c r="D56" s="13" t="s">
        <v>158</v>
      </c>
      <c r="E56" s="14" t="s">
        <v>458</v>
      </c>
      <c r="F56" s="13" t="s">
        <v>450</v>
      </c>
      <c r="G56" s="35" t="s">
        <v>84</v>
      </c>
      <c r="H56" s="35" t="s">
        <v>67</v>
      </c>
      <c r="I56" s="36" t="s">
        <v>86</v>
      </c>
      <c r="J56" s="37"/>
      <c r="K56" s="53" t="str">
        <f>"160,0"</f>
        <v>160,0</v>
      </c>
      <c r="L56" s="15" t="str">
        <f>"118,5564"</f>
        <v>118,5564</v>
      </c>
      <c r="M56" s="44" t="s">
        <v>368</v>
      </c>
    </row>
    <row r="57" spans="1:13">
      <c r="A57" s="39" t="s">
        <v>200</v>
      </c>
      <c r="B57" s="16" t="s">
        <v>312</v>
      </c>
      <c r="C57" s="42" t="s">
        <v>381</v>
      </c>
      <c r="D57" s="16" t="s">
        <v>280</v>
      </c>
      <c r="E57" s="17" t="s">
        <v>458</v>
      </c>
      <c r="F57" s="16" t="s">
        <v>451</v>
      </c>
      <c r="G57" s="40" t="s">
        <v>41</v>
      </c>
      <c r="H57" s="40" t="s">
        <v>49</v>
      </c>
      <c r="I57" s="38" t="s">
        <v>37</v>
      </c>
      <c r="J57" s="39"/>
      <c r="K57" s="54" t="str">
        <f>"130,0"</f>
        <v>130,0</v>
      </c>
      <c r="L57" s="18" t="str">
        <f>"87,0207"</f>
        <v>87,0207</v>
      </c>
      <c r="M57" s="42" t="s">
        <v>368</v>
      </c>
    </row>
    <row r="59" spans="1:13" ht="16">
      <c r="A59" s="75" t="s">
        <v>159</v>
      </c>
      <c r="B59" s="75"/>
      <c r="C59" s="75"/>
      <c r="D59" s="75"/>
      <c r="E59" s="76"/>
      <c r="F59" s="75"/>
      <c r="G59" s="75"/>
      <c r="H59" s="75"/>
      <c r="I59" s="75"/>
      <c r="J59" s="75"/>
    </row>
    <row r="60" spans="1:13">
      <c r="A60" s="34" t="s">
        <v>196</v>
      </c>
      <c r="B60" s="10" t="s">
        <v>313</v>
      </c>
      <c r="C60" s="43" t="s">
        <v>382</v>
      </c>
      <c r="D60" s="10" t="s">
        <v>160</v>
      </c>
      <c r="E60" s="11" t="s">
        <v>458</v>
      </c>
      <c r="F60" s="10" t="s">
        <v>450</v>
      </c>
      <c r="G60" s="32" t="s">
        <v>50</v>
      </c>
      <c r="H60" s="32" t="s">
        <v>56</v>
      </c>
      <c r="I60" s="32" t="s">
        <v>84</v>
      </c>
      <c r="J60" s="34"/>
      <c r="K60" s="52" t="str">
        <f>"150,0"</f>
        <v>150,0</v>
      </c>
      <c r="L60" s="49" t="str">
        <f>"100,6610"</f>
        <v>100,6610</v>
      </c>
      <c r="M60" s="43" t="s">
        <v>368</v>
      </c>
    </row>
    <row r="61" spans="1:13">
      <c r="A61" s="39" t="s">
        <v>200</v>
      </c>
      <c r="B61" s="16" t="s">
        <v>314</v>
      </c>
      <c r="C61" s="42" t="s">
        <v>383</v>
      </c>
      <c r="D61" s="16" t="s">
        <v>282</v>
      </c>
      <c r="E61" s="17" t="s">
        <v>458</v>
      </c>
      <c r="F61" s="16" t="s">
        <v>450</v>
      </c>
      <c r="G61" s="40" t="s">
        <v>54</v>
      </c>
      <c r="H61" s="38" t="s">
        <v>33</v>
      </c>
      <c r="I61" s="38" t="s">
        <v>33</v>
      </c>
      <c r="J61" s="39"/>
      <c r="K61" s="54" t="str">
        <f>"110,0"</f>
        <v>110,0</v>
      </c>
      <c r="L61" s="50" t="str">
        <f>"97,7616"</f>
        <v>97,7616</v>
      </c>
      <c r="M61" s="42" t="s">
        <v>368</v>
      </c>
    </row>
    <row r="63" spans="1:13" ht="16">
      <c r="A63" s="75" t="s">
        <v>168</v>
      </c>
      <c r="B63" s="75"/>
      <c r="C63" s="75"/>
      <c r="D63" s="75"/>
      <c r="E63" s="76"/>
      <c r="F63" s="75"/>
      <c r="G63" s="75"/>
      <c r="H63" s="75"/>
      <c r="I63" s="75"/>
      <c r="J63" s="75"/>
    </row>
    <row r="64" spans="1:13">
      <c r="A64" s="31" t="s">
        <v>196</v>
      </c>
      <c r="B64" s="7" t="s">
        <v>235</v>
      </c>
      <c r="C64" s="7" t="s">
        <v>170</v>
      </c>
      <c r="D64" s="7" t="s">
        <v>171</v>
      </c>
      <c r="E64" s="8" t="s">
        <v>457</v>
      </c>
      <c r="F64" s="7" t="s">
        <v>449</v>
      </c>
      <c r="G64" s="29" t="s">
        <v>84</v>
      </c>
      <c r="H64" s="29" t="s">
        <v>173</v>
      </c>
      <c r="I64" s="29" t="s">
        <v>94</v>
      </c>
      <c r="J64" s="31"/>
      <c r="K64" s="51">
        <v>165</v>
      </c>
      <c r="L64" s="9">
        <v>96.244500000000002</v>
      </c>
      <c r="M64" s="7"/>
    </row>
    <row r="66" spans="1:13" ht="16">
      <c r="A66" s="75" t="s">
        <v>174</v>
      </c>
      <c r="B66" s="75"/>
      <c r="C66" s="75"/>
      <c r="D66" s="75"/>
      <c r="E66" s="76"/>
      <c r="F66" s="75"/>
      <c r="G66" s="75"/>
      <c r="H66" s="75"/>
      <c r="I66" s="75"/>
      <c r="J66" s="75"/>
    </row>
    <row r="67" spans="1:13">
      <c r="A67" s="31" t="s">
        <v>196</v>
      </c>
      <c r="B67" s="7" t="s">
        <v>315</v>
      </c>
      <c r="C67" s="7" t="s">
        <v>283</v>
      </c>
      <c r="D67" s="7" t="s">
        <v>284</v>
      </c>
      <c r="E67" s="8" t="s">
        <v>457</v>
      </c>
      <c r="F67" s="7" t="s">
        <v>449</v>
      </c>
      <c r="G67" s="30" t="s">
        <v>41</v>
      </c>
      <c r="H67" s="29" t="s">
        <v>36</v>
      </c>
      <c r="I67" s="29" t="s">
        <v>96</v>
      </c>
      <c r="J67" s="31"/>
      <c r="K67" s="51" t="str">
        <f>"132,5"</f>
        <v>132,5</v>
      </c>
      <c r="L67" s="9" t="str">
        <f>"74,1470"</f>
        <v>74,1470</v>
      </c>
      <c r="M67" s="41" t="s">
        <v>307</v>
      </c>
    </row>
    <row r="69" spans="1:13">
      <c r="C69" s="3"/>
      <c r="D69" s="3"/>
      <c r="E69" s="3"/>
      <c r="F69" s="3"/>
      <c r="G69" s="3"/>
      <c r="M69" s="6"/>
    </row>
    <row r="70" spans="1:13">
      <c r="C70" s="3"/>
      <c r="D70" s="3"/>
      <c r="E70" s="3"/>
      <c r="F70" s="3"/>
      <c r="G70" s="3"/>
      <c r="M70" s="6"/>
    </row>
    <row r="71" spans="1:13" ht="18">
      <c r="B71" s="20" t="s">
        <v>177</v>
      </c>
      <c r="C71" s="20"/>
      <c r="G71" s="3"/>
      <c r="M71" s="6"/>
    </row>
    <row r="72" spans="1:13" ht="16">
      <c r="B72" s="21" t="s">
        <v>178</v>
      </c>
      <c r="C72" s="21"/>
      <c r="G72" s="3"/>
      <c r="M72" s="6"/>
    </row>
    <row r="73" spans="1:13" ht="14">
      <c r="B73" s="22"/>
      <c r="C73" s="23" t="s">
        <v>187</v>
      </c>
      <c r="G73" s="3"/>
      <c r="M73" s="6"/>
    </row>
    <row r="74" spans="1:13" ht="14">
      <c r="B74" s="24" t="s">
        <v>180</v>
      </c>
      <c r="C74" s="24" t="s">
        <v>181</v>
      </c>
      <c r="D74" s="24" t="s">
        <v>446</v>
      </c>
      <c r="E74" s="25" t="s">
        <v>285</v>
      </c>
      <c r="F74" s="24" t="s">
        <v>183</v>
      </c>
      <c r="G74" s="3"/>
      <c r="M74" s="6"/>
    </row>
    <row r="75" spans="1:13">
      <c r="B75" s="5" t="s">
        <v>51</v>
      </c>
      <c r="C75" s="5" t="s">
        <v>187</v>
      </c>
      <c r="D75" s="27" t="s">
        <v>188</v>
      </c>
      <c r="E75" s="28">
        <v>72.5</v>
      </c>
      <c r="F75" s="26">
        <v>76.407750248908997</v>
      </c>
      <c r="G75" s="3"/>
      <c r="M75" s="6"/>
    </row>
    <row r="76" spans="1:13">
      <c r="B76" s="5" t="s">
        <v>21</v>
      </c>
      <c r="C76" s="5" t="s">
        <v>187</v>
      </c>
      <c r="D76" s="27" t="s">
        <v>186</v>
      </c>
      <c r="E76" s="28">
        <v>55</v>
      </c>
      <c r="F76" s="26">
        <v>66.390501856803894</v>
      </c>
      <c r="G76" s="3"/>
      <c r="M76" s="6"/>
    </row>
    <row r="77" spans="1:13">
      <c r="B77" s="5" t="s">
        <v>240</v>
      </c>
      <c r="C77" s="5" t="s">
        <v>187</v>
      </c>
      <c r="D77" s="27" t="s">
        <v>286</v>
      </c>
      <c r="E77" s="28">
        <v>70</v>
      </c>
      <c r="F77" s="26">
        <v>62.999998331069897</v>
      </c>
      <c r="G77" s="3"/>
      <c r="M77" s="6"/>
    </row>
    <row r="78" spans="1:13">
      <c r="G78" s="3"/>
      <c r="M78" s="6"/>
    </row>
    <row r="79" spans="1:13" ht="16">
      <c r="B79" s="21" t="s">
        <v>190</v>
      </c>
      <c r="C79" s="21"/>
      <c r="G79" s="3"/>
      <c r="M79" s="6"/>
    </row>
    <row r="80" spans="1:13" ht="14">
      <c r="B80" s="22"/>
      <c r="C80" s="23" t="s">
        <v>191</v>
      </c>
      <c r="G80" s="3"/>
      <c r="M80" s="6"/>
    </row>
    <row r="81" spans="2:13" ht="14">
      <c r="B81" s="24" t="s">
        <v>180</v>
      </c>
      <c r="C81" s="24" t="s">
        <v>181</v>
      </c>
      <c r="D81" s="24" t="s">
        <v>446</v>
      </c>
      <c r="E81" s="25" t="s">
        <v>285</v>
      </c>
      <c r="F81" s="24" t="s">
        <v>183</v>
      </c>
      <c r="G81" s="3"/>
      <c r="M81" s="6"/>
    </row>
    <row r="82" spans="2:13">
      <c r="B82" s="5" t="s">
        <v>247</v>
      </c>
      <c r="C82" s="45" t="s">
        <v>191</v>
      </c>
      <c r="D82" s="27" t="s">
        <v>287</v>
      </c>
      <c r="E82" s="28">
        <v>100</v>
      </c>
      <c r="F82" s="26">
        <v>85.290002822876005</v>
      </c>
      <c r="G82" s="3"/>
      <c r="M82" s="6"/>
    </row>
    <row r="83" spans="2:13">
      <c r="B83" s="5" t="s">
        <v>243</v>
      </c>
      <c r="C83" s="45" t="s">
        <v>379</v>
      </c>
      <c r="D83" s="27" t="s">
        <v>184</v>
      </c>
      <c r="E83" s="28">
        <v>77.5</v>
      </c>
      <c r="F83" s="26">
        <v>81.251003444194794</v>
      </c>
      <c r="G83" s="3"/>
      <c r="M83" s="6"/>
    </row>
    <row r="84" spans="2:13">
      <c r="B84" s="5" t="s">
        <v>249</v>
      </c>
      <c r="C84" s="45" t="s">
        <v>191</v>
      </c>
      <c r="D84" s="27" t="s">
        <v>287</v>
      </c>
      <c r="E84" s="28">
        <v>75</v>
      </c>
      <c r="F84" s="26">
        <v>64.8599982261658</v>
      </c>
      <c r="G84" s="3"/>
      <c r="M84" s="6"/>
    </row>
    <row r="85" spans="2:13">
      <c r="G85" s="3"/>
      <c r="M85" s="6"/>
    </row>
    <row r="86" spans="2:13" ht="14">
      <c r="B86" s="22"/>
      <c r="C86" s="23" t="s">
        <v>187</v>
      </c>
      <c r="G86" s="3"/>
      <c r="M86" s="6"/>
    </row>
    <row r="87" spans="2:13" ht="14">
      <c r="B87" s="24" t="s">
        <v>180</v>
      </c>
      <c r="C87" s="24" t="s">
        <v>181</v>
      </c>
      <c r="D87" s="24" t="s">
        <v>446</v>
      </c>
      <c r="E87" s="25" t="s">
        <v>285</v>
      </c>
      <c r="F87" s="24" t="s">
        <v>183</v>
      </c>
      <c r="G87" s="3"/>
      <c r="M87" s="6"/>
    </row>
    <row r="88" spans="2:13">
      <c r="B88" s="5" t="s">
        <v>148</v>
      </c>
      <c r="C88" s="5" t="s">
        <v>187</v>
      </c>
      <c r="D88" s="27" t="s">
        <v>194</v>
      </c>
      <c r="E88" s="28">
        <v>185</v>
      </c>
      <c r="F88" s="26">
        <v>113.145996630192</v>
      </c>
      <c r="G88" s="3"/>
      <c r="M88" s="6"/>
    </row>
    <row r="89" spans="2:13">
      <c r="B89" s="5" t="s">
        <v>261</v>
      </c>
      <c r="C89" s="5" t="s">
        <v>187</v>
      </c>
      <c r="D89" s="27" t="s">
        <v>286</v>
      </c>
      <c r="E89" s="28">
        <v>167.5</v>
      </c>
      <c r="F89" s="26">
        <v>112.208250015974</v>
      </c>
      <c r="G89" s="3"/>
      <c r="M89" s="6"/>
    </row>
    <row r="90" spans="2:13">
      <c r="B90" s="5" t="s">
        <v>270</v>
      </c>
      <c r="C90" s="5" t="s">
        <v>187</v>
      </c>
      <c r="D90" s="27" t="s">
        <v>194</v>
      </c>
      <c r="E90" s="28">
        <v>160</v>
      </c>
      <c r="F90" s="26">
        <v>98.528003692626996</v>
      </c>
      <c r="G90" s="3"/>
      <c r="M90" s="6"/>
    </row>
    <row r="91" spans="2:13">
      <c r="G91" s="3"/>
      <c r="M91" s="6"/>
    </row>
    <row r="92" spans="2:13" ht="14">
      <c r="B92" s="22"/>
      <c r="C92" s="23" t="s">
        <v>189</v>
      </c>
      <c r="G92" s="3"/>
      <c r="M92" s="6"/>
    </row>
    <row r="93" spans="2:13" ht="14">
      <c r="B93" s="24" t="s">
        <v>180</v>
      </c>
      <c r="C93" s="24" t="s">
        <v>181</v>
      </c>
      <c r="D93" s="24" t="s">
        <v>446</v>
      </c>
      <c r="E93" s="25" t="s">
        <v>285</v>
      </c>
      <c r="F93" s="24" t="s">
        <v>183</v>
      </c>
      <c r="G93" s="3"/>
      <c r="M93" s="6"/>
    </row>
    <row r="94" spans="2:13">
      <c r="B94" s="5" t="s">
        <v>157</v>
      </c>
      <c r="C94" s="45" t="s">
        <v>189</v>
      </c>
      <c r="D94" s="27" t="s">
        <v>194</v>
      </c>
      <c r="E94" s="28">
        <v>160</v>
      </c>
      <c r="F94" s="26">
        <v>118.55636912345901</v>
      </c>
      <c r="G94" s="3"/>
      <c r="M94" s="6"/>
    </row>
    <row r="95" spans="2:13">
      <c r="B95" s="5" t="s">
        <v>126</v>
      </c>
      <c r="C95" s="45" t="s">
        <v>189</v>
      </c>
      <c r="D95" s="27" t="s">
        <v>193</v>
      </c>
      <c r="E95" s="28">
        <v>172.5</v>
      </c>
      <c r="F95" s="26">
        <v>113.798245936632</v>
      </c>
      <c r="G95" s="5"/>
      <c r="M95" s="6"/>
    </row>
    <row r="96" spans="2:13">
      <c r="B96" s="5" t="s">
        <v>281</v>
      </c>
      <c r="C96" s="45" t="s">
        <v>189</v>
      </c>
      <c r="D96" s="27" t="s">
        <v>195</v>
      </c>
      <c r="E96" s="28">
        <v>150</v>
      </c>
      <c r="F96" s="26">
        <v>100.661040812731</v>
      </c>
    </row>
  </sheetData>
  <mergeCells count="25">
    <mergeCell ref="A5:J5"/>
    <mergeCell ref="B3:B4"/>
    <mergeCell ref="A66:J66"/>
    <mergeCell ref="A9:J9"/>
    <mergeCell ref="A13:J13"/>
    <mergeCell ref="A18:J18"/>
    <mergeCell ref="A21:J21"/>
    <mergeCell ref="A24:J24"/>
    <mergeCell ref="A28:J28"/>
    <mergeCell ref="A31:J31"/>
    <mergeCell ref="A37:J37"/>
    <mergeCell ref="A42:J42"/>
    <mergeCell ref="A50:J50"/>
    <mergeCell ref="A59:J59"/>
    <mergeCell ref="A63:J63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2"/>
  <sheetViews>
    <sheetView topLeftCell="A22" zoomScaleNormal="100" workbookViewId="0">
      <selection activeCell="E58" sqref="E58"/>
    </sheetView>
  </sheetViews>
  <sheetFormatPr baseColWidth="10" defaultColWidth="9.1640625" defaultRowHeight="13"/>
  <cols>
    <col min="1" max="1" width="7.33203125" style="5" bestFit="1" customWidth="1"/>
    <col min="2" max="2" width="21.33203125" style="5" customWidth="1"/>
    <col min="3" max="3" width="27.83203125" style="5" customWidth="1"/>
    <col min="4" max="4" width="20.83203125" style="5" bestFit="1" customWidth="1"/>
    <col min="5" max="5" width="10.1640625" style="19" bestFit="1" customWidth="1"/>
    <col min="6" max="6" width="33.5" style="5" customWidth="1"/>
    <col min="7" max="9" width="5.6640625" style="27" bestFit="1" customWidth="1"/>
    <col min="10" max="10" width="5.5" style="27" customWidth="1"/>
    <col min="11" max="11" width="10.33203125" style="6" customWidth="1"/>
    <col min="12" max="12" width="8.5" style="6" bestFit="1" customWidth="1"/>
    <col min="13" max="13" width="25.1640625" style="5" customWidth="1"/>
    <col min="14" max="16384" width="9.1640625" style="3"/>
  </cols>
  <sheetData>
    <row r="1" spans="1:13" s="2" customFormat="1" ht="29" customHeight="1">
      <c r="A1" s="77" t="s">
        <v>444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2" customFormat="1" ht="70.5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1" customFormat="1" ht="12.75" customHeight="1">
      <c r="A3" s="65" t="s">
        <v>448</v>
      </c>
      <c r="B3" s="71" t="s">
        <v>0</v>
      </c>
      <c r="C3" s="67" t="s">
        <v>453</v>
      </c>
      <c r="D3" s="67" t="s">
        <v>6</v>
      </c>
      <c r="E3" s="56" t="s">
        <v>454</v>
      </c>
      <c r="F3" s="64" t="s">
        <v>5</v>
      </c>
      <c r="G3" s="64" t="s">
        <v>9</v>
      </c>
      <c r="H3" s="64"/>
      <c r="I3" s="64"/>
      <c r="J3" s="64"/>
      <c r="K3" s="56" t="s">
        <v>288</v>
      </c>
      <c r="L3" s="56" t="s">
        <v>3</v>
      </c>
      <c r="M3" s="69" t="s">
        <v>2</v>
      </c>
    </row>
    <row r="4" spans="1:13" s="1" customFormat="1" ht="21" customHeight="1" thickBot="1">
      <c r="A4" s="66"/>
      <c r="B4" s="72"/>
      <c r="C4" s="68"/>
      <c r="D4" s="68"/>
      <c r="E4" s="57"/>
      <c r="F4" s="68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70"/>
    </row>
    <row r="5" spans="1:13" ht="16">
      <c r="A5" s="73" t="s">
        <v>316</v>
      </c>
      <c r="B5" s="73"/>
      <c r="C5" s="74"/>
      <c r="D5" s="74"/>
      <c r="E5" s="74"/>
      <c r="F5" s="74"/>
      <c r="G5" s="74"/>
      <c r="H5" s="74"/>
      <c r="I5" s="74"/>
      <c r="J5" s="74"/>
    </row>
    <row r="6" spans="1:13">
      <c r="A6" s="31" t="s">
        <v>196</v>
      </c>
      <c r="B6" s="7" t="s">
        <v>345</v>
      </c>
      <c r="C6" s="7" t="s">
        <v>406</v>
      </c>
      <c r="D6" s="7" t="s">
        <v>318</v>
      </c>
      <c r="E6" s="8" t="s">
        <v>455</v>
      </c>
      <c r="F6" s="7" t="s">
        <v>450</v>
      </c>
      <c r="G6" s="29" t="s">
        <v>55</v>
      </c>
      <c r="H6" s="29" t="s">
        <v>48</v>
      </c>
      <c r="I6" s="30" t="s">
        <v>17</v>
      </c>
      <c r="J6" s="31"/>
      <c r="K6" s="9" t="str">
        <f>"75,0"</f>
        <v>75,0</v>
      </c>
      <c r="L6" s="9" t="str">
        <f>"103,3725"</f>
        <v>103,3725</v>
      </c>
      <c r="M6" s="41" t="s">
        <v>371</v>
      </c>
    </row>
    <row r="8" spans="1:13" ht="16">
      <c r="A8" s="75" t="s">
        <v>10</v>
      </c>
      <c r="B8" s="75"/>
      <c r="C8" s="75"/>
      <c r="D8" s="75"/>
      <c r="E8" s="76"/>
      <c r="F8" s="75"/>
      <c r="G8" s="75"/>
      <c r="H8" s="75"/>
      <c r="I8" s="75"/>
      <c r="J8" s="75"/>
    </row>
    <row r="9" spans="1:13">
      <c r="A9" s="31" t="s">
        <v>196</v>
      </c>
      <c r="B9" s="7" t="s">
        <v>346</v>
      </c>
      <c r="C9" s="7" t="s">
        <v>319</v>
      </c>
      <c r="D9" s="7" t="s">
        <v>320</v>
      </c>
      <c r="E9" s="8" t="s">
        <v>457</v>
      </c>
      <c r="F9" s="7" t="s">
        <v>450</v>
      </c>
      <c r="G9" s="29" t="s">
        <v>18</v>
      </c>
      <c r="H9" s="29" t="s">
        <v>24</v>
      </c>
      <c r="I9" s="29" t="s">
        <v>107</v>
      </c>
      <c r="J9" s="31"/>
      <c r="K9" s="9" t="str">
        <f>"102,5"</f>
        <v>102,5</v>
      </c>
      <c r="L9" s="9" t="str">
        <f>"129,1192"</f>
        <v>129,1192</v>
      </c>
      <c r="M9" s="7" t="s">
        <v>371</v>
      </c>
    </row>
    <row r="11" spans="1:13" ht="16">
      <c r="A11" s="75" t="s">
        <v>20</v>
      </c>
      <c r="B11" s="75"/>
      <c r="C11" s="75"/>
      <c r="D11" s="75"/>
      <c r="E11" s="76"/>
      <c r="F11" s="75"/>
      <c r="G11" s="75"/>
      <c r="H11" s="75"/>
      <c r="I11" s="75"/>
      <c r="J11" s="75"/>
    </row>
    <row r="12" spans="1:13">
      <c r="A12" s="31" t="s">
        <v>196</v>
      </c>
      <c r="B12" s="7" t="s">
        <v>198</v>
      </c>
      <c r="C12" s="7" t="s">
        <v>38</v>
      </c>
      <c r="D12" s="7" t="s">
        <v>23</v>
      </c>
      <c r="E12" s="8" t="s">
        <v>457</v>
      </c>
      <c r="F12" s="7" t="s">
        <v>450</v>
      </c>
      <c r="G12" s="29" t="s">
        <v>19</v>
      </c>
      <c r="H12" s="29" t="s">
        <v>27</v>
      </c>
      <c r="I12" s="29" t="s">
        <v>28</v>
      </c>
      <c r="J12" s="31"/>
      <c r="K12" s="9" t="str">
        <f>"112,5"</f>
        <v>112,5</v>
      </c>
      <c r="L12" s="9" t="str">
        <f>"135,7988"</f>
        <v>135,7988</v>
      </c>
      <c r="M12" s="7" t="s">
        <v>371</v>
      </c>
    </row>
    <row r="14" spans="1:13" ht="16">
      <c r="A14" s="75" t="s">
        <v>44</v>
      </c>
      <c r="B14" s="75"/>
      <c r="C14" s="75"/>
      <c r="D14" s="75"/>
      <c r="E14" s="76"/>
      <c r="F14" s="75"/>
      <c r="G14" s="75"/>
      <c r="H14" s="75"/>
      <c r="I14" s="75"/>
      <c r="J14" s="75"/>
    </row>
    <row r="15" spans="1:13">
      <c r="A15" s="34" t="s">
        <v>196</v>
      </c>
      <c r="B15" s="10" t="s">
        <v>347</v>
      </c>
      <c r="C15" s="10" t="s">
        <v>408</v>
      </c>
      <c r="D15" s="10" t="s">
        <v>322</v>
      </c>
      <c r="E15" s="11" t="s">
        <v>455</v>
      </c>
      <c r="F15" s="10" t="s">
        <v>449</v>
      </c>
      <c r="G15" s="32" t="s">
        <v>18</v>
      </c>
      <c r="H15" s="32" t="s">
        <v>19</v>
      </c>
      <c r="I15" s="32" t="s">
        <v>27</v>
      </c>
      <c r="J15" s="34"/>
      <c r="K15" s="12" t="str">
        <f>"107,5"</f>
        <v>107,5</v>
      </c>
      <c r="L15" s="49" t="str">
        <f>"114,7670"</f>
        <v>114,7670</v>
      </c>
      <c r="M15" s="10" t="s">
        <v>376</v>
      </c>
    </row>
    <row r="16" spans="1:13">
      <c r="A16" s="37" t="s">
        <v>196</v>
      </c>
      <c r="B16" s="13" t="s">
        <v>205</v>
      </c>
      <c r="C16" s="13" t="s">
        <v>52</v>
      </c>
      <c r="D16" s="13" t="s">
        <v>53</v>
      </c>
      <c r="E16" s="14" t="s">
        <v>457</v>
      </c>
      <c r="F16" s="13" t="s">
        <v>449</v>
      </c>
      <c r="G16" s="35" t="s">
        <v>37</v>
      </c>
      <c r="H16" s="35" t="s">
        <v>56</v>
      </c>
      <c r="I16" s="36" t="s">
        <v>57</v>
      </c>
      <c r="J16" s="37"/>
      <c r="K16" s="15" t="str">
        <f>"145,0"</f>
        <v>145,0</v>
      </c>
      <c r="L16" s="48" t="str">
        <f>"152,8155"</f>
        <v>152,8155</v>
      </c>
      <c r="M16" s="13" t="s">
        <v>223</v>
      </c>
    </row>
    <row r="17" spans="1:13">
      <c r="A17" s="39" t="s">
        <v>200</v>
      </c>
      <c r="B17" s="16" t="s">
        <v>206</v>
      </c>
      <c r="C17" s="16" t="s">
        <v>59</v>
      </c>
      <c r="D17" s="16" t="s">
        <v>60</v>
      </c>
      <c r="E17" s="17" t="s">
        <v>457</v>
      </c>
      <c r="F17" s="16" t="s">
        <v>449</v>
      </c>
      <c r="G17" s="40" t="s">
        <v>41</v>
      </c>
      <c r="H17" s="40" t="s">
        <v>49</v>
      </c>
      <c r="I17" s="40" t="s">
        <v>50</v>
      </c>
      <c r="J17" s="39"/>
      <c r="K17" s="18" t="str">
        <f>"140,0"</f>
        <v>140,0</v>
      </c>
      <c r="L17" s="50" t="str">
        <f>"144,7460"</f>
        <v>144,7460</v>
      </c>
      <c r="M17" s="16" t="s">
        <v>307</v>
      </c>
    </row>
    <row r="19" spans="1:13" ht="16">
      <c r="A19" s="75" t="s">
        <v>70</v>
      </c>
      <c r="B19" s="75"/>
      <c r="C19" s="75"/>
      <c r="D19" s="75"/>
      <c r="E19" s="76"/>
      <c r="F19" s="75"/>
      <c r="G19" s="75"/>
      <c r="H19" s="75"/>
      <c r="I19" s="75"/>
      <c r="J19" s="75"/>
    </row>
    <row r="20" spans="1:13">
      <c r="A20" s="31" t="s">
        <v>196</v>
      </c>
      <c r="B20" s="7" t="s">
        <v>209</v>
      </c>
      <c r="C20" s="7" t="s">
        <v>71</v>
      </c>
      <c r="D20" s="7" t="s">
        <v>72</v>
      </c>
      <c r="E20" s="8" t="s">
        <v>457</v>
      </c>
      <c r="F20" s="7" t="s">
        <v>450</v>
      </c>
      <c r="G20" s="30" t="s">
        <v>18</v>
      </c>
      <c r="H20" s="29" t="s">
        <v>18</v>
      </c>
      <c r="I20" s="31"/>
      <c r="J20" s="31"/>
      <c r="K20" s="9" t="str">
        <f>"90,0"</f>
        <v>90,0</v>
      </c>
      <c r="L20" s="9" t="str">
        <f>"83,2410"</f>
        <v>83,2410</v>
      </c>
      <c r="M20" s="7" t="s">
        <v>371</v>
      </c>
    </row>
    <row r="22" spans="1:13" ht="16">
      <c r="A22" s="75" t="s">
        <v>323</v>
      </c>
      <c r="B22" s="75"/>
      <c r="C22" s="75"/>
      <c r="D22" s="75"/>
      <c r="E22" s="76"/>
      <c r="F22" s="75"/>
      <c r="G22" s="75"/>
      <c r="H22" s="75"/>
      <c r="I22" s="75"/>
      <c r="J22" s="75"/>
    </row>
    <row r="23" spans="1:13">
      <c r="A23" s="31" t="s">
        <v>196</v>
      </c>
      <c r="B23" s="7" t="s">
        <v>348</v>
      </c>
      <c r="C23" s="7" t="s">
        <v>407</v>
      </c>
      <c r="D23" s="7" t="s">
        <v>325</v>
      </c>
      <c r="E23" s="8" t="s">
        <v>455</v>
      </c>
      <c r="F23" s="7" t="s">
        <v>450</v>
      </c>
      <c r="G23" s="29" t="s">
        <v>18</v>
      </c>
      <c r="H23" s="29" t="s">
        <v>19</v>
      </c>
      <c r="I23" s="29" t="s">
        <v>32</v>
      </c>
      <c r="J23" s="31"/>
      <c r="K23" s="9" t="str">
        <f>"105,0"</f>
        <v>105,0</v>
      </c>
      <c r="L23" s="9" t="str">
        <f>"87,3915"</f>
        <v>87,3915</v>
      </c>
      <c r="M23" s="7" t="s">
        <v>371</v>
      </c>
    </row>
    <row r="25" spans="1:13" ht="16">
      <c r="A25" s="75" t="s">
        <v>44</v>
      </c>
      <c r="B25" s="75"/>
      <c r="C25" s="75"/>
      <c r="D25" s="75"/>
      <c r="E25" s="76"/>
      <c r="F25" s="75"/>
      <c r="G25" s="75"/>
      <c r="H25" s="75"/>
      <c r="I25" s="75"/>
      <c r="J25" s="75"/>
    </row>
    <row r="26" spans="1:13">
      <c r="A26" s="31" t="s">
        <v>196</v>
      </c>
      <c r="B26" s="7" t="s">
        <v>212</v>
      </c>
      <c r="C26" s="7" t="s">
        <v>81</v>
      </c>
      <c r="D26" s="7" t="s">
        <v>82</v>
      </c>
      <c r="E26" s="8" t="s">
        <v>456</v>
      </c>
      <c r="F26" s="7" t="s">
        <v>449</v>
      </c>
      <c r="G26" s="29" t="s">
        <v>84</v>
      </c>
      <c r="H26" s="29" t="s">
        <v>85</v>
      </c>
      <c r="I26" s="30" t="s">
        <v>86</v>
      </c>
      <c r="J26" s="31"/>
      <c r="K26" s="9" t="str">
        <f>"162,5"</f>
        <v>162,5</v>
      </c>
      <c r="L26" s="9" t="str">
        <f>"126,8150"</f>
        <v>126,8150</v>
      </c>
      <c r="M26" s="7" t="s">
        <v>235</v>
      </c>
    </row>
    <row r="28" spans="1:13" ht="16">
      <c r="A28" s="75" t="s">
        <v>61</v>
      </c>
      <c r="B28" s="75"/>
      <c r="C28" s="75"/>
      <c r="D28" s="75"/>
      <c r="E28" s="76"/>
      <c r="F28" s="75"/>
      <c r="G28" s="75"/>
      <c r="H28" s="75"/>
      <c r="I28" s="75"/>
      <c r="J28" s="75"/>
    </row>
    <row r="29" spans="1:13">
      <c r="A29" s="31" t="s">
        <v>196</v>
      </c>
      <c r="B29" s="7" t="s">
        <v>217</v>
      </c>
      <c r="C29" s="7" t="s">
        <v>98</v>
      </c>
      <c r="D29" s="7" t="s">
        <v>99</v>
      </c>
      <c r="E29" s="8" t="s">
        <v>457</v>
      </c>
      <c r="F29" s="7" t="s">
        <v>449</v>
      </c>
      <c r="G29" s="29" t="s">
        <v>101</v>
      </c>
      <c r="H29" s="30" t="s">
        <v>102</v>
      </c>
      <c r="I29" s="30" t="s">
        <v>103</v>
      </c>
      <c r="J29" s="31"/>
      <c r="K29" s="9" t="str">
        <f>"225,0"</f>
        <v>225,0</v>
      </c>
      <c r="L29" s="9" t="str">
        <f>"160,7850"</f>
        <v>160,7850</v>
      </c>
      <c r="M29" s="7"/>
    </row>
    <row r="31" spans="1:13" ht="16">
      <c r="A31" s="75" t="s">
        <v>70</v>
      </c>
      <c r="B31" s="75"/>
      <c r="C31" s="75"/>
      <c r="D31" s="75"/>
      <c r="E31" s="76"/>
      <c r="F31" s="75"/>
      <c r="G31" s="75"/>
      <c r="H31" s="75"/>
      <c r="I31" s="75"/>
      <c r="J31" s="75"/>
    </row>
    <row r="32" spans="1:13">
      <c r="A32" s="34" t="s">
        <v>196</v>
      </c>
      <c r="B32" s="10" t="s">
        <v>218</v>
      </c>
      <c r="C32" s="10" t="s">
        <v>104</v>
      </c>
      <c r="D32" s="10" t="s">
        <v>105</v>
      </c>
      <c r="E32" s="11" t="s">
        <v>457</v>
      </c>
      <c r="F32" s="10" t="s">
        <v>449</v>
      </c>
      <c r="G32" s="33" t="s">
        <v>108</v>
      </c>
      <c r="H32" s="33" t="s">
        <v>108</v>
      </c>
      <c r="I32" s="32" t="s">
        <v>108</v>
      </c>
      <c r="J32" s="34"/>
      <c r="K32" s="12" t="str">
        <f>"227,5"</f>
        <v>227,5</v>
      </c>
      <c r="L32" s="49" t="str">
        <f>"152,5160"</f>
        <v>152,5160</v>
      </c>
      <c r="M32" s="10" t="s">
        <v>235</v>
      </c>
    </row>
    <row r="33" spans="1:13">
      <c r="A33" s="39" t="s">
        <v>196</v>
      </c>
      <c r="B33" s="16" t="s">
        <v>349</v>
      </c>
      <c r="C33" s="16" t="s">
        <v>403</v>
      </c>
      <c r="D33" s="16" t="s">
        <v>327</v>
      </c>
      <c r="E33" s="17" t="s">
        <v>458</v>
      </c>
      <c r="F33" s="16" t="s">
        <v>450</v>
      </c>
      <c r="G33" s="40" t="s">
        <v>37</v>
      </c>
      <c r="H33" s="40" t="s">
        <v>56</v>
      </c>
      <c r="I33" s="40" t="s">
        <v>84</v>
      </c>
      <c r="J33" s="39"/>
      <c r="K33" s="18" t="str">
        <f>"150,0"</f>
        <v>150,0</v>
      </c>
      <c r="L33" s="50" t="str">
        <f>"184,5207"</f>
        <v>184,5207</v>
      </c>
      <c r="M33" s="16" t="s">
        <v>371</v>
      </c>
    </row>
    <row r="35" spans="1:13" ht="16">
      <c r="A35" s="75" t="s">
        <v>109</v>
      </c>
      <c r="B35" s="75"/>
      <c r="C35" s="75"/>
      <c r="D35" s="75"/>
      <c r="E35" s="76"/>
      <c r="F35" s="75"/>
      <c r="G35" s="75"/>
      <c r="H35" s="75"/>
      <c r="I35" s="75"/>
      <c r="J35" s="75"/>
    </row>
    <row r="36" spans="1:13">
      <c r="A36" s="34" t="s">
        <v>196</v>
      </c>
      <c r="B36" s="10" t="s">
        <v>350</v>
      </c>
      <c r="C36" s="10" t="s">
        <v>405</v>
      </c>
      <c r="D36" s="10" t="s">
        <v>328</v>
      </c>
      <c r="E36" s="11" t="s">
        <v>455</v>
      </c>
      <c r="F36" s="10" t="s">
        <v>450</v>
      </c>
      <c r="G36" s="32" t="s">
        <v>19</v>
      </c>
      <c r="H36" s="32" t="s">
        <v>41</v>
      </c>
      <c r="I36" s="32" t="s">
        <v>49</v>
      </c>
      <c r="J36" s="34"/>
      <c r="K36" s="12" t="str">
        <f>"130,0"</f>
        <v>130,0</v>
      </c>
      <c r="L36" s="49" t="str">
        <f>"83,7720"</f>
        <v>83,7720</v>
      </c>
      <c r="M36" s="10" t="s">
        <v>371</v>
      </c>
    </row>
    <row r="37" spans="1:13">
      <c r="A37" s="39" t="s">
        <v>196</v>
      </c>
      <c r="B37" s="16" t="s">
        <v>222</v>
      </c>
      <c r="C37" s="16" t="s">
        <v>364</v>
      </c>
      <c r="D37" s="16" t="s">
        <v>128</v>
      </c>
      <c r="E37" s="17" t="s">
        <v>458</v>
      </c>
      <c r="F37" s="16" t="s">
        <v>449</v>
      </c>
      <c r="G37" s="40" t="s">
        <v>132</v>
      </c>
      <c r="H37" s="38" t="s">
        <v>133</v>
      </c>
      <c r="I37" s="40" t="s">
        <v>133</v>
      </c>
      <c r="J37" s="39"/>
      <c r="K37" s="18" t="str">
        <f>"292,5"</f>
        <v>292,5</v>
      </c>
      <c r="L37" s="50" t="str">
        <f>"192,9622"</f>
        <v>192,9622</v>
      </c>
      <c r="M37" s="16"/>
    </row>
    <row r="39" spans="1:13" ht="16">
      <c r="A39" s="75" t="s">
        <v>141</v>
      </c>
      <c r="B39" s="75"/>
      <c r="C39" s="75"/>
      <c r="D39" s="75"/>
      <c r="E39" s="76"/>
      <c r="F39" s="75"/>
      <c r="G39" s="75"/>
      <c r="H39" s="75"/>
      <c r="I39" s="75"/>
      <c r="J39" s="75"/>
    </row>
    <row r="40" spans="1:13">
      <c r="A40" s="34" t="s">
        <v>196</v>
      </c>
      <c r="B40" s="10" t="s">
        <v>351</v>
      </c>
      <c r="C40" s="10" t="s">
        <v>330</v>
      </c>
      <c r="D40" s="10" t="s">
        <v>331</v>
      </c>
      <c r="E40" s="11" t="s">
        <v>456</v>
      </c>
      <c r="F40" s="10" t="s">
        <v>449</v>
      </c>
      <c r="G40" s="32" t="s">
        <v>137</v>
      </c>
      <c r="H40" s="32" t="s">
        <v>103</v>
      </c>
      <c r="I40" s="33" t="s">
        <v>332</v>
      </c>
      <c r="J40" s="34"/>
      <c r="K40" s="12" t="str">
        <f>"240,0"</f>
        <v>240,0</v>
      </c>
      <c r="L40" s="49" t="str">
        <f>"146,0640"</f>
        <v>146,0640</v>
      </c>
      <c r="M40" s="10" t="s">
        <v>223</v>
      </c>
    </row>
    <row r="41" spans="1:13">
      <c r="A41" s="37" t="s">
        <v>200</v>
      </c>
      <c r="B41" s="13" t="s">
        <v>226</v>
      </c>
      <c r="C41" s="13" t="s">
        <v>143</v>
      </c>
      <c r="D41" s="13" t="s">
        <v>144</v>
      </c>
      <c r="E41" s="14" t="s">
        <v>456</v>
      </c>
      <c r="F41" s="13" t="s">
        <v>450</v>
      </c>
      <c r="G41" s="35" t="s">
        <v>115</v>
      </c>
      <c r="H41" s="35" t="s">
        <v>129</v>
      </c>
      <c r="I41" s="35" t="s">
        <v>91</v>
      </c>
      <c r="J41" s="37"/>
      <c r="K41" s="15" t="str">
        <f>"210,0"</f>
        <v>210,0</v>
      </c>
      <c r="L41" s="48" t="str">
        <f>"128,4360"</f>
        <v>128,4360</v>
      </c>
      <c r="M41" s="13" t="s">
        <v>396</v>
      </c>
    </row>
    <row r="42" spans="1:13">
      <c r="A42" s="37" t="s">
        <v>201</v>
      </c>
      <c r="B42" s="13" t="s">
        <v>227</v>
      </c>
      <c r="C42" s="13" t="s">
        <v>146</v>
      </c>
      <c r="D42" s="13" t="s">
        <v>147</v>
      </c>
      <c r="E42" s="14" t="s">
        <v>456</v>
      </c>
      <c r="F42" s="13" t="s">
        <v>450</v>
      </c>
      <c r="G42" s="35" t="s">
        <v>89</v>
      </c>
      <c r="H42" s="35" t="s">
        <v>90</v>
      </c>
      <c r="I42" s="35" t="s">
        <v>129</v>
      </c>
      <c r="J42" s="37"/>
      <c r="K42" s="15" t="str">
        <f>"205,0"</f>
        <v>205,0</v>
      </c>
      <c r="L42" s="48" t="str">
        <f>"125,6445"</f>
        <v>125,6445</v>
      </c>
      <c r="M42" s="13" t="s">
        <v>396</v>
      </c>
    </row>
    <row r="43" spans="1:13">
      <c r="A43" s="37" t="s">
        <v>196</v>
      </c>
      <c r="B43" s="13" t="s">
        <v>352</v>
      </c>
      <c r="C43" s="13" t="s">
        <v>170</v>
      </c>
      <c r="D43" s="13" t="s">
        <v>334</v>
      </c>
      <c r="E43" s="14" t="s">
        <v>457</v>
      </c>
      <c r="F43" s="13" t="s">
        <v>449</v>
      </c>
      <c r="G43" s="35" t="s">
        <v>332</v>
      </c>
      <c r="H43" s="35" t="s">
        <v>335</v>
      </c>
      <c r="I43" s="36" t="s">
        <v>132</v>
      </c>
      <c r="J43" s="37"/>
      <c r="K43" s="15" t="str">
        <f>"267,5"</f>
        <v>267,5</v>
      </c>
      <c r="L43" s="48" t="str">
        <f>"162,8540"</f>
        <v>162,8540</v>
      </c>
      <c r="M43" s="13" t="s">
        <v>235</v>
      </c>
    </row>
    <row r="44" spans="1:13">
      <c r="A44" s="37" t="s">
        <v>200</v>
      </c>
      <c r="B44" s="13" t="s">
        <v>351</v>
      </c>
      <c r="C44" s="13" t="s">
        <v>336</v>
      </c>
      <c r="D44" s="13" t="s">
        <v>331</v>
      </c>
      <c r="E44" s="14" t="s">
        <v>457</v>
      </c>
      <c r="F44" s="13" t="s">
        <v>449</v>
      </c>
      <c r="G44" s="35" t="s">
        <v>137</v>
      </c>
      <c r="H44" s="35" t="s">
        <v>103</v>
      </c>
      <c r="I44" s="36" t="s">
        <v>332</v>
      </c>
      <c r="J44" s="37"/>
      <c r="K44" s="15" t="str">
        <f>"240,0"</f>
        <v>240,0</v>
      </c>
      <c r="L44" s="48" t="str">
        <f>"146,0640"</f>
        <v>146,0640</v>
      </c>
      <c r="M44" s="13" t="s">
        <v>223</v>
      </c>
    </row>
    <row r="45" spans="1:13">
      <c r="A45" s="37" t="s">
        <v>201</v>
      </c>
      <c r="B45" s="13" t="s">
        <v>230</v>
      </c>
      <c r="C45" s="13" t="s">
        <v>153</v>
      </c>
      <c r="D45" s="13" t="s">
        <v>154</v>
      </c>
      <c r="E45" s="14" t="s">
        <v>457</v>
      </c>
      <c r="F45" s="13" t="s">
        <v>450</v>
      </c>
      <c r="G45" s="35" t="s">
        <v>137</v>
      </c>
      <c r="H45" s="35" t="s">
        <v>140</v>
      </c>
      <c r="I45" s="35" t="s">
        <v>102</v>
      </c>
      <c r="J45" s="37"/>
      <c r="K45" s="15" t="str">
        <f>"235,0"</f>
        <v>235,0</v>
      </c>
      <c r="L45" s="48" t="str">
        <f>"143,1855"</f>
        <v>143,1855</v>
      </c>
      <c r="M45" s="13" t="s">
        <v>371</v>
      </c>
    </row>
    <row r="46" spans="1:13">
      <c r="A46" s="37" t="s">
        <v>224</v>
      </c>
      <c r="B46" s="13" t="s">
        <v>353</v>
      </c>
      <c r="C46" s="13" t="s">
        <v>337</v>
      </c>
      <c r="D46" s="13" t="s">
        <v>274</v>
      </c>
      <c r="E46" s="14" t="s">
        <v>457</v>
      </c>
      <c r="F46" s="13" t="s">
        <v>450</v>
      </c>
      <c r="G46" s="35" t="s">
        <v>114</v>
      </c>
      <c r="H46" s="35" t="s">
        <v>115</v>
      </c>
      <c r="I46" s="36" t="s">
        <v>129</v>
      </c>
      <c r="J46" s="37"/>
      <c r="K46" s="15" t="str">
        <f>"200,0"</f>
        <v>200,0</v>
      </c>
      <c r="L46" s="48" t="str">
        <f>"123,4800"</f>
        <v>123,4800</v>
      </c>
      <c r="M46" s="13" t="s">
        <v>371</v>
      </c>
    </row>
    <row r="47" spans="1:13">
      <c r="A47" s="37" t="s">
        <v>310</v>
      </c>
      <c r="B47" s="13" t="s">
        <v>231</v>
      </c>
      <c r="C47" s="13" t="s">
        <v>155</v>
      </c>
      <c r="D47" s="13" t="s">
        <v>156</v>
      </c>
      <c r="E47" s="14" t="s">
        <v>457</v>
      </c>
      <c r="F47" s="13" t="s">
        <v>449</v>
      </c>
      <c r="G47" s="35" t="s">
        <v>84</v>
      </c>
      <c r="H47" s="36" t="s">
        <v>57</v>
      </c>
      <c r="I47" s="36" t="s">
        <v>57</v>
      </c>
      <c r="J47" s="37"/>
      <c r="K47" s="15" t="str">
        <f>"150,0"</f>
        <v>150,0</v>
      </c>
      <c r="L47" s="48" t="str">
        <f>"91,8900"</f>
        <v>91,8900</v>
      </c>
      <c r="M47" s="13" t="s">
        <v>398</v>
      </c>
    </row>
    <row r="48" spans="1:13">
      <c r="A48" s="37" t="s">
        <v>196</v>
      </c>
      <c r="B48" s="13" t="s">
        <v>232</v>
      </c>
      <c r="C48" s="13" t="s">
        <v>365</v>
      </c>
      <c r="D48" s="13" t="s">
        <v>158</v>
      </c>
      <c r="E48" s="14" t="s">
        <v>458</v>
      </c>
      <c r="F48" s="13" t="s">
        <v>450</v>
      </c>
      <c r="G48" s="35" t="s">
        <v>91</v>
      </c>
      <c r="H48" s="35" t="s">
        <v>101</v>
      </c>
      <c r="I48" s="35" t="s">
        <v>102</v>
      </c>
      <c r="J48" s="37"/>
      <c r="K48" s="15" t="str">
        <f>"235,0"</f>
        <v>235,0</v>
      </c>
      <c r="L48" s="48" t="str">
        <f>"174,1297"</f>
        <v>174,1297</v>
      </c>
      <c r="M48" s="13" t="s">
        <v>371</v>
      </c>
    </row>
    <row r="49" spans="1:13">
      <c r="A49" s="37" t="s">
        <v>200</v>
      </c>
      <c r="B49" s="13" t="s">
        <v>354</v>
      </c>
      <c r="C49" s="13" t="s">
        <v>399</v>
      </c>
      <c r="D49" s="13" t="s">
        <v>278</v>
      </c>
      <c r="E49" s="14" t="s">
        <v>458</v>
      </c>
      <c r="F49" s="13" t="s">
        <v>450</v>
      </c>
      <c r="G49" s="35" t="s">
        <v>67</v>
      </c>
      <c r="H49" s="36" t="s">
        <v>86</v>
      </c>
      <c r="I49" s="36" t="s">
        <v>86</v>
      </c>
      <c r="J49" s="37"/>
      <c r="K49" s="15" t="str">
        <f>"160,0"</f>
        <v>160,0</v>
      </c>
      <c r="L49" s="48" t="str">
        <f>"122,6800"</f>
        <v>122,6800</v>
      </c>
      <c r="M49" s="13" t="s">
        <v>371</v>
      </c>
    </row>
    <row r="50" spans="1:13">
      <c r="A50" s="39" t="s">
        <v>201</v>
      </c>
      <c r="B50" s="16" t="s">
        <v>355</v>
      </c>
      <c r="C50" s="16" t="s">
        <v>400</v>
      </c>
      <c r="D50" s="16" t="s">
        <v>338</v>
      </c>
      <c r="E50" s="17" t="s">
        <v>458</v>
      </c>
      <c r="F50" s="16" t="s">
        <v>450</v>
      </c>
      <c r="G50" s="40" t="s">
        <v>36</v>
      </c>
      <c r="H50" s="40" t="s">
        <v>37</v>
      </c>
      <c r="I50" s="40" t="s">
        <v>50</v>
      </c>
      <c r="J50" s="39"/>
      <c r="K50" s="18" t="str">
        <f>"140,0"</f>
        <v>140,0</v>
      </c>
      <c r="L50" s="50" t="str">
        <f>"165,9748"</f>
        <v>165,9748</v>
      </c>
      <c r="M50" s="16" t="s">
        <v>371</v>
      </c>
    </row>
    <row r="52" spans="1:13" ht="16">
      <c r="A52" s="75" t="s">
        <v>159</v>
      </c>
      <c r="B52" s="75"/>
      <c r="C52" s="75"/>
      <c r="D52" s="75"/>
      <c r="E52" s="76"/>
      <c r="F52" s="75"/>
      <c r="G52" s="75"/>
      <c r="H52" s="75"/>
      <c r="I52" s="75"/>
      <c r="J52" s="75"/>
    </row>
    <row r="53" spans="1:13">
      <c r="A53" s="34" t="s">
        <v>196</v>
      </c>
      <c r="B53" s="10" t="s">
        <v>356</v>
      </c>
      <c r="C53" s="10" t="s">
        <v>401</v>
      </c>
      <c r="D53" s="10" t="s">
        <v>339</v>
      </c>
      <c r="E53" s="11" t="s">
        <v>458</v>
      </c>
      <c r="F53" s="10" t="s">
        <v>449</v>
      </c>
      <c r="G53" s="32" t="s">
        <v>137</v>
      </c>
      <c r="H53" s="32" t="s">
        <v>102</v>
      </c>
      <c r="I53" s="32" t="s">
        <v>340</v>
      </c>
      <c r="J53" s="34"/>
      <c r="K53" s="12" t="str">
        <f>"247,5"</f>
        <v>247,5</v>
      </c>
      <c r="L53" s="49" t="str">
        <f>"146,3715"</f>
        <v>146,3715</v>
      </c>
      <c r="M53" s="10" t="s">
        <v>397</v>
      </c>
    </row>
    <row r="54" spans="1:13">
      <c r="A54" s="39" t="s">
        <v>200</v>
      </c>
      <c r="B54" s="16" t="s">
        <v>357</v>
      </c>
      <c r="C54" s="16" t="s">
        <v>402</v>
      </c>
      <c r="D54" s="16" t="s">
        <v>341</v>
      </c>
      <c r="E54" s="17" t="s">
        <v>458</v>
      </c>
      <c r="F54" s="16" t="s">
        <v>449</v>
      </c>
      <c r="G54" s="40" t="s">
        <v>90</v>
      </c>
      <c r="H54" s="40" t="s">
        <v>129</v>
      </c>
      <c r="I54" s="40" t="s">
        <v>91</v>
      </c>
      <c r="J54" s="39"/>
      <c r="K54" s="18" t="str">
        <f>"210,0"</f>
        <v>210,0</v>
      </c>
      <c r="L54" s="50" t="str">
        <f>"149,4623"</f>
        <v>149,4623</v>
      </c>
      <c r="M54" s="16"/>
    </row>
    <row r="56" spans="1:13" ht="16">
      <c r="A56" s="75" t="s">
        <v>168</v>
      </c>
      <c r="B56" s="75"/>
      <c r="C56" s="75"/>
      <c r="D56" s="75"/>
      <c r="E56" s="76"/>
      <c r="F56" s="75"/>
      <c r="G56" s="75"/>
      <c r="H56" s="75"/>
      <c r="I56" s="75"/>
      <c r="J56" s="75"/>
    </row>
    <row r="57" spans="1:13">
      <c r="A57" s="31" t="s">
        <v>196</v>
      </c>
      <c r="B57" s="7" t="s">
        <v>235</v>
      </c>
      <c r="C57" s="7" t="s">
        <v>170</v>
      </c>
      <c r="D57" s="7" t="s">
        <v>171</v>
      </c>
      <c r="E57" s="8" t="s">
        <v>457</v>
      </c>
      <c r="F57" s="7" t="s">
        <v>449</v>
      </c>
      <c r="G57" s="29" t="s">
        <v>123</v>
      </c>
      <c r="H57" s="29" t="s">
        <v>124</v>
      </c>
      <c r="I57" s="29" t="s">
        <v>132</v>
      </c>
      <c r="J57" s="31"/>
      <c r="K57" s="9" t="str">
        <f>"280,0"</f>
        <v>280,0</v>
      </c>
      <c r="L57" s="9" t="str">
        <f>"163,3240"</f>
        <v>163,3240</v>
      </c>
      <c r="M57" s="7"/>
    </row>
    <row r="59" spans="1:13">
      <c r="G59" s="5"/>
      <c r="K59" s="27"/>
      <c r="M59" s="6"/>
    </row>
    <row r="60" spans="1:13">
      <c r="K60" s="27"/>
      <c r="M60" s="6"/>
    </row>
    <row r="61" spans="1:13" ht="18">
      <c r="B61" s="20" t="s">
        <v>177</v>
      </c>
      <c r="C61" s="20"/>
      <c r="K61" s="27"/>
      <c r="M61" s="6"/>
    </row>
    <row r="62" spans="1:13" ht="16">
      <c r="B62" s="21" t="s">
        <v>178</v>
      </c>
      <c r="C62" s="21"/>
      <c r="K62" s="27"/>
      <c r="M62" s="6"/>
    </row>
    <row r="63" spans="1:13" ht="14">
      <c r="B63" s="22"/>
      <c r="C63" s="23" t="s">
        <v>179</v>
      </c>
      <c r="K63" s="27"/>
      <c r="M63" s="6"/>
    </row>
    <row r="64" spans="1:13" ht="14">
      <c r="B64" s="24" t="s">
        <v>180</v>
      </c>
      <c r="C64" s="24" t="s">
        <v>181</v>
      </c>
      <c r="D64" s="24" t="s">
        <v>446</v>
      </c>
      <c r="E64" s="25" t="s">
        <v>285</v>
      </c>
      <c r="F64" s="24" t="s">
        <v>183</v>
      </c>
      <c r="K64" s="27"/>
      <c r="M64" s="6"/>
    </row>
    <row r="65" spans="2:13">
      <c r="B65" s="5" t="s">
        <v>321</v>
      </c>
      <c r="C65" s="5" t="s">
        <v>179</v>
      </c>
      <c r="D65" s="27" t="s">
        <v>188</v>
      </c>
      <c r="E65" s="28">
        <v>107.5</v>
      </c>
      <c r="F65" s="26">
        <v>114.76700127124801</v>
      </c>
      <c r="K65" s="27"/>
      <c r="M65" s="6"/>
    </row>
    <row r="66" spans="2:13">
      <c r="B66" s="5" t="s">
        <v>317</v>
      </c>
      <c r="C66" s="5" t="s">
        <v>179</v>
      </c>
      <c r="D66" s="27" t="s">
        <v>342</v>
      </c>
      <c r="E66" s="28">
        <v>75</v>
      </c>
      <c r="F66" s="26">
        <v>103.372496366501</v>
      </c>
      <c r="K66" s="27"/>
      <c r="M66" s="6"/>
    </row>
    <row r="67" spans="2:13">
      <c r="B67" s="5" t="s">
        <v>324</v>
      </c>
      <c r="C67" s="5" t="s">
        <v>179</v>
      </c>
      <c r="D67" s="27" t="s">
        <v>343</v>
      </c>
      <c r="E67" s="28">
        <v>105</v>
      </c>
      <c r="F67" s="26">
        <v>87.391500771045699</v>
      </c>
      <c r="K67" s="27"/>
      <c r="M67" s="6"/>
    </row>
    <row r="68" spans="2:13">
      <c r="K68" s="27"/>
      <c r="M68" s="6"/>
    </row>
    <row r="69" spans="2:13" ht="14">
      <c r="B69" s="22"/>
      <c r="C69" s="23" t="s">
        <v>187</v>
      </c>
      <c r="K69" s="27"/>
      <c r="M69" s="6"/>
    </row>
    <row r="70" spans="2:13" ht="14">
      <c r="B70" s="24" t="s">
        <v>180</v>
      </c>
      <c r="C70" s="24" t="s">
        <v>181</v>
      </c>
      <c r="D70" s="24" t="s">
        <v>446</v>
      </c>
      <c r="E70" s="25" t="s">
        <v>285</v>
      </c>
      <c r="F70" s="24" t="s">
        <v>183</v>
      </c>
      <c r="K70" s="27"/>
      <c r="M70" s="6"/>
    </row>
    <row r="71" spans="2:13">
      <c r="B71" s="5" t="s">
        <v>51</v>
      </c>
      <c r="C71" s="5" t="s">
        <v>187</v>
      </c>
      <c r="D71" s="27" t="s">
        <v>188</v>
      </c>
      <c r="E71" s="28">
        <v>145</v>
      </c>
      <c r="F71" s="26">
        <v>152.81550049781799</v>
      </c>
      <c r="K71" s="27"/>
      <c r="M71" s="6"/>
    </row>
    <row r="72" spans="2:13">
      <c r="B72" s="5" t="s">
        <v>58</v>
      </c>
      <c r="C72" s="5" t="s">
        <v>187</v>
      </c>
      <c r="D72" s="27" t="s">
        <v>188</v>
      </c>
      <c r="E72" s="28">
        <v>140</v>
      </c>
      <c r="F72" s="26">
        <v>144.74600315094</v>
      </c>
      <c r="K72" s="27"/>
      <c r="M72" s="6"/>
    </row>
    <row r="73" spans="2:13">
      <c r="B73" s="5" t="s">
        <v>21</v>
      </c>
      <c r="C73" s="5" t="s">
        <v>187</v>
      </c>
      <c r="D73" s="27" t="s">
        <v>186</v>
      </c>
      <c r="E73" s="28">
        <v>112.5</v>
      </c>
      <c r="F73" s="26">
        <v>135.79875379800799</v>
      </c>
      <c r="K73" s="27"/>
      <c r="M73" s="6"/>
    </row>
    <row r="74" spans="2:13">
      <c r="K74" s="27"/>
      <c r="M74" s="6"/>
    </row>
    <row r="75" spans="2:13" ht="16">
      <c r="B75" s="21" t="s">
        <v>190</v>
      </c>
      <c r="C75" s="21"/>
      <c r="K75" s="27"/>
      <c r="M75" s="6"/>
    </row>
    <row r="76" spans="2:13" ht="14">
      <c r="B76" s="22"/>
      <c r="C76" s="23" t="s">
        <v>185</v>
      </c>
      <c r="K76" s="27"/>
      <c r="M76" s="6"/>
    </row>
    <row r="77" spans="2:13" ht="14">
      <c r="B77" s="24" t="s">
        <v>180</v>
      </c>
      <c r="C77" s="24" t="s">
        <v>181</v>
      </c>
      <c r="D77" s="24" t="s">
        <v>446</v>
      </c>
      <c r="E77" s="25" t="s">
        <v>285</v>
      </c>
      <c r="F77" s="24" t="s">
        <v>183</v>
      </c>
      <c r="K77" s="27"/>
      <c r="M77" s="6"/>
    </row>
    <row r="78" spans="2:13">
      <c r="B78" s="5" t="s">
        <v>329</v>
      </c>
      <c r="C78" s="5" t="s">
        <v>185</v>
      </c>
      <c r="D78" s="27" t="s">
        <v>194</v>
      </c>
      <c r="E78" s="28">
        <v>240</v>
      </c>
      <c r="F78" s="26">
        <v>146.064004898071</v>
      </c>
      <c r="K78" s="27"/>
      <c r="M78" s="6"/>
    </row>
    <row r="79" spans="2:13">
      <c r="B79" s="5" t="s">
        <v>142</v>
      </c>
      <c r="C79" s="5" t="s">
        <v>185</v>
      </c>
      <c r="D79" s="27" t="s">
        <v>194</v>
      </c>
      <c r="E79" s="28">
        <v>210</v>
      </c>
      <c r="F79" s="26">
        <v>128.435996174812</v>
      </c>
      <c r="K79" s="27"/>
      <c r="M79" s="6"/>
    </row>
    <row r="80" spans="2:13">
      <c r="B80" s="5" t="s">
        <v>80</v>
      </c>
      <c r="C80" s="5" t="s">
        <v>185</v>
      </c>
      <c r="D80" s="27" t="s">
        <v>188</v>
      </c>
      <c r="E80" s="28">
        <v>162.5</v>
      </c>
      <c r="F80" s="26">
        <v>126.814996451139</v>
      </c>
      <c r="K80" s="27"/>
      <c r="M80" s="6"/>
    </row>
    <row r="81" spans="2:13">
      <c r="K81" s="27"/>
      <c r="M81" s="6"/>
    </row>
    <row r="82" spans="2:13" ht="14">
      <c r="B82" s="22"/>
      <c r="C82" s="23" t="s">
        <v>187</v>
      </c>
      <c r="K82" s="27"/>
      <c r="M82" s="6"/>
    </row>
    <row r="83" spans="2:13" ht="14">
      <c r="B83" s="24" t="s">
        <v>180</v>
      </c>
      <c r="C83" s="24" t="s">
        <v>181</v>
      </c>
      <c r="D83" s="24" t="s">
        <v>446</v>
      </c>
      <c r="E83" s="25" t="s">
        <v>285</v>
      </c>
      <c r="F83" s="24" t="s">
        <v>183</v>
      </c>
      <c r="K83" s="27"/>
      <c r="M83" s="6"/>
    </row>
    <row r="84" spans="2:13">
      <c r="B84" s="5" t="s">
        <v>169</v>
      </c>
      <c r="C84" s="5" t="s">
        <v>187</v>
      </c>
      <c r="D84" s="27" t="s">
        <v>344</v>
      </c>
      <c r="E84" s="28">
        <v>280</v>
      </c>
      <c r="F84" s="26">
        <v>163.323998451233</v>
      </c>
      <c r="K84" s="27"/>
      <c r="M84" s="6"/>
    </row>
    <row r="85" spans="2:13">
      <c r="B85" s="5" t="s">
        <v>333</v>
      </c>
      <c r="C85" s="5" t="s">
        <v>187</v>
      </c>
      <c r="D85" s="27" t="s">
        <v>194</v>
      </c>
      <c r="E85" s="28">
        <v>267.5</v>
      </c>
      <c r="F85" s="26">
        <v>162.85399839281999</v>
      </c>
      <c r="K85" s="27"/>
      <c r="M85" s="6"/>
    </row>
    <row r="86" spans="2:13">
      <c r="B86" s="5" t="s">
        <v>97</v>
      </c>
      <c r="C86" s="5" t="s">
        <v>187</v>
      </c>
      <c r="D86" s="27" t="s">
        <v>192</v>
      </c>
      <c r="E86" s="28">
        <v>225</v>
      </c>
      <c r="F86" s="26">
        <v>160.785005986691</v>
      </c>
      <c r="K86" s="27"/>
      <c r="M86" s="6"/>
    </row>
    <row r="87" spans="2:13">
      <c r="K87" s="27"/>
      <c r="M87" s="6"/>
    </row>
    <row r="88" spans="2:13" ht="14">
      <c r="B88" s="22"/>
      <c r="C88" s="23" t="s">
        <v>189</v>
      </c>
      <c r="K88" s="27"/>
      <c r="M88" s="6"/>
    </row>
    <row r="89" spans="2:13" ht="14">
      <c r="B89" s="24" t="s">
        <v>180</v>
      </c>
      <c r="C89" s="24" t="s">
        <v>181</v>
      </c>
      <c r="D89" s="24" t="s">
        <v>446</v>
      </c>
      <c r="E89" s="25" t="s">
        <v>285</v>
      </c>
      <c r="F89" s="24" t="s">
        <v>183</v>
      </c>
      <c r="K89" s="27"/>
      <c r="M89" s="6"/>
    </row>
    <row r="90" spans="2:13">
      <c r="B90" s="5" t="s">
        <v>126</v>
      </c>
      <c r="C90" s="5" t="s">
        <v>404</v>
      </c>
      <c r="D90" s="27" t="s">
        <v>193</v>
      </c>
      <c r="E90" s="28">
        <v>292.5</v>
      </c>
      <c r="F90" s="26">
        <v>192.962243109941</v>
      </c>
      <c r="K90" s="27"/>
      <c r="M90" s="6"/>
    </row>
    <row r="91" spans="2:13">
      <c r="B91" s="5" t="s">
        <v>326</v>
      </c>
      <c r="C91" s="5" t="s">
        <v>404</v>
      </c>
      <c r="D91" s="27" t="s">
        <v>286</v>
      </c>
      <c r="E91" s="28">
        <v>150</v>
      </c>
      <c r="F91" s="26">
        <v>184.520695209503</v>
      </c>
      <c r="K91" s="27"/>
      <c r="M91" s="6"/>
    </row>
    <row r="92" spans="2:13">
      <c r="B92" s="5" t="s">
        <v>157</v>
      </c>
      <c r="C92" s="5" t="s">
        <v>404</v>
      </c>
      <c r="D92" s="27" t="s">
        <v>194</v>
      </c>
      <c r="E92" s="28">
        <v>235</v>
      </c>
      <c r="F92" s="26">
        <v>174.12966715008</v>
      </c>
      <c r="K92" s="27"/>
      <c r="M92" s="6"/>
    </row>
  </sheetData>
  <mergeCells count="24">
    <mergeCell ref="A5:J5"/>
    <mergeCell ref="B3:B4"/>
    <mergeCell ref="A56:J56"/>
    <mergeCell ref="A8:J8"/>
    <mergeCell ref="A11:J11"/>
    <mergeCell ref="A14:J14"/>
    <mergeCell ref="A19:J19"/>
    <mergeCell ref="A22:J22"/>
    <mergeCell ref="A25:J25"/>
    <mergeCell ref="A28:J28"/>
    <mergeCell ref="A31:J31"/>
    <mergeCell ref="A35:J35"/>
    <mergeCell ref="A39:J39"/>
    <mergeCell ref="A52:J52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"/>
  <sheetViews>
    <sheetView tabSelected="1" zoomScaleNormal="100" workbookViewId="0">
      <selection activeCell="E29" sqref="E29"/>
    </sheetView>
  </sheetViews>
  <sheetFormatPr baseColWidth="10" defaultColWidth="8.83203125" defaultRowHeight="13"/>
  <cols>
    <col min="2" max="2" width="21.1640625" customWidth="1"/>
    <col min="3" max="3" width="23.6640625" customWidth="1"/>
    <col min="4" max="4" width="20.6640625" customWidth="1"/>
    <col min="5" max="5" width="11.5" customWidth="1"/>
    <col min="6" max="6" width="33.5" customWidth="1"/>
    <col min="7" max="10" width="4.6640625" bestFit="1" customWidth="1"/>
    <col min="11" max="11" width="10.5" bestFit="1" customWidth="1"/>
    <col min="12" max="12" width="7.6640625" bestFit="1" customWidth="1"/>
    <col min="13" max="13" width="18.1640625" customWidth="1"/>
  </cols>
  <sheetData>
    <row r="1" spans="1:13">
      <c r="A1" s="77" t="s">
        <v>445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ht="78.75" customHeight="1" thickBot="1">
      <c r="A2" s="8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ht="14">
      <c r="A3" s="65" t="s">
        <v>448</v>
      </c>
      <c r="B3" s="71" t="s">
        <v>0</v>
      </c>
      <c r="C3" s="67" t="s">
        <v>453</v>
      </c>
      <c r="D3" s="67" t="s">
        <v>6</v>
      </c>
      <c r="E3" s="56" t="s">
        <v>454</v>
      </c>
      <c r="F3" s="64" t="s">
        <v>5</v>
      </c>
      <c r="G3" s="64" t="s">
        <v>447</v>
      </c>
      <c r="H3" s="64"/>
      <c r="I3" s="64"/>
      <c r="J3" s="64"/>
      <c r="K3" s="56" t="s">
        <v>288</v>
      </c>
      <c r="L3" s="56" t="s">
        <v>3</v>
      </c>
      <c r="M3" s="69" t="s">
        <v>2</v>
      </c>
    </row>
    <row r="4" spans="1:13" ht="15" thickBot="1">
      <c r="A4" s="66"/>
      <c r="B4" s="72"/>
      <c r="C4" s="68"/>
      <c r="D4" s="68"/>
      <c r="E4" s="57"/>
      <c r="F4" s="68"/>
      <c r="G4" s="47">
        <v>1</v>
      </c>
      <c r="H4" s="47">
        <v>2</v>
      </c>
      <c r="I4" s="47">
        <v>3</v>
      </c>
      <c r="J4" s="47" t="s">
        <v>4</v>
      </c>
      <c r="K4" s="57"/>
      <c r="L4" s="57"/>
      <c r="M4" s="70"/>
    </row>
    <row r="5" spans="1:13" ht="16">
      <c r="A5" s="73" t="s">
        <v>44</v>
      </c>
      <c r="B5" s="73"/>
      <c r="C5" s="74"/>
      <c r="D5" s="74"/>
      <c r="E5" s="74"/>
      <c r="F5" s="74"/>
      <c r="G5" s="74"/>
      <c r="H5" s="74"/>
      <c r="I5" s="74"/>
      <c r="J5" s="74"/>
      <c r="K5" s="6"/>
      <c r="L5" s="6"/>
      <c r="M5" s="5"/>
    </row>
    <row r="6" spans="1:13">
      <c r="A6" s="34" t="s">
        <v>196</v>
      </c>
      <c r="B6" s="10" t="s">
        <v>409</v>
      </c>
      <c r="C6" s="10" t="s">
        <v>410</v>
      </c>
      <c r="D6" s="10" t="s">
        <v>411</v>
      </c>
      <c r="E6" s="11" t="s">
        <v>455</v>
      </c>
      <c r="F6" s="10" t="s">
        <v>450</v>
      </c>
      <c r="G6" s="33" t="s">
        <v>74</v>
      </c>
      <c r="H6" s="32" t="s">
        <v>237</v>
      </c>
      <c r="I6" s="33" t="s">
        <v>238</v>
      </c>
      <c r="J6" s="34"/>
      <c r="K6" s="12" t="str">
        <f>"45,0"</f>
        <v>45,0</v>
      </c>
      <c r="L6" s="49" t="str">
        <f>"33,7208"</f>
        <v>33,7208</v>
      </c>
      <c r="M6" s="10" t="s">
        <v>372</v>
      </c>
    </row>
    <row r="7" spans="1:13">
      <c r="A7" s="39" t="s">
        <v>196</v>
      </c>
      <c r="B7" s="16" t="s">
        <v>412</v>
      </c>
      <c r="C7" s="16" t="s">
        <v>413</v>
      </c>
      <c r="D7" s="16" t="s">
        <v>414</v>
      </c>
      <c r="E7" s="17" t="s">
        <v>456</v>
      </c>
      <c r="F7" s="16" t="s">
        <v>449</v>
      </c>
      <c r="G7" s="40" t="s">
        <v>237</v>
      </c>
      <c r="H7" s="40" t="s">
        <v>34</v>
      </c>
      <c r="I7" s="40" t="s">
        <v>26</v>
      </c>
      <c r="J7" s="39"/>
      <c r="K7" s="18" t="str">
        <f>"55,0"</f>
        <v>55,0</v>
      </c>
      <c r="L7" s="50" t="str">
        <f>"41,6377"</f>
        <v>41,6377</v>
      </c>
      <c r="M7" s="16"/>
    </row>
    <row r="8" spans="1:13">
      <c r="A8" s="5"/>
      <c r="B8" s="5"/>
      <c r="C8" s="5"/>
      <c r="D8" s="5"/>
      <c r="E8" s="19"/>
      <c r="F8" s="5"/>
      <c r="G8" s="27"/>
      <c r="H8" s="27"/>
      <c r="I8" s="27"/>
      <c r="J8" s="27"/>
      <c r="K8" s="6"/>
      <c r="L8" s="6"/>
      <c r="M8" s="5"/>
    </row>
    <row r="9" spans="1:13" ht="16">
      <c r="A9" s="75" t="s">
        <v>61</v>
      </c>
      <c r="B9" s="75"/>
      <c r="C9" s="75"/>
      <c r="D9" s="75"/>
      <c r="E9" s="76"/>
      <c r="F9" s="75"/>
      <c r="G9" s="75"/>
      <c r="H9" s="75"/>
      <c r="I9" s="75"/>
      <c r="J9" s="75"/>
      <c r="K9" s="6"/>
      <c r="L9" s="6"/>
      <c r="M9" s="5"/>
    </row>
    <row r="10" spans="1:13">
      <c r="A10" s="34" t="s">
        <v>196</v>
      </c>
      <c r="B10" s="10" t="s">
        <v>215</v>
      </c>
      <c r="C10" s="10" t="s">
        <v>362</v>
      </c>
      <c r="D10" s="10" t="s">
        <v>95</v>
      </c>
      <c r="E10" s="11" t="s">
        <v>455</v>
      </c>
      <c r="F10" s="10" t="s">
        <v>450</v>
      </c>
      <c r="G10" s="32" t="s">
        <v>15</v>
      </c>
      <c r="H10" s="32" t="s">
        <v>16</v>
      </c>
      <c r="I10" s="32" t="s">
        <v>237</v>
      </c>
      <c r="J10" s="34"/>
      <c r="K10" s="12" t="str">
        <f>"45,0"</f>
        <v>45,0</v>
      </c>
      <c r="L10" s="49" t="str">
        <f>"32,1683"</f>
        <v>32,1683</v>
      </c>
      <c r="M10" s="10" t="s">
        <v>372</v>
      </c>
    </row>
    <row r="11" spans="1:13">
      <c r="A11" s="39" t="s">
        <v>196</v>
      </c>
      <c r="B11" s="16" t="s">
        <v>415</v>
      </c>
      <c r="C11" s="16" t="s">
        <v>441</v>
      </c>
      <c r="D11" s="16" t="s">
        <v>416</v>
      </c>
      <c r="E11" s="17" t="s">
        <v>456</v>
      </c>
      <c r="F11" s="16" t="s">
        <v>449</v>
      </c>
      <c r="G11" s="40" t="s">
        <v>237</v>
      </c>
      <c r="H11" s="40" t="s">
        <v>25</v>
      </c>
      <c r="I11" s="40" t="s">
        <v>35</v>
      </c>
      <c r="J11" s="38" t="s">
        <v>12</v>
      </c>
      <c r="K11" s="18" t="str">
        <f>"57,5"</f>
        <v>57,5</v>
      </c>
      <c r="L11" s="50" t="str">
        <f>"40,2356"</f>
        <v>40,2356</v>
      </c>
      <c r="M11" s="16"/>
    </row>
    <row r="12" spans="1:13">
      <c r="A12" s="5"/>
      <c r="B12" s="5"/>
      <c r="C12" s="5"/>
      <c r="D12" s="5"/>
      <c r="E12" s="19"/>
      <c r="F12" s="5"/>
      <c r="G12" s="27"/>
      <c r="H12" s="27"/>
      <c r="I12" s="27"/>
      <c r="J12" s="27"/>
      <c r="K12" s="6"/>
      <c r="L12" s="6"/>
      <c r="M12" s="5"/>
    </row>
    <row r="13" spans="1:13" ht="16">
      <c r="A13" s="75" t="s">
        <v>70</v>
      </c>
      <c r="B13" s="75"/>
      <c r="C13" s="75"/>
      <c r="D13" s="75"/>
      <c r="E13" s="76"/>
      <c r="F13" s="75"/>
      <c r="G13" s="75"/>
      <c r="H13" s="75"/>
      <c r="I13" s="75"/>
      <c r="J13" s="75"/>
      <c r="K13" s="6"/>
      <c r="L13" s="6"/>
      <c r="M13" s="5"/>
    </row>
    <row r="14" spans="1:13">
      <c r="A14" s="31" t="s">
        <v>196</v>
      </c>
      <c r="B14" s="7" t="s">
        <v>417</v>
      </c>
      <c r="C14" s="7" t="s">
        <v>418</v>
      </c>
      <c r="D14" s="7" t="s">
        <v>419</v>
      </c>
      <c r="E14" s="8" t="s">
        <v>455</v>
      </c>
      <c r="F14" s="7" t="s">
        <v>452</v>
      </c>
      <c r="G14" s="29" t="s">
        <v>12</v>
      </c>
      <c r="H14" s="30" t="s">
        <v>55</v>
      </c>
      <c r="I14" s="29" t="s">
        <v>55</v>
      </c>
      <c r="J14" s="31"/>
      <c r="K14" s="9" t="str">
        <f>"65,0"</f>
        <v>65,0</v>
      </c>
      <c r="L14" s="9" t="str">
        <f>"43,2380"</f>
        <v>43,2380</v>
      </c>
      <c r="M14" s="7" t="s">
        <v>307</v>
      </c>
    </row>
    <row r="15" spans="1:13">
      <c r="A15" s="5"/>
      <c r="B15" s="5"/>
      <c r="C15" s="5"/>
      <c r="D15" s="5"/>
      <c r="E15" s="19"/>
      <c r="F15" s="5"/>
      <c r="G15" s="27"/>
      <c r="H15" s="27"/>
      <c r="I15" s="27"/>
      <c r="J15" s="27"/>
      <c r="K15" s="6"/>
      <c r="L15" s="6"/>
      <c r="M15" s="5"/>
    </row>
    <row r="16" spans="1:13" ht="16">
      <c r="A16" s="75" t="s">
        <v>109</v>
      </c>
      <c r="B16" s="75"/>
      <c r="C16" s="75"/>
      <c r="D16" s="75"/>
      <c r="E16" s="76"/>
      <c r="F16" s="75"/>
      <c r="G16" s="75"/>
      <c r="H16" s="75"/>
      <c r="I16" s="75"/>
      <c r="J16" s="75"/>
      <c r="K16" s="6"/>
      <c r="L16" s="6"/>
      <c r="M16" s="5"/>
    </row>
    <row r="17" spans="1:13">
      <c r="A17" s="34" t="s">
        <v>196</v>
      </c>
      <c r="B17" s="10" t="s">
        <v>420</v>
      </c>
      <c r="C17" s="10" t="s">
        <v>440</v>
      </c>
      <c r="D17" s="10" t="s">
        <v>421</v>
      </c>
      <c r="E17" s="11" t="s">
        <v>455</v>
      </c>
      <c r="F17" s="10" t="s">
        <v>450</v>
      </c>
      <c r="G17" s="33" t="s">
        <v>26</v>
      </c>
      <c r="H17" s="32" t="s">
        <v>26</v>
      </c>
      <c r="I17" s="32" t="s">
        <v>12</v>
      </c>
      <c r="J17" s="33" t="s">
        <v>55</v>
      </c>
      <c r="K17" s="12" t="str">
        <f>"60,0"</f>
        <v>60,0</v>
      </c>
      <c r="L17" s="49" t="str">
        <f>"37,1310"</f>
        <v>37,1310</v>
      </c>
      <c r="M17" s="10" t="s">
        <v>371</v>
      </c>
    </row>
    <row r="18" spans="1:13">
      <c r="A18" s="37" t="s">
        <v>196</v>
      </c>
      <c r="B18" s="13" t="s">
        <v>422</v>
      </c>
      <c r="C18" s="13" t="s">
        <v>423</v>
      </c>
      <c r="D18" s="13" t="s">
        <v>117</v>
      </c>
      <c r="E18" s="14" t="s">
        <v>457</v>
      </c>
      <c r="F18" s="13" t="s">
        <v>449</v>
      </c>
      <c r="G18" s="35" t="s">
        <v>77</v>
      </c>
      <c r="H18" s="35" t="s">
        <v>161</v>
      </c>
      <c r="I18" s="36" t="s">
        <v>42</v>
      </c>
      <c r="J18" s="37"/>
      <c r="K18" s="15" t="str">
        <f>"67,5"</f>
        <v>67,5</v>
      </c>
      <c r="L18" s="48" t="str">
        <f>"41,6947"</f>
        <v>41,6947</v>
      </c>
      <c r="M18" s="13" t="s">
        <v>439</v>
      </c>
    </row>
    <row r="19" spans="1:13">
      <c r="A19" s="39" t="s">
        <v>200</v>
      </c>
      <c r="B19" s="16" t="s">
        <v>304</v>
      </c>
      <c r="C19" s="16" t="s">
        <v>265</v>
      </c>
      <c r="D19" s="16" t="s">
        <v>266</v>
      </c>
      <c r="E19" s="17" t="s">
        <v>457</v>
      </c>
      <c r="F19" s="16" t="s">
        <v>449</v>
      </c>
      <c r="G19" s="40" t="s">
        <v>77</v>
      </c>
      <c r="H19" s="40" t="s">
        <v>161</v>
      </c>
      <c r="I19" s="38" t="s">
        <v>42</v>
      </c>
      <c r="J19" s="39"/>
      <c r="K19" s="18" t="str">
        <f>"67,5"</f>
        <v>67,5</v>
      </c>
      <c r="L19" s="50" t="str">
        <f>"41,2999"</f>
        <v>41,2999</v>
      </c>
      <c r="M19" s="16"/>
    </row>
    <row r="20" spans="1:13">
      <c r="A20" s="5"/>
      <c r="B20" s="5"/>
      <c r="C20" s="5"/>
      <c r="D20" s="5"/>
      <c r="E20" s="19"/>
      <c r="F20" s="5"/>
      <c r="G20" s="27"/>
      <c r="H20" s="27"/>
      <c r="I20" s="27"/>
      <c r="J20" s="27"/>
      <c r="K20" s="6"/>
      <c r="L20" s="6"/>
      <c r="M20" s="5"/>
    </row>
    <row r="21" spans="1:13" ht="16">
      <c r="A21" s="75" t="s">
        <v>141</v>
      </c>
      <c r="B21" s="75"/>
      <c r="C21" s="75"/>
      <c r="D21" s="75"/>
      <c r="E21" s="76"/>
      <c r="F21" s="75"/>
      <c r="G21" s="75"/>
      <c r="H21" s="75"/>
      <c r="I21" s="75"/>
      <c r="J21" s="75"/>
      <c r="K21" s="6"/>
      <c r="L21" s="6"/>
      <c r="M21" s="5"/>
    </row>
    <row r="22" spans="1:13">
      <c r="A22" s="34" t="s">
        <v>196</v>
      </c>
      <c r="B22" s="10" t="s">
        <v>308</v>
      </c>
      <c r="C22" s="10" t="s">
        <v>273</v>
      </c>
      <c r="D22" s="10" t="s">
        <v>274</v>
      </c>
      <c r="E22" s="11" t="s">
        <v>457</v>
      </c>
      <c r="F22" s="10" t="s">
        <v>449</v>
      </c>
      <c r="G22" s="32" t="s">
        <v>55</v>
      </c>
      <c r="H22" s="32" t="s">
        <v>42</v>
      </c>
      <c r="I22" s="32" t="s">
        <v>48</v>
      </c>
      <c r="J22" s="34"/>
      <c r="K22" s="12" t="str">
        <f>"75,0"</f>
        <v>75,0</v>
      </c>
      <c r="L22" s="49" t="str">
        <f>"44,2650"</f>
        <v>44,2650</v>
      </c>
      <c r="M22" s="10"/>
    </row>
    <row r="23" spans="1:13">
      <c r="A23" s="37" t="s">
        <v>200</v>
      </c>
      <c r="B23" s="13" t="s">
        <v>307</v>
      </c>
      <c r="C23" s="13" t="s">
        <v>271</v>
      </c>
      <c r="D23" s="13" t="s">
        <v>272</v>
      </c>
      <c r="E23" s="14" t="s">
        <v>457</v>
      </c>
      <c r="F23" s="13" t="s">
        <v>449</v>
      </c>
      <c r="G23" s="35" t="s">
        <v>77</v>
      </c>
      <c r="H23" s="35" t="s">
        <v>161</v>
      </c>
      <c r="I23" s="36" t="s">
        <v>42</v>
      </c>
      <c r="J23" s="37"/>
      <c r="K23" s="15" t="str">
        <f>"67,5"</f>
        <v>67,5</v>
      </c>
      <c r="L23" s="48" t="str">
        <f>"39,7271"</f>
        <v>39,7271</v>
      </c>
      <c r="M23" s="13"/>
    </row>
    <row r="24" spans="1:13">
      <c r="A24" s="39" t="s">
        <v>201</v>
      </c>
      <c r="B24" s="16" t="s">
        <v>424</v>
      </c>
      <c r="C24" s="16" t="s">
        <v>425</v>
      </c>
      <c r="D24" s="16" t="s">
        <v>276</v>
      </c>
      <c r="E24" s="17" t="s">
        <v>457</v>
      </c>
      <c r="F24" s="16" t="s">
        <v>450</v>
      </c>
      <c r="G24" s="40" t="s">
        <v>12</v>
      </c>
      <c r="H24" s="40" t="s">
        <v>55</v>
      </c>
      <c r="I24" s="38" t="s">
        <v>42</v>
      </c>
      <c r="J24" s="39"/>
      <c r="K24" s="18" t="str">
        <f>"65,0"</f>
        <v>65,0</v>
      </c>
      <c r="L24" s="50" t="str">
        <f>"37,8657"</f>
        <v>37,8657</v>
      </c>
      <c r="M24" s="16" t="s">
        <v>371</v>
      </c>
    </row>
    <row r="25" spans="1:13">
      <c r="A25" s="5"/>
      <c r="B25" s="5"/>
      <c r="C25" s="5"/>
      <c r="D25" s="5"/>
      <c r="E25" s="19"/>
      <c r="F25" s="5"/>
      <c r="G25" s="27"/>
      <c r="H25" s="27"/>
      <c r="I25" s="27"/>
      <c r="J25" s="27"/>
      <c r="K25" s="6"/>
      <c r="L25" s="6"/>
      <c r="M25" s="5"/>
    </row>
    <row r="26" spans="1:13" ht="16">
      <c r="A26" s="75" t="s">
        <v>159</v>
      </c>
      <c r="B26" s="75"/>
      <c r="C26" s="75"/>
      <c r="D26" s="75"/>
      <c r="E26" s="76"/>
      <c r="F26" s="75"/>
      <c r="G26" s="75"/>
      <c r="H26" s="75"/>
      <c r="I26" s="75"/>
      <c r="J26" s="75"/>
      <c r="K26" s="6"/>
      <c r="L26" s="6"/>
      <c r="M26" s="5"/>
    </row>
    <row r="27" spans="1:13">
      <c r="A27" s="34" t="s">
        <v>196</v>
      </c>
      <c r="B27" s="10" t="s">
        <v>426</v>
      </c>
      <c r="C27" s="10" t="s">
        <v>427</v>
      </c>
      <c r="D27" s="10" t="s">
        <v>325</v>
      </c>
      <c r="E27" s="11" t="s">
        <v>457</v>
      </c>
      <c r="F27" s="10" t="s">
        <v>450</v>
      </c>
      <c r="G27" s="32" t="s">
        <v>12</v>
      </c>
      <c r="H27" s="32" t="s">
        <v>55</v>
      </c>
      <c r="I27" s="33" t="s">
        <v>161</v>
      </c>
      <c r="J27" s="34"/>
      <c r="K27" s="12" t="str">
        <f>"65,0"</f>
        <v>65,0</v>
      </c>
      <c r="L27" s="49" t="str">
        <f>"37,7682"</f>
        <v>37,7682</v>
      </c>
      <c r="M27" s="10" t="s">
        <v>371</v>
      </c>
    </row>
    <row r="28" spans="1:13">
      <c r="A28" s="37" t="s">
        <v>200</v>
      </c>
      <c r="B28" s="13" t="s">
        <v>428</v>
      </c>
      <c r="C28" s="13" t="s">
        <v>429</v>
      </c>
      <c r="D28" s="13" t="s">
        <v>430</v>
      </c>
      <c r="E28" s="14" t="s">
        <v>457</v>
      </c>
      <c r="F28" s="13" t="s">
        <v>450</v>
      </c>
      <c r="G28" s="36" t="s">
        <v>12</v>
      </c>
      <c r="H28" s="35" t="s">
        <v>55</v>
      </c>
      <c r="I28" s="36" t="s">
        <v>161</v>
      </c>
      <c r="J28" s="37"/>
      <c r="K28" s="15" t="str">
        <f>"65,0"</f>
        <v>65,0</v>
      </c>
      <c r="L28" s="48" t="str">
        <f>"36,9070"</f>
        <v>36,9070</v>
      </c>
      <c r="M28" s="13" t="s">
        <v>371</v>
      </c>
    </row>
    <row r="29" spans="1:13">
      <c r="A29" s="39" t="s">
        <v>201</v>
      </c>
      <c r="B29" s="16" t="s">
        <v>357</v>
      </c>
      <c r="C29" s="16" t="s">
        <v>431</v>
      </c>
      <c r="D29" s="16" t="s">
        <v>341</v>
      </c>
      <c r="E29" s="17" t="s">
        <v>457</v>
      </c>
      <c r="F29" s="16" t="s">
        <v>449</v>
      </c>
      <c r="G29" s="40" t="s">
        <v>25</v>
      </c>
      <c r="H29" s="40" t="s">
        <v>26</v>
      </c>
      <c r="I29" s="40" t="s">
        <v>35</v>
      </c>
      <c r="J29" s="39"/>
      <c r="K29" s="18" t="str">
        <f>"57,5"</f>
        <v>57,5</v>
      </c>
      <c r="L29" s="50" t="str">
        <f>"32,9216"</f>
        <v>32,9216</v>
      </c>
      <c r="M29" s="16"/>
    </row>
    <row r="30" spans="1:13">
      <c r="A30" s="5"/>
      <c r="B30" s="5"/>
      <c r="C30" s="5"/>
      <c r="D30" s="5"/>
      <c r="E30" s="19"/>
      <c r="F30" s="5"/>
      <c r="G30" s="27"/>
      <c r="H30" s="27"/>
      <c r="I30" s="27"/>
      <c r="J30" s="27"/>
      <c r="K30" s="6"/>
      <c r="L30" s="6"/>
      <c r="M30" s="5"/>
    </row>
    <row r="31" spans="1:13">
      <c r="A31" s="5"/>
      <c r="B31" s="5"/>
      <c r="C31" s="5"/>
      <c r="D31" s="5"/>
      <c r="E31" s="19"/>
      <c r="F31" s="5"/>
      <c r="G31" s="5"/>
      <c r="H31" s="27"/>
      <c r="I31" s="27"/>
      <c r="J31" s="27"/>
      <c r="K31" s="27"/>
      <c r="L31" s="6"/>
      <c r="M31" s="6"/>
    </row>
    <row r="32" spans="1:13">
      <c r="A32" s="5"/>
      <c r="B32" s="5"/>
      <c r="H32" s="27"/>
      <c r="I32" s="27"/>
      <c r="J32" s="27"/>
      <c r="K32" s="27"/>
      <c r="L32" s="6"/>
      <c r="M32" s="6"/>
    </row>
    <row r="33" spans="1:13" ht="18">
      <c r="A33" s="5"/>
      <c r="B33" s="20" t="s">
        <v>177</v>
      </c>
      <c r="C33" s="20"/>
      <c r="D33" s="5"/>
      <c r="E33" s="19"/>
      <c r="F33" s="5"/>
      <c r="H33" s="27"/>
      <c r="I33" s="27"/>
      <c r="J33" s="27"/>
      <c r="K33" s="27"/>
      <c r="L33" s="6"/>
      <c r="M33" s="6"/>
    </row>
    <row r="34" spans="1:13" ht="16">
      <c r="A34" s="5"/>
      <c r="B34" s="46" t="s">
        <v>190</v>
      </c>
      <c r="C34" s="46"/>
      <c r="D34" s="5"/>
      <c r="E34" s="19"/>
      <c r="F34" s="5"/>
      <c r="H34" s="27"/>
      <c r="I34" s="27"/>
      <c r="J34" s="27"/>
      <c r="K34" s="27"/>
      <c r="L34" s="6"/>
      <c r="M34" s="6"/>
    </row>
    <row r="35" spans="1:13" ht="14">
      <c r="A35" s="5"/>
      <c r="B35" s="22"/>
      <c r="C35" s="23" t="s">
        <v>191</v>
      </c>
      <c r="D35" s="5"/>
      <c r="E35" s="19"/>
      <c r="F35" s="5"/>
      <c r="H35" s="27"/>
      <c r="I35" s="27"/>
      <c r="J35" s="27"/>
      <c r="K35" s="27"/>
      <c r="L35" s="6"/>
      <c r="M35" s="6"/>
    </row>
    <row r="36" spans="1:13" ht="14">
      <c r="A36" s="5"/>
      <c r="B36" s="24" t="s">
        <v>180</v>
      </c>
      <c r="C36" s="24" t="s">
        <v>181</v>
      </c>
      <c r="D36" s="24" t="s">
        <v>446</v>
      </c>
      <c r="E36" s="25" t="s">
        <v>285</v>
      </c>
      <c r="F36" s="24" t="s">
        <v>432</v>
      </c>
      <c r="H36" s="27"/>
      <c r="I36" s="27"/>
      <c r="J36" s="27"/>
      <c r="K36" s="27"/>
      <c r="L36" s="6"/>
      <c r="M36" s="6"/>
    </row>
    <row r="37" spans="1:13">
      <c r="A37" s="5"/>
      <c r="B37" s="5" t="s">
        <v>433</v>
      </c>
      <c r="C37" s="5" t="s">
        <v>379</v>
      </c>
      <c r="D37" s="27" t="s">
        <v>286</v>
      </c>
      <c r="E37" s="28">
        <v>65</v>
      </c>
      <c r="F37" s="26">
        <v>43.237999677658102</v>
      </c>
      <c r="H37" s="27"/>
      <c r="I37" s="27"/>
      <c r="J37" s="27"/>
      <c r="K37" s="27"/>
      <c r="L37" s="6"/>
      <c r="M37" s="6"/>
    </row>
    <row r="38" spans="1:13">
      <c r="A38" s="5"/>
      <c r="B38" s="5" t="s">
        <v>434</v>
      </c>
      <c r="C38" s="5" t="s">
        <v>191</v>
      </c>
      <c r="D38" s="27" t="s">
        <v>193</v>
      </c>
      <c r="E38" s="28">
        <v>60</v>
      </c>
      <c r="F38" s="26">
        <v>37.130999565124498</v>
      </c>
      <c r="H38" s="27"/>
      <c r="I38" s="27"/>
      <c r="J38" s="27"/>
      <c r="K38" s="27"/>
      <c r="L38" s="6"/>
      <c r="M38" s="6"/>
    </row>
    <row r="39" spans="1:13">
      <c r="A39" s="5"/>
      <c r="B39" s="5" t="s">
        <v>435</v>
      </c>
      <c r="C39" s="5" t="s">
        <v>191</v>
      </c>
      <c r="D39" s="27" t="s">
        <v>188</v>
      </c>
      <c r="E39" s="28">
        <v>45</v>
      </c>
      <c r="F39" s="26">
        <v>33.720750510692604</v>
      </c>
      <c r="H39" s="27"/>
      <c r="I39" s="27"/>
      <c r="J39" s="27"/>
      <c r="K39" s="27"/>
      <c r="L39" s="6"/>
      <c r="M39" s="6"/>
    </row>
    <row r="40" spans="1:13">
      <c r="A40" s="5"/>
      <c r="B40" s="5"/>
      <c r="C40" s="5"/>
      <c r="D40" s="5"/>
      <c r="E40" s="19"/>
      <c r="F40" s="5"/>
      <c r="H40" s="27"/>
      <c r="I40" s="27"/>
      <c r="J40" s="27"/>
      <c r="K40" s="27"/>
      <c r="L40" s="6"/>
      <c r="M40" s="6"/>
    </row>
    <row r="41" spans="1:13" ht="14">
      <c r="A41" s="5"/>
      <c r="B41" s="22"/>
      <c r="C41" s="23" t="s">
        <v>187</v>
      </c>
      <c r="D41" s="5"/>
      <c r="E41" s="19"/>
      <c r="F41" s="5"/>
      <c r="H41" s="27"/>
      <c r="I41" s="27"/>
      <c r="J41" s="27"/>
      <c r="K41" s="27"/>
      <c r="L41" s="6"/>
      <c r="M41" s="6"/>
    </row>
    <row r="42" spans="1:13" ht="14">
      <c r="A42" s="5"/>
      <c r="B42" s="24" t="s">
        <v>180</v>
      </c>
      <c r="C42" s="24" t="s">
        <v>181</v>
      </c>
      <c r="D42" s="24" t="s">
        <v>446</v>
      </c>
      <c r="E42" s="25" t="s">
        <v>285</v>
      </c>
      <c r="F42" s="24" t="s">
        <v>432</v>
      </c>
      <c r="H42" s="27"/>
      <c r="I42" s="27"/>
      <c r="J42" s="27"/>
      <c r="K42" s="27"/>
      <c r="L42" s="6"/>
      <c r="M42" s="6"/>
    </row>
    <row r="43" spans="1:13">
      <c r="A43" s="5"/>
      <c r="B43" s="5" t="s">
        <v>436</v>
      </c>
      <c r="C43" s="5" t="s">
        <v>187</v>
      </c>
      <c r="D43" s="27" t="s">
        <v>194</v>
      </c>
      <c r="E43" s="28">
        <v>75</v>
      </c>
      <c r="F43" s="26">
        <v>44.265000522136702</v>
      </c>
      <c r="H43" s="27"/>
      <c r="I43" s="27"/>
      <c r="J43" s="27"/>
      <c r="K43" s="27"/>
      <c r="L43" s="6"/>
      <c r="M43" s="6"/>
    </row>
    <row r="44" spans="1:13">
      <c r="A44" s="5"/>
      <c r="B44" s="5" t="s">
        <v>437</v>
      </c>
      <c r="C44" s="5" t="s">
        <v>187</v>
      </c>
      <c r="D44" s="27" t="s">
        <v>193</v>
      </c>
      <c r="E44" s="28">
        <v>67.5</v>
      </c>
      <c r="F44" s="26">
        <v>41.694748699665098</v>
      </c>
      <c r="H44" s="27"/>
      <c r="I44" s="27"/>
      <c r="J44" s="27"/>
      <c r="K44" s="27"/>
      <c r="L44" s="6"/>
      <c r="M44" s="6"/>
    </row>
    <row r="45" spans="1:13">
      <c r="B45" s="5" t="s">
        <v>438</v>
      </c>
      <c r="C45" s="5" t="s">
        <v>187</v>
      </c>
      <c r="D45" s="27" t="s">
        <v>193</v>
      </c>
      <c r="E45" s="28">
        <v>67.5</v>
      </c>
      <c r="F45" s="26">
        <v>41.299876570701599</v>
      </c>
    </row>
  </sheetData>
  <mergeCells count="17">
    <mergeCell ref="A21:J21"/>
    <mergeCell ref="A26:J26"/>
    <mergeCell ref="L3:L4"/>
    <mergeCell ref="M3:M4"/>
    <mergeCell ref="A5:J5"/>
    <mergeCell ref="A9:J9"/>
    <mergeCell ref="A13:J13"/>
    <mergeCell ref="A16:J16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ПЛ без экипировки</vt:lpstr>
      <vt:lpstr>WRPF Жим лежа без экип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2024-03-06T16:30:05Z</dcterms:modified>
</cp:coreProperties>
</file>