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2" documentId="8_{3A30CBB1-D1D0-4EC4-874E-0CE567FC753A}" xr6:coauthVersionLast="46" xr6:coauthVersionMax="46" xr10:uidLastSave="{25643238-7F4D-4186-A008-AABD57E87319}"/>
  <bookViews>
    <workbookView xWindow="-120" yWindow="-120" windowWidth="38640" windowHeight="16440" tabRatio="1000" xr2:uid="{00000000-000D-0000-FFFF-FFFF00000000}"/>
  </bookViews>
  <sheets>
    <sheet name="AWPA m.ply PL" sheetId="22" r:id="rId1"/>
    <sheet name="AWPA raw PL" sheetId="20" r:id="rId2"/>
    <sheet name="WPA PL SP" sheetId="12" r:id="rId3"/>
    <sheet name="WPA raw PL" sheetId="11" r:id="rId4"/>
    <sheet name="WPC BP softstd" sheetId="28" r:id="rId5"/>
    <sheet name="WPC BP softmp" sheetId="27" r:id="rId6"/>
    <sheet name="AWPC BP softstd" sheetId="26" r:id="rId7"/>
    <sheet name="AWPC BP softmp " sheetId="25" r:id="rId8"/>
    <sheet name="AWPA BP" sheetId="19" r:id="rId9"/>
    <sheet name="AWPA BP sp" sheetId="18" r:id="rId10"/>
    <sheet name="AWPA raw BP" sheetId="17" r:id="rId11"/>
    <sheet name="AWPA DL" sheetId="16" r:id="rId12"/>
    <sheet name="AWPA DL sp" sheetId="15" r:id="rId13"/>
    <sheet name="AWPA raw DL" sheetId="14" r:id="rId14"/>
    <sheet name="WPA BP sp" sheetId="9" r:id="rId15"/>
    <sheet name="WPA raw BP" sheetId="8" r:id="rId16"/>
    <sheet name="WPA DL sp" sheetId="6" r:id="rId17"/>
    <sheet name="WPA raw DL" sheetId="5" r:id="rId18"/>
  </sheets>
  <definedNames>
    <definedName name="_xlnm._FilterDatabase" localSheetId="17" hidden="1">'WPA raw DL'!$B$1:$J$3</definedName>
    <definedName name="_xlnm._FilterDatabase" localSheetId="4" hidden="1">'WPC BP softstd'!$B$1:$J$3</definedName>
  </definedNames>
  <calcPr calcId="191029" refMode="R1C1"/>
</workbook>
</file>

<file path=xl/calcChain.xml><?xml version="1.0" encoding="utf-8"?>
<calcChain xmlns="http://schemas.openxmlformats.org/spreadsheetml/2006/main">
  <c r="J6" i="16" l="1"/>
  <c r="K6" i="16"/>
  <c r="J6" i="28" l="1"/>
  <c r="K6" i="28"/>
  <c r="J9" i="28"/>
  <c r="K9" i="28"/>
  <c r="J10" i="28"/>
  <c r="K10" i="28"/>
  <c r="J11" i="28"/>
  <c r="K11" i="28"/>
  <c r="J14" i="28"/>
  <c r="K14" i="28"/>
  <c r="J6" i="27"/>
  <c r="K6" i="27"/>
  <c r="J8" i="27"/>
  <c r="K8" i="27"/>
  <c r="J7" i="26"/>
  <c r="K7" i="26"/>
  <c r="J9" i="26"/>
  <c r="K9" i="26"/>
  <c r="J11" i="26"/>
  <c r="K11" i="26"/>
  <c r="J13" i="26"/>
  <c r="K13" i="26"/>
  <c r="J15" i="26"/>
  <c r="K15" i="26"/>
  <c r="S6" i="22" l="1"/>
  <c r="R6" i="22"/>
  <c r="S34" i="20"/>
  <c r="R34" i="20"/>
  <c r="S33" i="20"/>
  <c r="R33" i="20"/>
  <c r="S32" i="20"/>
  <c r="R32" i="20"/>
  <c r="S31" i="20"/>
  <c r="R31" i="20"/>
  <c r="S29" i="20"/>
  <c r="R29" i="20"/>
  <c r="S28" i="20"/>
  <c r="R28" i="20"/>
  <c r="S27" i="20"/>
  <c r="R27" i="20"/>
  <c r="S25" i="20"/>
  <c r="R25" i="20"/>
  <c r="S24" i="20"/>
  <c r="R24" i="20"/>
  <c r="S23" i="20"/>
  <c r="R23" i="20"/>
  <c r="S22" i="20"/>
  <c r="R22" i="20"/>
  <c r="S20" i="20"/>
  <c r="R20" i="20"/>
  <c r="S17" i="20"/>
  <c r="R17" i="20"/>
  <c r="S15" i="20"/>
  <c r="R15" i="20"/>
  <c r="S13" i="20"/>
  <c r="R13" i="20"/>
  <c r="S11" i="20"/>
  <c r="R11" i="20"/>
  <c r="S10" i="20"/>
  <c r="R10" i="20"/>
  <c r="S9" i="20"/>
  <c r="R9" i="20"/>
  <c r="S8" i="20"/>
  <c r="R8" i="20"/>
  <c r="S6" i="20"/>
  <c r="R6" i="20"/>
  <c r="K8" i="19"/>
  <c r="J8" i="19"/>
  <c r="K6" i="19"/>
  <c r="J6" i="19"/>
  <c r="K6" i="18"/>
  <c r="J6" i="18"/>
  <c r="K69" i="17"/>
  <c r="J69" i="17"/>
  <c r="K68" i="17"/>
  <c r="J68" i="17"/>
  <c r="K66" i="17"/>
  <c r="J66" i="17"/>
  <c r="K65" i="17"/>
  <c r="J65" i="17"/>
  <c r="K64" i="17"/>
  <c r="J64" i="17"/>
  <c r="K62" i="17"/>
  <c r="J62" i="17"/>
  <c r="K61" i="17"/>
  <c r="J61" i="17"/>
  <c r="K60" i="17"/>
  <c r="J60" i="17"/>
  <c r="K59" i="17"/>
  <c r="J59" i="17"/>
  <c r="K58" i="17"/>
  <c r="J58" i="17"/>
  <c r="K56" i="17"/>
  <c r="J56" i="17"/>
  <c r="K55" i="17"/>
  <c r="J55" i="17"/>
  <c r="K54" i="17"/>
  <c r="J54" i="17"/>
  <c r="K53" i="17"/>
  <c r="J53" i="17"/>
  <c r="K52" i="17"/>
  <c r="J52" i="17"/>
  <c r="K51" i="17"/>
  <c r="J51" i="17"/>
  <c r="K50" i="17"/>
  <c r="J50" i="17"/>
  <c r="K49" i="17"/>
  <c r="J49" i="17"/>
  <c r="K47" i="17"/>
  <c r="J47" i="17"/>
  <c r="K46" i="17"/>
  <c r="J46" i="17"/>
  <c r="K45" i="17"/>
  <c r="J45" i="17"/>
  <c r="K44" i="17"/>
  <c r="J44" i="17"/>
  <c r="K43" i="17"/>
  <c r="J43" i="17"/>
  <c r="K42" i="17"/>
  <c r="J42" i="17"/>
  <c r="K40" i="17"/>
  <c r="J40" i="17"/>
  <c r="K39" i="17"/>
  <c r="J39" i="17"/>
  <c r="K38" i="17"/>
  <c r="J38" i="17"/>
  <c r="K37" i="17"/>
  <c r="J37" i="17"/>
  <c r="K36" i="17"/>
  <c r="J36" i="17"/>
  <c r="K35" i="17"/>
  <c r="J35" i="17"/>
  <c r="K34" i="17"/>
  <c r="J34" i="17"/>
  <c r="K33" i="17"/>
  <c r="J33" i="17"/>
  <c r="K31" i="17"/>
  <c r="J31" i="17"/>
  <c r="K30" i="17"/>
  <c r="J30" i="17"/>
  <c r="K29" i="17"/>
  <c r="J29" i="17"/>
  <c r="K28" i="17"/>
  <c r="J28" i="17"/>
  <c r="K27" i="17"/>
  <c r="J27" i="17"/>
  <c r="K25" i="17"/>
  <c r="J25" i="17"/>
  <c r="K24" i="17"/>
  <c r="J24" i="17"/>
  <c r="K23" i="17"/>
  <c r="J23" i="17"/>
  <c r="K21" i="17"/>
  <c r="J21" i="17"/>
  <c r="K19" i="17"/>
  <c r="J19" i="17"/>
  <c r="K17" i="17"/>
  <c r="J17" i="17"/>
  <c r="K15" i="17"/>
  <c r="J15" i="17"/>
  <c r="K13" i="17"/>
  <c r="J13" i="17"/>
  <c r="K12" i="17"/>
  <c r="J12" i="17"/>
  <c r="K10" i="17"/>
  <c r="J10" i="17"/>
  <c r="K9" i="17"/>
  <c r="J9" i="17"/>
  <c r="K7" i="17"/>
  <c r="J7" i="17"/>
  <c r="K6" i="17"/>
  <c r="J6" i="17"/>
  <c r="K9" i="16"/>
  <c r="J9" i="16"/>
  <c r="K8" i="16"/>
  <c r="J8" i="16"/>
  <c r="K8" i="15"/>
  <c r="J8" i="15"/>
  <c r="K6" i="15"/>
  <c r="J6" i="15"/>
  <c r="K56" i="14"/>
  <c r="J56" i="14"/>
  <c r="K54" i="14"/>
  <c r="J54" i="14"/>
  <c r="K53" i="14"/>
  <c r="J53" i="14"/>
  <c r="K52" i="14"/>
  <c r="J52" i="14"/>
  <c r="K51" i="14"/>
  <c r="J51" i="14"/>
  <c r="K49" i="14"/>
  <c r="J49" i="14"/>
  <c r="K48" i="14"/>
  <c r="J48" i="14"/>
  <c r="K47" i="14"/>
  <c r="J47" i="14"/>
  <c r="K45" i="14"/>
  <c r="J45" i="14"/>
  <c r="K44" i="14"/>
  <c r="J44" i="14"/>
  <c r="K43" i="14"/>
  <c r="J43" i="14"/>
  <c r="K42" i="14"/>
  <c r="J42" i="14"/>
  <c r="K41" i="14"/>
  <c r="J41" i="14"/>
  <c r="K40" i="14"/>
  <c r="J40" i="14"/>
  <c r="K38" i="14"/>
  <c r="J38" i="14"/>
  <c r="K37" i="14"/>
  <c r="J37" i="14"/>
  <c r="K36" i="14"/>
  <c r="J36" i="14"/>
  <c r="K35" i="14"/>
  <c r="J35" i="14"/>
  <c r="K34" i="14"/>
  <c r="J34" i="14"/>
  <c r="K33" i="14"/>
  <c r="J33" i="14"/>
  <c r="K32" i="14"/>
  <c r="J32" i="14"/>
  <c r="K31" i="14"/>
  <c r="J31" i="14"/>
  <c r="K29" i="14"/>
  <c r="J29" i="14"/>
  <c r="K28" i="14"/>
  <c r="J28" i="14"/>
  <c r="K27" i="14"/>
  <c r="J27" i="14"/>
  <c r="K26" i="14"/>
  <c r="J26" i="14"/>
  <c r="K25" i="14"/>
  <c r="J25" i="14"/>
  <c r="K23" i="14"/>
  <c r="J23" i="14"/>
  <c r="K22" i="14"/>
  <c r="J22" i="14"/>
  <c r="K21" i="14"/>
  <c r="J21" i="14"/>
  <c r="K20" i="14"/>
  <c r="J20" i="14"/>
  <c r="K18" i="14"/>
  <c r="J18" i="14"/>
  <c r="K16" i="14"/>
  <c r="J16" i="14"/>
  <c r="K14" i="14"/>
  <c r="J14" i="14"/>
  <c r="K13" i="14"/>
  <c r="J13" i="14"/>
  <c r="K11" i="14"/>
  <c r="J11" i="14"/>
  <c r="K10" i="14"/>
  <c r="J10" i="14"/>
  <c r="K8" i="14"/>
  <c r="J8" i="14"/>
  <c r="K6" i="14"/>
  <c r="J6" i="14"/>
  <c r="S6" i="12"/>
  <c r="R6" i="12"/>
  <c r="S17" i="11"/>
  <c r="R17" i="11"/>
  <c r="S15" i="11"/>
  <c r="R15" i="11"/>
  <c r="S14" i="11"/>
  <c r="R14" i="11"/>
  <c r="S13" i="11"/>
  <c r="R13" i="11"/>
  <c r="S11" i="11"/>
  <c r="R11" i="11"/>
  <c r="S10" i="11"/>
  <c r="R10" i="11"/>
  <c r="S9" i="11"/>
  <c r="R9" i="11"/>
  <c r="S7" i="11"/>
  <c r="R7" i="11"/>
  <c r="S6" i="11"/>
  <c r="R6" i="11"/>
  <c r="K6" i="9"/>
  <c r="J6" i="9"/>
  <c r="K26" i="8"/>
  <c r="J26" i="8"/>
  <c r="K25" i="8"/>
  <c r="J25" i="8"/>
  <c r="K23" i="8"/>
  <c r="J23" i="8"/>
  <c r="K21" i="8"/>
  <c r="J21" i="8"/>
  <c r="K20" i="8"/>
  <c r="J20" i="8"/>
  <c r="K18" i="8"/>
  <c r="J18" i="8"/>
  <c r="K16" i="8"/>
  <c r="J16" i="8"/>
  <c r="K15" i="8"/>
  <c r="J15" i="8"/>
  <c r="K13" i="8"/>
  <c r="J13" i="8"/>
  <c r="K11" i="8"/>
  <c r="J11" i="8"/>
  <c r="K9" i="8"/>
  <c r="J9" i="8"/>
  <c r="K7" i="8"/>
  <c r="J7" i="8"/>
  <c r="K6" i="8"/>
  <c r="J6" i="8"/>
  <c r="K13" i="6"/>
  <c r="J13" i="6"/>
  <c r="K11" i="6"/>
  <c r="J11" i="6"/>
  <c r="K9" i="6"/>
  <c r="J9" i="6"/>
  <c r="K7" i="6"/>
  <c r="J7" i="6"/>
  <c r="K6" i="6"/>
  <c r="J6" i="6"/>
  <c r="K14" i="5"/>
  <c r="J14" i="5"/>
  <c r="K13" i="5"/>
  <c r="J13" i="5"/>
  <c r="K12" i="5"/>
  <c r="J12" i="5"/>
  <c r="K11" i="5"/>
  <c r="J11" i="5"/>
  <c r="K9" i="5"/>
  <c r="J9" i="5"/>
  <c r="K8" i="5"/>
  <c r="J8" i="5"/>
  <c r="K6" i="5"/>
  <c r="J6" i="5"/>
</calcChain>
</file>

<file path=xl/sharedStrings.xml><?xml version="1.0" encoding="utf-8"?>
<sst xmlns="http://schemas.openxmlformats.org/spreadsheetml/2006/main" count="1785" uniqueCount="580">
  <si>
    <t>Name</t>
  </si>
  <si>
    <t>Coach</t>
  </si>
  <si>
    <t>Pts</t>
  </si>
  <si>
    <t>Rec</t>
  </si>
  <si>
    <t>Body
weight</t>
  </si>
  <si>
    <t>Total</t>
  </si>
  <si>
    <t>Age Class
Bith date/Age</t>
  </si>
  <si>
    <t>Town/Region</t>
  </si>
  <si>
    <t>Deadlift</t>
  </si>
  <si>
    <t>Body Weight Category  52</t>
  </si>
  <si>
    <t>Open (14.07.1994)/26</t>
  </si>
  <si>
    <t>52,00</t>
  </si>
  <si>
    <t>135,0</t>
  </si>
  <si>
    <t>140,0</t>
  </si>
  <si>
    <t>145,0</t>
  </si>
  <si>
    <t>Body Weight Category  82.5</t>
  </si>
  <si>
    <t>Open (14.06.1993)/27</t>
  </si>
  <si>
    <t>81,50</t>
  </si>
  <si>
    <t>225,0</t>
  </si>
  <si>
    <t>240,0</t>
  </si>
  <si>
    <t>255,0</t>
  </si>
  <si>
    <t>Masters 40-44 (13.12.1979)/41</t>
  </si>
  <si>
    <t>78,10</t>
  </si>
  <si>
    <t>190,0</t>
  </si>
  <si>
    <t>205,0</t>
  </si>
  <si>
    <t>215,0</t>
  </si>
  <si>
    <t>Body Weight Category  100</t>
  </si>
  <si>
    <t>Yudin Vyacheslav</t>
  </si>
  <si>
    <t>Teen 18-19 (12.09.2002)/18</t>
  </si>
  <si>
    <t>100,00</t>
  </si>
  <si>
    <t>210,0</t>
  </si>
  <si>
    <t>Semenov Konstanti</t>
  </si>
  <si>
    <t>Open (12.09.2002)/18</t>
  </si>
  <si>
    <t>Son Maksim</t>
  </si>
  <si>
    <t>Open (19.03.1988)/32</t>
  </si>
  <si>
    <t>92,00</t>
  </si>
  <si>
    <t>Musiyenko Yegor</t>
  </si>
  <si>
    <t>Masters 70-74 (11.09.1947)/73</t>
  </si>
  <si>
    <t>99,50</t>
  </si>
  <si>
    <t>160,0</t>
  </si>
  <si>
    <t>167,5</t>
  </si>
  <si>
    <t>172,5</t>
  </si>
  <si>
    <t>Shabaldin P</t>
  </si>
  <si>
    <t>Result</t>
  </si>
  <si>
    <t>Body Weight Category  75</t>
  </si>
  <si>
    <t>Semenov Konstantin</t>
  </si>
  <si>
    <t>Open (24.08.1964)/56</t>
  </si>
  <si>
    <t>74,00</t>
  </si>
  <si>
    <t>100,0</t>
  </si>
  <si>
    <t>110,0</t>
  </si>
  <si>
    <t>115,0</t>
  </si>
  <si>
    <t>Samostoyatelno</t>
  </si>
  <si>
    <t>Masters 55-59 (24.08.1964)/56</t>
  </si>
  <si>
    <t>Katanov Yuriy</t>
  </si>
  <si>
    <t>Masters 40-44 (14.01.1981)/40</t>
  </si>
  <si>
    <t>99,80</t>
  </si>
  <si>
    <t>280,0</t>
  </si>
  <si>
    <t>300,0</t>
  </si>
  <si>
    <t>320,0</t>
  </si>
  <si>
    <t>Troyanov Ivan</t>
  </si>
  <si>
    <t>Body Weight Category  110</t>
  </si>
  <si>
    <t>Masters 55-59 (12.02.1964)/57</t>
  </si>
  <si>
    <t>108,80</t>
  </si>
  <si>
    <t>235,0</t>
  </si>
  <si>
    <t>Body Weight Category  125</t>
  </si>
  <si>
    <t>Shirokov Mikhail</t>
  </si>
  <si>
    <t>Juniors 20-23 (03.06.1999)/21</t>
  </si>
  <si>
    <t>115,00</t>
  </si>
  <si>
    <t>350,0</t>
  </si>
  <si>
    <t>362,5</t>
  </si>
  <si>
    <t>367,5</t>
  </si>
  <si>
    <t>Benchpress</t>
  </si>
  <si>
    <t>Baklykova Olga</t>
  </si>
  <si>
    <t>Open (07.05.1964)/56</t>
  </si>
  <si>
    <t>74,80</t>
  </si>
  <si>
    <t>117,5</t>
  </si>
  <si>
    <t>120,0</t>
  </si>
  <si>
    <t>Blotskaya Viktoriya</t>
  </si>
  <si>
    <t>Masters 55-59 (07.05.1964)/56</t>
  </si>
  <si>
    <t>Body Weight Category  67.5</t>
  </si>
  <si>
    <t>Open (14.07.1985)/35</t>
  </si>
  <si>
    <t>61,50</t>
  </si>
  <si>
    <t>130,0</t>
  </si>
  <si>
    <t>Juniors 20-23 (04.10.1997)/23</t>
  </si>
  <si>
    <t>73,40</t>
  </si>
  <si>
    <t>125,0</t>
  </si>
  <si>
    <t>Prikhodko Pavel</t>
  </si>
  <si>
    <t>Open (13.04.1974)/46</t>
  </si>
  <si>
    <t>82,00</t>
  </si>
  <si>
    <t>150,0</t>
  </si>
  <si>
    <t>165,0</t>
  </si>
  <si>
    <t>Masters 45-49 (13.04.1974)/46</t>
  </si>
  <si>
    <t>Body Weight Category  90</t>
  </si>
  <si>
    <t>Murashko Aleksandr</t>
  </si>
  <si>
    <t>Open (29.03.1983)/37</t>
  </si>
  <si>
    <t>90,00</t>
  </si>
  <si>
    <t>127,5</t>
  </si>
  <si>
    <t>Romanenko Vyacheslav</t>
  </si>
  <si>
    <t>Open (04.08.1986)/34</t>
  </si>
  <si>
    <t>99,00</t>
  </si>
  <si>
    <t>170,0</t>
  </si>
  <si>
    <t>Burdinskiy</t>
  </si>
  <si>
    <t>112,5</t>
  </si>
  <si>
    <t>122,5</t>
  </si>
  <si>
    <t>Lovtsov Ilya</t>
  </si>
  <si>
    <t>Open (02.08.1994)/26</t>
  </si>
  <si>
    <t>117,10</t>
  </si>
  <si>
    <t>222,5</t>
  </si>
  <si>
    <t>Suslov Nikolay</t>
  </si>
  <si>
    <t>Body Weight Category  140</t>
  </si>
  <si>
    <t>Open (18.05.1974)/46</t>
  </si>
  <si>
    <t>137,20</t>
  </si>
  <si>
    <t>221,0</t>
  </si>
  <si>
    <t>Masters 45-49 (18.05.1974)/46</t>
  </si>
  <si>
    <t>250,0</t>
  </si>
  <si>
    <t>262,5</t>
  </si>
  <si>
    <t>267,5</t>
  </si>
  <si>
    <t>Squat</t>
  </si>
  <si>
    <t>Teen 18-19 (09.04.2002)/18</t>
  </si>
  <si>
    <t>77,00</t>
  </si>
  <si>
    <t>90,0</t>
  </si>
  <si>
    <t>95,0</t>
  </si>
  <si>
    <t>102,5</t>
  </si>
  <si>
    <t>155,0</t>
  </si>
  <si>
    <t>Shabanov Aleksandr</t>
  </si>
  <si>
    <t>Open (14.01.1987)/34</t>
  </si>
  <si>
    <t>81,90</t>
  </si>
  <si>
    <t>265,0</t>
  </si>
  <si>
    <t>275,0</t>
  </si>
  <si>
    <t>180,0</t>
  </si>
  <si>
    <t>260,0</t>
  </si>
  <si>
    <t>270,0</t>
  </si>
  <si>
    <t>Teen 18-19 (09.10.2002)/18</t>
  </si>
  <si>
    <t>92,10</t>
  </si>
  <si>
    <t>Juniors 20-23 (27.04.2000)/20</t>
  </si>
  <si>
    <t>99,10</t>
  </si>
  <si>
    <t>175,0</t>
  </si>
  <si>
    <t>132,5</t>
  </si>
  <si>
    <t>167,0</t>
  </si>
  <si>
    <t>Juniors 20-23 (08.03.1999)/21</t>
  </si>
  <si>
    <t>106,10</t>
  </si>
  <si>
    <t>195,0</t>
  </si>
  <si>
    <t>200,0</t>
  </si>
  <si>
    <t>Open (12.02.1964)/57</t>
  </si>
  <si>
    <t>220,0</t>
  </si>
  <si>
    <t>230,0</t>
  </si>
  <si>
    <t>232,5</t>
  </si>
  <si>
    <t>Open (15.06.1993)/27</t>
  </si>
  <si>
    <t>114,90</t>
  </si>
  <si>
    <t>370,0</t>
  </si>
  <si>
    <t>390,0</t>
  </si>
  <si>
    <t>400,0</t>
  </si>
  <si>
    <t>360,0</t>
  </si>
  <si>
    <t>380,0</t>
  </si>
  <si>
    <t>382,5</t>
  </si>
  <si>
    <t>Body Weight Category  48</t>
  </si>
  <si>
    <t>Open (04.09.1986)/34</t>
  </si>
  <si>
    <t>47,30</t>
  </si>
  <si>
    <t>Body Weight Category  56</t>
  </si>
  <si>
    <t>Open (01.03.1992)/29</t>
  </si>
  <si>
    <t>55,00</t>
  </si>
  <si>
    <t>137,5</t>
  </si>
  <si>
    <t>142,5</t>
  </si>
  <si>
    <t>Arkhipov Ivan</t>
  </si>
  <si>
    <t>Body Weight Category  60</t>
  </si>
  <si>
    <t>Mikhaylova Anastasiya</t>
  </si>
  <si>
    <t>Open (27.07.1992)/28</t>
  </si>
  <si>
    <t>56,20</t>
  </si>
  <si>
    <t>Ilchenko Viktor</t>
  </si>
  <si>
    <t>Kruglova Yuliya</t>
  </si>
  <si>
    <t>Open (04.07.1987)/33</t>
  </si>
  <si>
    <t>58,70</t>
  </si>
  <si>
    <t>105,0</t>
  </si>
  <si>
    <t>Soshnikova Tatyana</t>
  </si>
  <si>
    <t>Open (18.06.1987)/33</t>
  </si>
  <si>
    <t>74,20</t>
  </si>
  <si>
    <t>Open (03.02.1987)/34</t>
  </si>
  <si>
    <t>71,80</t>
  </si>
  <si>
    <t>107,5</t>
  </si>
  <si>
    <t>Masters 50-54 (17.02.1969)/52</t>
  </si>
  <si>
    <t>79,40</t>
  </si>
  <si>
    <t>Shishkovskaya Irina</t>
  </si>
  <si>
    <t>Romashin Roman</t>
  </si>
  <si>
    <t>Open (22.11.1996)/24</t>
  </si>
  <si>
    <t>55,50</t>
  </si>
  <si>
    <t>Taakh Aleksandr</t>
  </si>
  <si>
    <t>Yemelichev Dmitriy</t>
  </si>
  <si>
    <t>Teen 13-15 (08.11.2005)/15</t>
  </si>
  <si>
    <t>58,10</t>
  </si>
  <si>
    <t>Teen 16-17 (25.04.2004)/16</t>
  </si>
  <si>
    <t>Open (11.08.1987)/33</t>
  </si>
  <si>
    <t>59,50</t>
  </si>
  <si>
    <t>Sazonov Dmitriy</t>
  </si>
  <si>
    <t>Open (07.04.1996)/24</t>
  </si>
  <si>
    <t>59,20</t>
  </si>
  <si>
    <t>Teen 16-17 (27.09.2003)/17</t>
  </si>
  <si>
    <t>69,90</t>
  </si>
  <si>
    <t>Open (05.10.1991)/29</t>
  </si>
  <si>
    <t>69,70</t>
  </si>
  <si>
    <t>227,5</t>
  </si>
  <si>
    <t>Bodyagin Ivan</t>
  </si>
  <si>
    <t>Open (21.07.1995)/25</t>
  </si>
  <si>
    <t>70,10</t>
  </si>
  <si>
    <t>202,5</t>
  </si>
  <si>
    <t>Masters 55-59 (14.05.1961)/59</t>
  </si>
  <si>
    <t>71,90</t>
  </si>
  <si>
    <t>Israilov Arbi</t>
  </si>
  <si>
    <t>Masters 60-64 (25.05.1957)/63</t>
  </si>
  <si>
    <t>74,60</t>
  </si>
  <si>
    <t>Shishkov Sergey</t>
  </si>
  <si>
    <t>Juniors 20-23 (28.12.1999)/21</t>
  </si>
  <si>
    <t>80,30</t>
  </si>
  <si>
    <t>187,5</t>
  </si>
  <si>
    <t>Kolesnikov Yegor</t>
  </si>
  <si>
    <t>Open (22.04.1977)/43</t>
  </si>
  <si>
    <t>81,00</t>
  </si>
  <si>
    <t>Vedishchev Maksim</t>
  </si>
  <si>
    <t>Vashchenko Andrey</t>
  </si>
  <si>
    <t>Open (09.04.1984)/36</t>
  </si>
  <si>
    <t>Masters 40-44 (22.04.1977)/43</t>
  </si>
  <si>
    <t>Kolyukhov Andrey</t>
  </si>
  <si>
    <t>Masters 40-44 (25.04.1979)/41</t>
  </si>
  <si>
    <t>81,30</t>
  </si>
  <si>
    <t>Rudenko Vitaliy</t>
  </si>
  <si>
    <t>Masters 40-44 (27.09.1978)/42</t>
  </si>
  <si>
    <t>80,00</t>
  </si>
  <si>
    <t>Masters 65-69 (21.06.1953)/67</t>
  </si>
  <si>
    <t>75,30</t>
  </si>
  <si>
    <t>Shabaldin Petr</t>
  </si>
  <si>
    <t>Masters 70-74 (05.11.1949)/71</t>
  </si>
  <si>
    <t>185,0</t>
  </si>
  <si>
    <t>1. Klimenkov Artem</t>
  </si>
  <si>
    <t>Teen 16-17 (11.08.2004)/16</t>
  </si>
  <si>
    <t>89,90</t>
  </si>
  <si>
    <t>Yelenskiy</t>
  </si>
  <si>
    <t>1. Vedishchev Maksim</t>
  </si>
  <si>
    <t>Open (17.05.1978)/42</t>
  </si>
  <si>
    <t>89,30</t>
  </si>
  <si>
    <t>295,0</t>
  </si>
  <si>
    <t>2. Abdullayev Shadig</t>
  </si>
  <si>
    <t>Open (29.05.1996)/24</t>
  </si>
  <si>
    <t>87,70</t>
  </si>
  <si>
    <t>Shchetinin Anton</t>
  </si>
  <si>
    <t>3. Shchetinin Anton</t>
  </si>
  <si>
    <t>Open (23.11.1985)/35</t>
  </si>
  <si>
    <t>Open (27.06.1991)/29</t>
  </si>
  <si>
    <t>87,40</t>
  </si>
  <si>
    <t>Yelenskiy A.A</t>
  </si>
  <si>
    <t>Masters 40-44 (17.05.1978)/42</t>
  </si>
  <si>
    <t>Open (21.01.1985)/36</t>
  </si>
  <si>
    <t>98,50</t>
  </si>
  <si>
    <t>Open (04.08.1987)/33</t>
  </si>
  <si>
    <t>96,60</t>
  </si>
  <si>
    <t>162,5</t>
  </si>
  <si>
    <t>Masters 45-49 (28.07.1972)/48</t>
  </si>
  <si>
    <t>Umerenkov Igor</t>
  </si>
  <si>
    <t>Open (13.09.1980)/40</t>
  </si>
  <si>
    <t>109,70</t>
  </si>
  <si>
    <t>Gritsayenko D.V.</t>
  </si>
  <si>
    <t>Open (17.07.1979)/41</t>
  </si>
  <si>
    <t>104,80</t>
  </si>
  <si>
    <t>245,0</t>
  </si>
  <si>
    <t>Masters 40-44 (13.09.1980)/40</t>
  </si>
  <si>
    <t>Masters 40-44 (17.07.1979)/41</t>
  </si>
  <si>
    <t>Masters 50-54 (20.07.1968)/52</t>
  </si>
  <si>
    <t>116,50</t>
  </si>
  <si>
    <t>Telidis Kostas</t>
  </si>
  <si>
    <t>Timirev Aleksandr</t>
  </si>
  <si>
    <t>Masters 50-54 (26.04.1969)/51</t>
  </si>
  <si>
    <t>98,10</t>
  </si>
  <si>
    <t>Abdullayev Malik</t>
  </si>
  <si>
    <t>Masters 40-44 (29.09.1977)/43</t>
  </si>
  <si>
    <t>107,70</t>
  </si>
  <si>
    <t>Razloma Natalya</t>
  </si>
  <si>
    <t>Open (04.02.1990)/31</t>
  </si>
  <si>
    <t>51,90</t>
  </si>
  <si>
    <t>50,0</t>
  </si>
  <si>
    <t>52,5</t>
  </si>
  <si>
    <t>55,0</t>
  </si>
  <si>
    <t>Lapina Mariya</t>
  </si>
  <si>
    <t>Open (24.01.1988)/33</t>
  </si>
  <si>
    <t>51,40</t>
  </si>
  <si>
    <t>40,0</t>
  </si>
  <si>
    <t>42,5</t>
  </si>
  <si>
    <t>Juniors 20-23 (10.12.1997)/23</t>
  </si>
  <si>
    <t>54,90</t>
  </si>
  <si>
    <t>Glushak Nikita</t>
  </si>
  <si>
    <t>62,5</t>
  </si>
  <si>
    <t>70,0</t>
  </si>
  <si>
    <t>72,5</t>
  </si>
  <si>
    <t>Chibisova Yelena</t>
  </si>
  <si>
    <t>Teen 16-17 (23.10.2003)/17</t>
  </si>
  <si>
    <t>58,00</t>
  </si>
  <si>
    <t>47,5</t>
  </si>
  <si>
    <t>Body Weight Category  44</t>
  </si>
  <si>
    <t>Children 11-12 (15.09.2009)/11</t>
  </si>
  <si>
    <t>30,00</t>
  </si>
  <si>
    <t>35,0</t>
  </si>
  <si>
    <t>45,0</t>
  </si>
  <si>
    <t>Children 11-12 (19.05.2009)/11</t>
  </si>
  <si>
    <t>51,00</t>
  </si>
  <si>
    <t>Kabanchenko Anatoliy</t>
  </si>
  <si>
    <t>75,0</t>
  </si>
  <si>
    <t>Open (22.11.1992)/28</t>
  </si>
  <si>
    <t>57,00</t>
  </si>
  <si>
    <t>Teen 16-17 (13.07.2003)/17</t>
  </si>
  <si>
    <t>64,30</t>
  </si>
  <si>
    <t>Goncharov Aleksandr</t>
  </si>
  <si>
    <t>67,30</t>
  </si>
  <si>
    <t>92,5</t>
  </si>
  <si>
    <t>Masters 55-59 (06.09.1962)/58</t>
  </si>
  <si>
    <t>64,50</t>
  </si>
  <si>
    <t>85,0</t>
  </si>
  <si>
    <t>Open (07.08.1995)/25</t>
  </si>
  <si>
    <t>74,90</t>
  </si>
  <si>
    <t>Open (22.09.1995)/25</t>
  </si>
  <si>
    <t>73,20</t>
  </si>
  <si>
    <t>80,0</t>
  </si>
  <si>
    <t>Juniors 20-23 (28.05.1997)/23</t>
  </si>
  <si>
    <t>78,80</t>
  </si>
  <si>
    <t>Borok Anton</t>
  </si>
  <si>
    <t>Open (16.12.1985)/35</t>
  </si>
  <si>
    <t>81,40</t>
  </si>
  <si>
    <t>157,5</t>
  </si>
  <si>
    <t>Open (03.04.1992)/28</t>
  </si>
  <si>
    <t>80,90</t>
  </si>
  <si>
    <t>Open (13.04.1989)/31</t>
  </si>
  <si>
    <t>Masters 65-69 (10.11.1953)/67</t>
  </si>
  <si>
    <t>81,80</t>
  </si>
  <si>
    <t>Open (05.10.1997)/23</t>
  </si>
  <si>
    <t>88,40</t>
  </si>
  <si>
    <t>Open (03.08.1983)/37</t>
  </si>
  <si>
    <t>87,60</t>
  </si>
  <si>
    <t>Babin Petr</t>
  </si>
  <si>
    <t>Masters 45-49 (20.07.1971)/49</t>
  </si>
  <si>
    <t>87,00</t>
  </si>
  <si>
    <t>Nikeshin Vladimir</t>
  </si>
  <si>
    <t>Masters 60-64 (22.05.1956)/64</t>
  </si>
  <si>
    <t>Open (05.02.1997)/24</t>
  </si>
  <si>
    <t>98,60</t>
  </si>
  <si>
    <t>Ten Vyacheslav</t>
  </si>
  <si>
    <t>Open (25.03.1958)/62</t>
  </si>
  <si>
    <t>97,10</t>
  </si>
  <si>
    <t>170,1</t>
  </si>
  <si>
    <t>Krupkin Vasiliy</t>
  </si>
  <si>
    <t>Open (17.02.1983)/38</t>
  </si>
  <si>
    <t>98,30</t>
  </si>
  <si>
    <t>Open (16.11.1983)/37</t>
  </si>
  <si>
    <t>97,80</t>
  </si>
  <si>
    <t>Open (18.10.1986)/34</t>
  </si>
  <si>
    <t>Masters 50-54 (21.04.1968)/52</t>
  </si>
  <si>
    <t>96,80</t>
  </si>
  <si>
    <t>Masters 60-64 (25.03.1958)/62</t>
  </si>
  <si>
    <t>192,5</t>
  </si>
  <si>
    <t>Open (03.05.1994)/26</t>
  </si>
  <si>
    <t>103,60</t>
  </si>
  <si>
    <t>182,5</t>
  </si>
  <si>
    <t>Masters 45-49 (18.01.1974)/47</t>
  </si>
  <si>
    <t>105,00</t>
  </si>
  <si>
    <t>Masters 50-54 (25.04.1969)/51</t>
  </si>
  <si>
    <t>107,00</t>
  </si>
  <si>
    <t>Rogozin Arseniy</t>
  </si>
  <si>
    <t>Open (30.11.1993)/27</t>
  </si>
  <si>
    <t>125,00</t>
  </si>
  <si>
    <t>Open (13.03.1988)/32</t>
  </si>
  <si>
    <t>113,90</t>
  </si>
  <si>
    <t>Masters 60-64 (30.04.1956)/64</t>
  </si>
  <si>
    <t>124,70</t>
  </si>
  <si>
    <t>Open (06.05.1971)/49</t>
  </si>
  <si>
    <t>138,90</t>
  </si>
  <si>
    <t>Masters 45-49 (06.05.1971)/49</t>
  </si>
  <si>
    <t>Teen 16-17 (15.04.2003)/17</t>
  </si>
  <si>
    <t>47,80</t>
  </si>
  <si>
    <t>60,0</t>
  </si>
  <si>
    <t>67,5</t>
  </si>
  <si>
    <t>Marochenko Lyubov</t>
  </si>
  <si>
    <t>Open (11.02.1996)/25</t>
  </si>
  <si>
    <t>59,30</t>
  </si>
  <si>
    <t>65,0</t>
  </si>
  <si>
    <t>Ovchinnikova Alena</t>
  </si>
  <si>
    <t>Open (17.11.1988)/32</t>
  </si>
  <si>
    <t>59,10</t>
  </si>
  <si>
    <t>57,5</t>
  </si>
  <si>
    <t>Pavlova Lyudmila</t>
  </si>
  <si>
    <t>Masters 40-44 (04.06.1976)/44</t>
  </si>
  <si>
    <t>59,00</t>
  </si>
  <si>
    <t>132,0</t>
  </si>
  <si>
    <t>Baklykova</t>
  </si>
  <si>
    <t>Terekhova Yekaterina</t>
  </si>
  <si>
    <t>Open (10.08.1985)/35</t>
  </si>
  <si>
    <t>77,5</t>
  </si>
  <si>
    <t>82,5</t>
  </si>
  <si>
    <t>87,5</t>
  </si>
  <si>
    <t>Ryabukhin Sergey</t>
  </si>
  <si>
    <t>Juniors 20-23 (05.02.1999)/22</t>
  </si>
  <si>
    <t>73,60</t>
  </si>
  <si>
    <t>Miroshnichenko Mikhail</t>
  </si>
  <si>
    <t>Juniors 20-23 (16.11.2000)/20</t>
  </si>
  <si>
    <t>80,10</t>
  </si>
  <si>
    <t>207,5</t>
  </si>
  <si>
    <t>Panchenko Yevgeniy</t>
  </si>
  <si>
    <t>Open (13.11.1982)/38</t>
  </si>
  <si>
    <t>Lyannoy Oleg</t>
  </si>
  <si>
    <t>Open (24.11.1987)/33</t>
  </si>
  <si>
    <t>272,5</t>
  </si>
  <si>
    <t>Chmil Sergey</t>
  </si>
  <si>
    <t>Open (07.08.1993)/27</t>
  </si>
  <si>
    <t>96,90</t>
  </si>
  <si>
    <t>247,5</t>
  </si>
  <si>
    <t>Vlasov Aleksey</t>
  </si>
  <si>
    <t>Open (07.09.1996)/24</t>
  </si>
  <si>
    <t>92,30</t>
  </si>
  <si>
    <t>Sidletskiy</t>
  </si>
  <si>
    <t>Open (16.08.1985)/35</t>
  </si>
  <si>
    <t>312,5</t>
  </si>
  <si>
    <t>Open (14.10.1985)/35</t>
  </si>
  <si>
    <t>Kazak Aleksandr</t>
  </si>
  <si>
    <t>252,5</t>
  </si>
  <si>
    <t>Shchur Andrey</t>
  </si>
  <si>
    <t>290,0</t>
  </si>
  <si>
    <t>135,00</t>
  </si>
  <si>
    <t>Open (03.05.1984)/36</t>
  </si>
  <si>
    <t>242,5</t>
  </si>
  <si>
    <t>109,40</t>
  </si>
  <si>
    <t>Masters 40-44 (09.10.1978)/42</t>
  </si>
  <si>
    <t>Masters 40-44 (20.11.1977)/43</t>
  </si>
  <si>
    <t>86,90</t>
  </si>
  <si>
    <t>Open (04.04.1993)/27</t>
  </si>
  <si>
    <t>Belets Yelisey</t>
  </si>
  <si>
    <t>Masters 45-49 (04.06.1973)/47</t>
  </si>
  <si>
    <t>Svinarchuk Roman</t>
  </si>
  <si>
    <t>Lir Sergey</t>
  </si>
  <si>
    <t>101,60</t>
  </si>
  <si>
    <t>Masters 40-44 (23.05.1980)/40</t>
  </si>
  <si>
    <t>99,70</t>
  </si>
  <si>
    <t>Open (03.08.1982)/38</t>
  </si>
  <si>
    <t>Ivasenko Aleksey</t>
  </si>
  <si>
    <t>325,0</t>
  </si>
  <si>
    <t>Levchenko Yevgeniy</t>
  </si>
  <si>
    <t>340,0</t>
  </si>
  <si>
    <t>115,80</t>
  </si>
  <si>
    <t>Open (04.10.1980)/40</t>
  </si>
  <si>
    <t>99,60</t>
  </si>
  <si>
    <t>Open (25.06.1993)/27</t>
  </si>
  <si>
    <t>WORLD CHAMPIONS CUP
WPC st. soft eq. benchpress
Blagoveshchensk/Amur Region 7 march 2021 г.</t>
  </si>
  <si>
    <t>WORLD CHAMPIONS CUP
WPC MP soft eq. benchpress
Blagoveshchensk/Amur Region 7 march 2021 г.</t>
  </si>
  <si>
    <t>WORLD CHAMPIONS CUP
AWPC st. soft eq. benchpress
Blagoveshchensk/Amur Region 6 march 2021 г.</t>
  </si>
  <si>
    <t>WORLD CHAMPIONS CUP
AWPC MP soft eq. benchpress
Blagoveshchensk/Amur Region 6 march 2021 г.</t>
  </si>
  <si>
    <t>WORLD CHAMPIONS CUP
WPA raw deadlift
Blagoveshchensk/Amur Region 7 march 2021 г.</t>
  </si>
  <si>
    <t>WORLD CHAMPIONS CUP
WPA raw benchpress
Blagoveshchensk/Amur Region 7 march 2021 г.</t>
  </si>
  <si>
    <t>WORLD CHAMPIONS CUP
WPA standart ply benchpress
Blagoveshchensk/Amur Region 7 march 2021 г.</t>
  </si>
  <si>
    <t>WORLD CHAMPIONS CUP
WPA raw powerlifting
Blagoveshchensk/Amur Region 7 march 2021 г.</t>
  </si>
  <si>
    <t>WORLD CHAMPIONS CUP
WPA standart ply powerlifting
Blagoveshchensk/Amur Region 7 march 2021 г.</t>
  </si>
  <si>
    <t>WORLD CHAMPIONS CUP
AWPA raw deadlift
Blagoveshchensk/Amur Region 6 march 2021 г.</t>
  </si>
  <si>
    <t>WORLD CHAMPIONS CUP
AWPA standart ply deadlift
Blagoveshchensk/Amur Region 6 march 2021 г.</t>
  </si>
  <si>
    <t>WORLD CHAMPIONS CUP
AWPA multi ply deadlift
Blagoveshchensk/Amur Region 6 march 2021 г.</t>
  </si>
  <si>
    <t>WORLD CHAMPIONS CUP
AWPA raw benchpress
Blagoveshchensk/Amur Region 6 march 2021 г.</t>
  </si>
  <si>
    <t>WORLD CHAMPIONS CUP
AWPA single ply benchpress
Blagoveshchensk/Amur Region 6 march 2021 г.</t>
  </si>
  <si>
    <t>WORLD CHAMPIONS CUP
AWPA multi ply benchpress
Blagoveshchensk/Amur Region 6 march 2021 г.</t>
  </si>
  <si>
    <t>WORLD CHAMPIONS CUP CUP
AWPA raw powerlifting
Blagoveshchensk/Amur Region 6 march 2021 г.</t>
  </si>
  <si>
    <t>WORLD CHAMPIONS CUP 
Blagoveshchensk/Amur Region 6 march 2021 г.</t>
  </si>
  <si>
    <t>WORLD CHAMPIONS CUP
WPA standart ply deadlift
Blagoveshchensk/Amur Region 7 march 2021 г.</t>
  </si>
  <si>
    <t>0</t>
  </si>
  <si>
    <t xml:space="preserve">Taakh Aleksandr </t>
  </si>
  <si>
    <t xml:space="preserve">Romanenko Olesya </t>
  </si>
  <si>
    <t xml:space="preserve">Благовещенск </t>
  </si>
  <si>
    <t>Свободный</t>
  </si>
  <si>
    <t>Биробиджан</t>
  </si>
  <si>
    <t>Чита</t>
  </si>
  <si>
    <t>Хабаровск</t>
  </si>
  <si>
    <t>Сретенск</t>
  </si>
  <si>
    <t>Владивосток</t>
  </si>
  <si>
    <t>Артем</t>
  </si>
  <si>
    <t xml:space="preserve">Нижний Новгород </t>
  </si>
  <si>
    <t>Чернышевск</t>
  </si>
  <si>
    <t>Комсомольск-на-Амуре</t>
  </si>
  <si>
    <t>Большой Камень</t>
  </si>
  <si>
    <t>Белогорск</t>
  </si>
  <si>
    <t>Якутск</t>
  </si>
  <si>
    <t>Сковородино</t>
  </si>
  <si>
    <t>Тында</t>
  </si>
  <si>
    <t>Таштагол</t>
  </si>
  <si>
    <t>Облучье</t>
  </si>
  <si>
    <t>Горячий Ключ</t>
  </si>
  <si>
    <t>Курск</t>
  </si>
  <si>
    <t>Находка</t>
  </si>
  <si>
    <t>1</t>
  </si>
  <si>
    <t>2</t>
  </si>
  <si>
    <t>Shabaldin</t>
  </si>
  <si>
    <t>place</t>
  </si>
  <si>
    <t xml:space="preserve"> Nityagovskaya Yelena</t>
  </si>
  <si>
    <t>Sokolov Svyatoslav</t>
  </si>
  <si>
    <t xml:space="preserve"> Izgagin Aleksandr</t>
  </si>
  <si>
    <t xml:space="preserve"> Pershin Nikita</t>
  </si>
  <si>
    <t xml:space="preserve"> Troyanov Ivan</t>
  </si>
  <si>
    <t xml:space="preserve"> Statkevich Stepan</t>
  </si>
  <si>
    <t xml:space="preserve"> Kroshka Nikita</t>
  </si>
  <si>
    <t xml:space="preserve"> Malyshkin Viktor</t>
  </si>
  <si>
    <t xml:space="preserve"> Kondratyuk Maksim</t>
  </si>
  <si>
    <t xml:space="preserve"> Vorontsov Mikhail</t>
  </si>
  <si>
    <t xml:space="preserve"> Musiyenko Yegor</t>
  </si>
  <si>
    <t xml:space="preserve"> Prikhodko Pavel</t>
  </si>
  <si>
    <t xml:space="preserve"> Plugovoy Vladimir</t>
  </si>
  <si>
    <t xml:space="preserve"> Posazhennikov Denis</t>
  </si>
  <si>
    <t xml:space="preserve"> Gulenkov Aleksey</t>
  </si>
  <si>
    <t xml:space="preserve"> Blotskaya Viktoriya</t>
  </si>
  <si>
    <t xml:space="preserve"> Abdullayev Malik</t>
  </si>
  <si>
    <t xml:space="preserve"> Israilov Arbi</t>
  </si>
  <si>
    <t xml:space="preserve"> Danilov Pavel</t>
  </si>
  <si>
    <t xml:space="preserve"> Gracheva Yevgeniya</t>
  </si>
  <si>
    <t xml:space="preserve"> Burchenkova Kseniya</t>
  </si>
  <si>
    <t xml:space="preserve"> Kruglova Yuliya</t>
  </si>
  <si>
    <t xml:space="preserve"> Kalashnikov Leonid</t>
  </si>
  <si>
    <t xml:space="preserve"> Kabanchenko Danil</t>
  </si>
  <si>
    <t xml:space="preserve"> Romashin Roman</t>
  </si>
  <si>
    <t xml:space="preserve"> Abubakirov Isa</t>
  </si>
  <si>
    <t xml:space="preserve"> Goncharov Ilya</t>
  </si>
  <si>
    <t xml:space="preserve"> Kalashnitsyn Anton</t>
  </si>
  <si>
    <t xml:space="preserve"> Ushnitskiy Semen</t>
  </si>
  <si>
    <t xml:space="preserve"> Shestakov Aleksandr</t>
  </si>
  <si>
    <t xml:space="preserve"> Grachev Aleksandr</t>
  </si>
  <si>
    <t xml:space="preserve"> Moskalev Artem</t>
  </si>
  <si>
    <t xml:space="preserve"> Kositsyn Yuriy</t>
  </si>
  <si>
    <t xml:space="preserve"> Krikunov Yuriy</t>
  </si>
  <si>
    <t xml:space="preserve"> Mladinovskiy Denis</t>
  </si>
  <si>
    <t xml:space="preserve"> Shemetov Vladislav</t>
  </si>
  <si>
    <t xml:space="preserve"> Sulumkhanov Shakhman</t>
  </si>
  <si>
    <t xml:space="preserve"> Chuprin Sergey</t>
  </si>
  <si>
    <t xml:space="preserve"> Kabanchenko Anatoliy</t>
  </si>
  <si>
    <t xml:space="preserve"> Shabaldin Petr</t>
  </si>
  <si>
    <t xml:space="preserve"> Klimenkov Artem</t>
  </si>
  <si>
    <t xml:space="preserve"> Vasilyev Sergey</t>
  </si>
  <si>
    <t xml:space="preserve"> Shchetinin Anton</t>
  </si>
  <si>
    <t xml:space="preserve"> Tomko Ilya</t>
  </si>
  <si>
    <t xml:space="preserve"> Yegorchev Timofey</t>
  </si>
  <si>
    <t xml:space="preserve"> Nikeshin Vladimir</t>
  </si>
  <si>
    <t xml:space="preserve"> Gasanov Emil</t>
  </si>
  <si>
    <t xml:space="preserve"> Babin Petr</t>
  </si>
  <si>
    <t xml:space="preserve"> Vishnevskiy Karol</t>
  </si>
  <si>
    <t xml:space="preserve"> Taakh Aleksandr</t>
  </si>
  <si>
    <t xml:space="preserve"> Shurygin Sergey</t>
  </si>
  <si>
    <t xml:space="preserve"> Gritsayenko Dmitriy</t>
  </si>
  <si>
    <t xml:space="preserve"> Bakulin Yegor</t>
  </si>
  <si>
    <t xml:space="preserve"> Gamzayev Vadim</t>
  </si>
  <si>
    <t xml:space="preserve"> Rogozin Andrey</t>
  </si>
  <si>
    <t xml:space="preserve"> Gorshenin Oleg</t>
  </si>
  <si>
    <t xml:space="preserve"> Kondratenko Vladimir</t>
  </si>
  <si>
    <t xml:space="preserve"> Shishkov Sergey</t>
  </si>
  <si>
    <t xml:space="preserve"> Lyuksin Albert</t>
  </si>
  <si>
    <t xml:space="preserve"> Rybalka Yuriy</t>
  </si>
  <si>
    <t xml:space="preserve"> Tolstova Svetlana</t>
  </si>
  <si>
    <t xml:space="preserve"> Mikhaylova Anastasiya</t>
  </si>
  <si>
    <t xml:space="preserve"> Soshnikova Tatyana</t>
  </si>
  <si>
    <t xml:space="preserve"> Alekseyeva Yevgeniya</t>
  </si>
  <si>
    <t xml:space="preserve"> Ageyenko Yelena</t>
  </si>
  <si>
    <t xml:space="preserve"> Yemelichev Dmitriy</t>
  </si>
  <si>
    <t xml:space="preserve"> Korostelev Danil</t>
  </si>
  <si>
    <t xml:space="preserve"> Moskalenko Vladimir</t>
  </si>
  <si>
    <t xml:space="preserve"> Sazonov Dmitriy</t>
  </si>
  <si>
    <t xml:space="preserve"> Zinchenko Yegor</t>
  </si>
  <si>
    <t xml:space="preserve"> Maslov Nikita</t>
  </si>
  <si>
    <t xml:space="preserve"> Dolgopolov Eduard</t>
  </si>
  <si>
    <t xml:space="preserve"> Vashchenko Andrey</t>
  </si>
  <si>
    <t xml:space="preserve"> Rudenko Vitaliy</t>
  </si>
  <si>
    <t xml:space="preserve"> Vedishchev Maksim</t>
  </si>
  <si>
    <t xml:space="preserve"> Safronenko Gleb</t>
  </si>
  <si>
    <t xml:space="preserve"> Maglakelidze Dmitriy</t>
  </si>
  <si>
    <t xml:space="preserve"> Umerenkov Igor</t>
  </si>
  <si>
    <t xml:space="preserve"> Shirokov Mikhail</t>
  </si>
  <si>
    <t xml:space="preserve"> Kolisnichenko Aleksey</t>
  </si>
  <si>
    <t xml:space="preserve"> Baklykova Olga</t>
  </si>
  <si>
    <t xml:space="preserve"> Konyakhin Ivan</t>
  </si>
  <si>
    <t xml:space="preserve"> Zaika Oleg</t>
  </si>
  <si>
    <t xml:space="preserve"> Ostanin Vasiliy</t>
  </si>
  <si>
    <t xml:space="preserve"> Degtyarenko Roman</t>
  </si>
  <si>
    <t xml:space="preserve"> Soldatov Denis</t>
  </si>
  <si>
    <t xml:space="preserve"> Semenov Konstantin</t>
  </si>
  <si>
    <t xml:space="preserve"> Yudin Vyacheslav</t>
  </si>
  <si>
    <t xml:space="preserve"> Stepanyuk Yevgeniy</t>
  </si>
  <si>
    <t xml:space="preserve"> Novoselov Leonid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</si>
</sst>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49" fontId="4" fillId="0" borderId="12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4" fillId="0" borderId="8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4" fillId="0" borderId="13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left"/>
    </xf>
    <xf numFmtId="49" fontId="1" fillId="0" borderId="17" xfId="0" applyNumberFormat="1" applyFont="1" applyFill="1" applyBorder="1" applyAlignment="1">
      <alignment horizontal="left"/>
    </xf>
    <xf numFmtId="49" fontId="1" fillId="0" borderId="18" xfId="0" applyNumberFormat="1" applyFont="1" applyFill="1" applyBorder="1" applyAlignment="1">
      <alignment horizontal="left"/>
    </xf>
    <xf numFmtId="49" fontId="1" fillId="0" borderId="19" xfId="0" applyNumberFormat="1" applyFont="1" applyFill="1" applyBorder="1" applyAlignment="1">
      <alignment horizontal="left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7"/>
  <sheetViews>
    <sheetView tabSelected="1" workbookViewId="0">
      <selection activeCell="A2" sqref="A2"/>
    </sheetView>
  </sheetViews>
  <sheetFormatPr defaultRowHeight="12.75" x14ac:dyDescent="0.2"/>
  <cols>
    <col min="1" max="1" width="9.140625" style="3"/>
    <col min="2" max="2" width="27" style="4" bestFit="1" customWidth="1"/>
    <col min="3" max="3" width="26.85546875" style="5" bestFit="1" customWidth="1"/>
    <col min="4" max="4" width="7.7109375" style="5" bestFit="1" customWidth="1"/>
    <col min="5" max="5" width="14.5703125" style="4" bestFit="1" customWidth="1"/>
    <col min="6" max="6" width="5.5703125" style="5" customWidth="1"/>
    <col min="7" max="8" width="2.140625" style="5" customWidth="1"/>
    <col min="9" max="9" width="5" style="5" customWidth="1"/>
    <col min="10" max="10" width="5.5703125" style="5" customWidth="1"/>
    <col min="11" max="12" width="2.140625" style="5" customWidth="1"/>
    <col min="13" max="13" width="5" style="5" customWidth="1"/>
    <col min="14" max="14" width="5.5703125" style="5" customWidth="1"/>
    <col min="15" max="16" width="2.140625" style="5" customWidth="1"/>
    <col min="17" max="17" width="5" style="5" customWidth="1"/>
    <col min="18" max="18" width="6.140625" style="14" bestFit="1" customWidth="1"/>
    <col min="19" max="19" width="8.5703125" style="15" bestFit="1" customWidth="1"/>
    <col min="20" max="20" width="12.7109375" style="4" bestFit="1" customWidth="1"/>
    <col min="21" max="16384" width="9.140625" style="3"/>
  </cols>
  <sheetData>
    <row r="1" spans="1:20" s="2" customFormat="1" ht="29.1" customHeight="1" x14ac:dyDescent="0.2">
      <c r="B1" s="50" t="s">
        <v>460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</row>
    <row r="2" spans="1:20" s="2" customFormat="1" ht="62.1" customHeight="1" thickBo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5"/>
    </row>
    <row r="3" spans="1:20" s="1" customFormat="1" ht="12.75" customHeight="1" x14ac:dyDescent="0.2">
      <c r="B3" s="35" t="s">
        <v>0</v>
      </c>
      <c r="C3" s="37" t="s">
        <v>6</v>
      </c>
      <c r="D3" s="37" t="s">
        <v>4</v>
      </c>
      <c r="E3" s="39" t="s">
        <v>7</v>
      </c>
      <c r="F3" s="39" t="s">
        <v>117</v>
      </c>
      <c r="G3" s="39"/>
      <c r="H3" s="39"/>
      <c r="I3" s="39"/>
      <c r="J3" s="39" t="s">
        <v>71</v>
      </c>
      <c r="K3" s="39"/>
      <c r="L3" s="39"/>
      <c r="M3" s="39"/>
      <c r="N3" s="39" t="s">
        <v>8</v>
      </c>
      <c r="O3" s="39"/>
      <c r="P3" s="39"/>
      <c r="Q3" s="39"/>
      <c r="R3" s="39" t="s">
        <v>5</v>
      </c>
      <c r="S3" s="39" t="s">
        <v>2</v>
      </c>
      <c r="T3" s="40" t="s">
        <v>1</v>
      </c>
    </row>
    <row r="4" spans="1:20" s="1" customFormat="1" ht="23.25" customHeight="1" thickBot="1" x14ac:dyDescent="0.25">
      <c r="A4" s="1" t="s">
        <v>489</v>
      </c>
      <c r="B4" s="36"/>
      <c r="C4" s="38"/>
      <c r="D4" s="38"/>
      <c r="E4" s="38"/>
      <c r="F4" s="6">
        <v>1</v>
      </c>
      <c r="G4" s="6">
        <v>2</v>
      </c>
      <c r="H4" s="6">
        <v>3</v>
      </c>
      <c r="I4" s="6" t="s">
        <v>3</v>
      </c>
      <c r="J4" s="6">
        <v>1</v>
      </c>
      <c r="K4" s="6">
        <v>2</v>
      </c>
      <c r="L4" s="6">
        <v>3</v>
      </c>
      <c r="M4" s="6" t="s">
        <v>3</v>
      </c>
      <c r="N4" s="6">
        <v>1</v>
      </c>
      <c r="O4" s="6">
        <v>2</v>
      </c>
      <c r="P4" s="6">
        <v>3</v>
      </c>
      <c r="Q4" s="6" t="s">
        <v>3</v>
      </c>
      <c r="R4" s="38"/>
      <c r="S4" s="38"/>
      <c r="T4" s="41"/>
    </row>
    <row r="5" spans="1:20" s="5" customFormat="1" ht="15" x14ac:dyDescent="0.2">
      <c r="B5" s="31" t="s">
        <v>64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4"/>
      <c r="S5" s="15"/>
      <c r="T5" s="4"/>
    </row>
    <row r="6" spans="1:20" s="5" customFormat="1" x14ac:dyDescent="0.2">
      <c r="A6" s="5" t="s">
        <v>486</v>
      </c>
      <c r="B6" s="8" t="s">
        <v>206</v>
      </c>
      <c r="C6" s="9" t="s">
        <v>264</v>
      </c>
      <c r="D6" s="9" t="s">
        <v>265</v>
      </c>
      <c r="E6" s="8" t="s">
        <v>465</v>
      </c>
      <c r="F6" s="9" t="s">
        <v>142</v>
      </c>
      <c r="G6" s="42">
        <v>0</v>
      </c>
      <c r="H6" s="42">
        <v>0</v>
      </c>
      <c r="I6" s="9"/>
      <c r="J6" s="9" t="s">
        <v>50</v>
      </c>
      <c r="K6" s="42">
        <v>0</v>
      </c>
      <c r="L6" s="42">
        <v>0</v>
      </c>
      <c r="M6" s="9"/>
      <c r="N6" s="9" t="s">
        <v>142</v>
      </c>
      <c r="O6" s="42">
        <v>0</v>
      </c>
      <c r="P6" s="42">
        <v>0</v>
      </c>
      <c r="Q6" s="10"/>
      <c r="R6" s="16" t="str">
        <f>"515,0"</f>
        <v>515,0</v>
      </c>
      <c r="S6" s="17" t="str">
        <f>"338,2489"</f>
        <v>338,2489</v>
      </c>
      <c r="T6" s="8" t="s">
        <v>266</v>
      </c>
    </row>
    <row r="7" spans="1:20" s="5" customFormat="1" x14ac:dyDescent="0.2">
      <c r="B7" s="4"/>
      <c r="E7" s="4"/>
      <c r="R7" s="14"/>
      <c r="S7" s="15"/>
      <c r="T7" s="4"/>
    </row>
  </sheetData>
  <mergeCells count="12">
    <mergeCell ref="R3:R4"/>
    <mergeCell ref="S3:S4"/>
    <mergeCell ref="T3:T4"/>
    <mergeCell ref="B5:Q5"/>
    <mergeCell ref="B1:T2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  <pageSetup orientation="portrait" horizontalDpi="300" verticalDpi="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"/>
  <sheetViews>
    <sheetView workbookViewId="0">
      <selection activeCell="A2" sqref="A2"/>
    </sheetView>
  </sheetViews>
  <sheetFormatPr defaultRowHeight="12.75" x14ac:dyDescent="0.2"/>
  <cols>
    <col min="1" max="1" width="9.140625" style="3"/>
    <col min="2" max="2" width="27" style="4" bestFit="1" customWidth="1"/>
    <col min="3" max="3" width="26.85546875" style="5" bestFit="1" customWidth="1"/>
    <col min="4" max="4" width="7.7109375" style="5" bestFit="1" customWidth="1"/>
    <col min="5" max="5" width="14.5703125" style="4" bestFit="1" customWidth="1"/>
    <col min="6" max="7" width="5.5703125" style="5" customWidth="1"/>
    <col min="8" max="8" width="2.140625" style="5" customWidth="1"/>
    <col min="9" max="9" width="5" style="5" customWidth="1"/>
    <col min="10" max="10" width="6.140625" style="14" bestFit="1" customWidth="1"/>
    <col min="11" max="11" width="7.5703125" style="15" bestFit="1" customWidth="1"/>
    <col min="12" max="12" width="10.42578125" style="4" bestFit="1" customWidth="1"/>
    <col min="13" max="16384" width="9.140625" style="3"/>
  </cols>
  <sheetData>
    <row r="1" spans="1:12" s="2" customFormat="1" ht="29.1" customHeight="1" x14ac:dyDescent="0.2">
      <c r="B1" s="50" t="s">
        <v>457</v>
      </c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s="2" customFormat="1" ht="99.75" customHeight="1" thickBo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2" s="1" customFormat="1" ht="12.75" customHeight="1" x14ac:dyDescent="0.2">
      <c r="B3" s="35" t="s">
        <v>0</v>
      </c>
      <c r="C3" s="37" t="s">
        <v>6</v>
      </c>
      <c r="D3" s="37" t="s">
        <v>4</v>
      </c>
      <c r="E3" s="39" t="s">
        <v>7</v>
      </c>
      <c r="F3" s="39" t="s">
        <v>71</v>
      </c>
      <c r="G3" s="39"/>
      <c r="H3" s="39"/>
      <c r="I3" s="39"/>
      <c r="J3" s="39" t="s">
        <v>43</v>
      </c>
      <c r="K3" s="39" t="s">
        <v>2</v>
      </c>
      <c r="L3" s="40" t="s">
        <v>1</v>
      </c>
    </row>
    <row r="4" spans="1:12" s="1" customFormat="1" ht="23.25" customHeight="1" thickBot="1" x14ac:dyDescent="0.25">
      <c r="A4" s="1" t="s">
        <v>489</v>
      </c>
      <c r="B4" s="36"/>
      <c r="C4" s="38"/>
      <c r="D4" s="38"/>
      <c r="E4" s="38"/>
      <c r="F4" s="6">
        <v>1</v>
      </c>
      <c r="G4" s="6">
        <v>2</v>
      </c>
      <c r="H4" s="6">
        <v>3</v>
      </c>
      <c r="I4" s="6" t="s">
        <v>3</v>
      </c>
      <c r="J4" s="38"/>
      <c r="K4" s="38"/>
      <c r="L4" s="41"/>
    </row>
    <row r="5" spans="1:12" s="5" customFormat="1" ht="15" x14ac:dyDescent="0.2">
      <c r="B5" s="31" t="s">
        <v>60</v>
      </c>
      <c r="C5" s="32"/>
      <c r="D5" s="32"/>
      <c r="E5" s="32"/>
      <c r="F5" s="32"/>
      <c r="G5" s="32"/>
      <c r="H5" s="32"/>
      <c r="I5" s="32"/>
      <c r="J5" s="14"/>
      <c r="K5" s="15"/>
      <c r="L5" s="4"/>
    </row>
    <row r="6" spans="1:12" s="5" customFormat="1" x14ac:dyDescent="0.2">
      <c r="A6" s="5" t="s">
        <v>486</v>
      </c>
      <c r="B6" s="8" t="s">
        <v>270</v>
      </c>
      <c r="C6" s="9" t="s">
        <v>271</v>
      </c>
      <c r="D6" s="9" t="s">
        <v>272</v>
      </c>
      <c r="E6" s="8" t="s">
        <v>465</v>
      </c>
      <c r="F6" s="9" t="s">
        <v>13</v>
      </c>
      <c r="G6" s="9" t="s">
        <v>14</v>
      </c>
      <c r="H6" s="10" t="s">
        <v>462</v>
      </c>
      <c r="I6" s="10"/>
      <c r="J6" s="16" t="str">
        <f>"145,0"</f>
        <v>145,0</v>
      </c>
      <c r="K6" s="17" t="str">
        <f>"79,6356"</f>
        <v>79,6356</v>
      </c>
      <c r="L6" s="8" t="s">
        <v>206</v>
      </c>
    </row>
    <row r="7" spans="1:12" s="5" customFormat="1" x14ac:dyDescent="0.2">
      <c r="B7" s="4"/>
      <c r="E7" s="4"/>
      <c r="J7" s="14"/>
      <c r="K7" s="15"/>
      <c r="L7" s="4"/>
    </row>
  </sheetData>
  <mergeCells count="10">
    <mergeCell ref="J3:J4"/>
    <mergeCell ref="K3:K4"/>
    <mergeCell ref="L3:L4"/>
    <mergeCell ref="B5:I5"/>
    <mergeCell ref="B1:L2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69"/>
  <sheetViews>
    <sheetView workbookViewId="0">
      <selection activeCell="A2" sqref="A2"/>
    </sheetView>
  </sheetViews>
  <sheetFormatPr defaultRowHeight="12.75" x14ac:dyDescent="0.2"/>
  <cols>
    <col min="1" max="1" width="9.140625" style="3"/>
    <col min="2" max="2" width="22.42578125" style="4" bestFit="1" customWidth="1"/>
    <col min="3" max="3" width="26.85546875" style="5" bestFit="1" customWidth="1"/>
    <col min="4" max="4" width="7.7109375" style="5" bestFit="1" customWidth="1"/>
    <col min="5" max="5" width="16" style="4" bestFit="1" customWidth="1"/>
    <col min="6" max="8" width="5.5703125" style="5" customWidth="1"/>
    <col min="9" max="9" width="5" style="5" customWidth="1"/>
    <col min="10" max="10" width="6.140625" style="14" bestFit="1" customWidth="1"/>
    <col min="11" max="11" width="8.5703125" style="15" bestFit="1" customWidth="1"/>
    <col min="12" max="12" width="21.140625" style="4" bestFit="1" customWidth="1"/>
    <col min="13" max="16384" width="9.140625" style="3"/>
  </cols>
  <sheetData>
    <row r="1" spans="1:12" s="2" customFormat="1" ht="29.1" customHeight="1" x14ac:dyDescent="0.2">
      <c r="B1" s="50" t="s">
        <v>456</v>
      </c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s="2" customFormat="1" ht="62.1" customHeight="1" thickBo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2" s="1" customFormat="1" ht="12.75" customHeight="1" x14ac:dyDescent="0.2">
      <c r="B3" s="35" t="s">
        <v>0</v>
      </c>
      <c r="C3" s="37" t="s">
        <v>6</v>
      </c>
      <c r="D3" s="37" t="s">
        <v>4</v>
      </c>
      <c r="E3" s="39" t="s">
        <v>7</v>
      </c>
      <c r="F3" s="39" t="s">
        <v>71</v>
      </c>
      <c r="G3" s="39"/>
      <c r="H3" s="39"/>
      <c r="I3" s="39"/>
      <c r="J3" s="39" t="s">
        <v>43</v>
      </c>
      <c r="K3" s="39" t="s">
        <v>2</v>
      </c>
      <c r="L3" s="40" t="s">
        <v>1</v>
      </c>
    </row>
    <row r="4" spans="1:12" s="1" customFormat="1" ht="23.25" customHeight="1" thickBot="1" x14ac:dyDescent="0.25">
      <c r="A4" s="1" t="s">
        <v>489</v>
      </c>
      <c r="B4" s="36"/>
      <c r="C4" s="38"/>
      <c r="D4" s="38"/>
      <c r="E4" s="38"/>
      <c r="F4" s="6">
        <v>1</v>
      </c>
      <c r="G4" s="6">
        <v>2</v>
      </c>
      <c r="H4" s="6">
        <v>3</v>
      </c>
      <c r="I4" s="6" t="s">
        <v>3</v>
      </c>
      <c r="J4" s="38"/>
      <c r="K4" s="38"/>
      <c r="L4" s="41"/>
    </row>
    <row r="5" spans="1:12" s="5" customFormat="1" ht="15" x14ac:dyDescent="0.2">
      <c r="B5" s="31" t="s">
        <v>9</v>
      </c>
      <c r="C5" s="32"/>
      <c r="D5" s="32"/>
      <c r="E5" s="32"/>
      <c r="F5" s="32"/>
      <c r="G5" s="32"/>
      <c r="H5" s="32"/>
      <c r="I5" s="32"/>
      <c r="J5" s="14"/>
      <c r="K5" s="15"/>
      <c r="L5" s="4"/>
    </row>
    <row r="6" spans="1:12" s="5" customFormat="1" x14ac:dyDescent="0.2">
      <c r="A6" s="5" t="s">
        <v>486</v>
      </c>
      <c r="B6" s="18" t="s">
        <v>273</v>
      </c>
      <c r="C6" s="11" t="s">
        <v>274</v>
      </c>
      <c r="D6" s="11" t="s">
        <v>275</v>
      </c>
      <c r="E6" s="18" t="s">
        <v>465</v>
      </c>
      <c r="F6" s="11" t="s">
        <v>276</v>
      </c>
      <c r="G6" s="11" t="s">
        <v>277</v>
      </c>
      <c r="H6" s="19" t="s">
        <v>278</v>
      </c>
      <c r="I6" s="19"/>
      <c r="J6" s="20" t="str">
        <f>"52,5"</f>
        <v>52,5</v>
      </c>
      <c r="K6" s="21" t="str">
        <f>"50,9302"</f>
        <v>50,9302</v>
      </c>
      <c r="L6" s="18"/>
    </row>
    <row r="7" spans="1:12" s="5" customFormat="1" x14ac:dyDescent="0.2">
      <c r="A7" s="5" t="s">
        <v>487</v>
      </c>
      <c r="B7" s="22" t="s">
        <v>279</v>
      </c>
      <c r="C7" s="12" t="s">
        <v>280</v>
      </c>
      <c r="D7" s="12" t="s">
        <v>281</v>
      </c>
      <c r="E7" s="22" t="s">
        <v>465</v>
      </c>
      <c r="F7" s="23" t="s">
        <v>282</v>
      </c>
      <c r="G7" s="12" t="s">
        <v>282</v>
      </c>
      <c r="H7" s="23" t="s">
        <v>283</v>
      </c>
      <c r="I7" s="23"/>
      <c r="J7" s="24" t="str">
        <f>"40,0"</f>
        <v>40,0</v>
      </c>
      <c r="K7" s="25" t="str">
        <f>"39,1120"</f>
        <v>39,1120</v>
      </c>
      <c r="L7" s="22"/>
    </row>
    <row r="8" spans="1:12" ht="15" x14ac:dyDescent="0.2">
      <c r="B8" s="33" t="s">
        <v>158</v>
      </c>
      <c r="C8" s="34"/>
      <c r="D8" s="34"/>
      <c r="E8" s="34"/>
      <c r="F8" s="34"/>
      <c r="G8" s="34"/>
      <c r="H8" s="34"/>
      <c r="I8" s="34"/>
    </row>
    <row r="9" spans="1:12" x14ac:dyDescent="0.2">
      <c r="A9" s="3">
        <v>1</v>
      </c>
      <c r="B9" s="18" t="s">
        <v>509</v>
      </c>
      <c r="C9" s="11" t="s">
        <v>284</v>
      </c>
      <c r="D9" s="11" t="s">
        <v>285</v>
      </c>
      <c r="E9" s="18" t="s">
        <v>465</v>
      </c>
      <c r="F9" s="11" t="s">
        <v>276</v>
      </c>
      <c r="G9" s="19" t="s">
        <v>278</v>
      </c>
      <c r="H9" s="11" t="s">
        <v>278</v>
      </c>
      <c r="I9" s="19"/>
      <c r="J9" s="20" t="str">
        <f>"55,0"</f>
        <v>55,0</v>
      </c>
      <c r="K9" s="21" t="str">
        <f>"50,9465"</f>
        <v>50,9465</v>
      </c>
      <c r="L9" s="18" t="s">
        <v>286</v>
      </c>
    </row>
    <row r="10" spans="1:12" x14ac:dyDescent="0.2">
      <c r="A10" s="3">
        <v>1</v>
      </c>
      <c r="B10" s="22" t="s">
        <v>510</v>
      </c>
      <c r="C10" s="12" t="s">
        <v>159</v>
      </c>
      <c r="D10" s="12" t="s">
        <v>160</v>
      </c>
      <c r="E10" s="22" t="s">
        <v>465</v>
      </c>
      <c r="F10" s="12" t="s">
        <v>287</v>
      </c>
      <c r="G10" s="12" t="s">
        <v>288</v>
      </c>
      <c r="H10" s="23" t="s">
        <v>289</v>
      </c>
      <c r="I10" s="23"/>
      <c r="J10" s="24" t="str">
        <f>"70,0"</f>
        <v>70,0</v>
      </c>
      <c r="K10" s="25" t="str">
        <f>"64,7430"</f>
        <v>64,7430</v>
      </c>
      <c r="L10" s="22" t="s">
        <v>163</v>
      </c>
    </row>
    <row r="11" spans="1:12" ht="15" x14ac:dyDescent="0.2">
      <c r="B11" s="33" t="s">
        <v>164</v>
      </c>
      <c r="C11" s="34"/>
      <c r="D11" s="34"/>
      <c r="E11" s="34"/>
      <c r="F11" s="34"/>
      <c r="G11" s="34"/>
      <c r="H11" s="34"/>
      <c r="I11" s="34"/>
    </row>
    <row r="12" spans="1:12" x14ac:dyDescent="0.2">
      <c r="A12" s="3">
        <v>1</v>
      </c>
      <c r="B12" s="18" t="s">
        <v>290</v>
      </c>
      <c r="C12" s="11" t="s">
        <v>291</v>
      </c>
      <c r="D12" s="11" t="s">
        <v>292</v>
      </c>
      <c r="E12" s="18" t="s">
        <v>466</v>
      </c>
      <c r="F12" s="11" t="s">
        <v>276</v>
      </c>
      <c r="G12" s="19" t="s">
        <v>278</v>
      </c>
      <c r="H12" s="19" t="s">
        <v>278</v>
      </c>
      <c r="I12" s="19"/>
      <c r="J12" s="20" t="str">
        <f>"50,0"</f>
        <v>50,0</v>
      </c>
      <c r="K12" s="21" t="str">
        <f>"44,2550"</f>
        <v>44,2550</v>
      </c>
      <c r="L12" s="18" t="s">
        <v>464</v>
      </c>
    </row>
    <row r="13" spans="1:12" x14ac:dyDescent="0.2">
      <c r="A13" s="3">
        <v>1</v>
      </c>
      <c r="B13" s="22" t="s">
        <v>511</v>
      </c>
      <c r="C13" s="12" t="s">
        <v>170</v>
      </c>
      <c r="D13" s="12" t="s">
        <v>171</v>
      </c>
      <c r="E13" s="22" t="s">
        <v>465</v>
      </c>
      <c r="F13" s="12" t="s">
        <v>283</v>
      </c>
      <c r="G13" s="12" t="s">
        <v>293</v>
      </c>
      <c r="H13" s="23" t="s">
        <v>276</v>
      </c>
      <c r="I13" s="23"/>
      <c r="J13" s="24" t="str">
        <f>"47,5"</f>
        <v>47,5</v>
      </c>
      <c r="K13" s="25" t="str">
        <f>"41,6242"</f>
        <v>41,6242</v>
      </c>
      <c r="L13" s="22" t="s">
        <v>59</v>
      </c>
    </row>
    <row r="14" spans="1:12" ht="15" x14ac:dyDescent="0.2">
      <c r="B14" s="33" t="s">
        <v>294</v>
      </c>
      <c r="C14" s="34"/>
      <c r="D14" s="34"/>
      <c r="E14" s="34"/>
      <c r="F14" s="34"/>
      <c r="G14" s="34"/>
      <c r="H14" s="34"/>
      <c r="I14" s="34"/>
    </row>
    <row r="15" spans="1:12" x14ac:dyDescent="0.2">
      <c r="A15" s="3">
        <v>1</v>
      </c>
      <c r="B15" s="8" t="s">
        <v>512</v>
      </c>
      <c r="C15" s="9" t="s">
        <v>295</v>
      </c>
      <c r="D15" s="9" t="s">
        <v>296</v>
      </c>
      <c r="E15" s="8" t="s">
        <v>471</v>
      </c>
      <c r="F15" s="9" t="s">
        <v>297</v>
      </c>
      <c r="G15" s="9" t="s">
        <v>282</v>
      </c>
      <c r="H15" s="10" t="s">
        <v>298</v>
      </c>
      <c r="I15" s="10"/>
      <c r="J15" s="16" t="str">
        <f>"40,0"</f>
        <v>40,0</v>
      </c>
      <c r="K15" s="17" t="str">
        <f>"52,5320"</f>
        <v>52,5320</v>
      </c>
      <c r="L15" s="8" t="s">
        <v>209</v>
      </c>
    </row>
    <row r="16" spans="1:12" ht="15" x14ac:dyDescent="0.2">
      <c r="B16" s="33" t="s">
        <v>9</v>
      </c>
      <c r="C16" s="34"/>
      <c r="D16" s="34"/>
      <c r="E16" s="34"/>
      <c r="F16" s="34"/>
      <c r="G16" s="34"/>
      <c r="H16" s="34"/>
      <c r="I16" s="34"/>
    </row>
    <row r="17" spans="1:12" x14ac:dyDescent="0.2">
      <c r="A17" s="3">
        <v>1</v>
      </c>
      <c r="B17" s="8" t="s">
        <v>513</v>
      </c>
      <c r="C17" s="9" t="s">
        <v>299</v>
      </c>
      <c r="D17" s="9" t="s">
        <v>300</v>
      </c>
      <c r="E17" s="8" t="s">
        <v>471</v>
      </c>
      <c r="F17" s="9" t="s">
        <v>282</v>
      </c>
      <c r="G17" s="10" t="s">
        <v>298</v>
      </c>
      <c r="H17" s="10" t="s">
        <v>276</v>
      </c>
      <c r="I17" s="10"/>
      <c r="J17" s="16" t="str">
        <f>"40,0"</f>
        <v>40,0</v>
      </c>
      <c r="K17" s="17" t="str">
        <f>"38,9360"</f>
        <v>38,9360</v>
      </c>
      <c r="L17" s="8" t="s">
        <v>301</v>
      </c>
    </row>
    <row r="18" spans="1:12" ht="15" x14ac:dyDescent="0.2">
      <c r="B18" s="33" t="s">
        <v>158</v>
      </c>
      <c r="C18" s="34"/>
      <c r="D18" s="34"/>
      <c r="E18" s="34"/>
      <c r="F18" s="34"/>
      <c r="G18" s="34"/>
      <c r="H18" s="34"/>
      <c r="I18" s="34"/>
    </row>
    <row r="19" spans="1:12" x14ac:dyDescent="0.2">
      <c r="A19" s="3">
        <v>1</v>
      </c>
      <c r="B19" s="8" t="s">
        <v>514</v>
      </c>
      <c r="C19" s="9" t="s">
        <v>183</v>
      </c>
      <c r="D19" s="9" t="s">
        <v>184</v>
      </c>
      <c r="E19" s="8" t="s">
        <v>476</v>
      </c>
      <c r="F19" s="10" t="s">
        <v>288</v>
      </c>
      <c r="G19" s="9" t="s">
        <v>288</v>
      </c>
      <c r="H19" s="9" t="s">
        <v>302</v>
      </c>
      <c r="I19" s="10"/>
      <c r="J19" s="16" t="str">
        <f>"75,0"</f>
        <v>75,0</v>
      </c>
      <c r="K19" s="17" t="str">
        <f>"66,2625"</f>
        <v>66,2625</v>
      </c>
      <c r="L19" s="8" t="s">
        <v>185</v>
      </c>
    </row>
    <row r="20" spans="1:12" ht="15" x14ac:dyDescent="0.2">
      <c r="B20" s="33" t="s">
        <v>164</v>
      </c>
      <c r="C20" s="34"/>
      <c r="D20" s="34"/>
      <c r="E20" s="34"/>
      <c r="F20" s="34"/>
      <c r="G20" s="34"/>
      <c r="H20" s="34"/>
      <c r="I20" s="34"/>
    </row>
    <row r="21" spans="1:12" x14ac:dyDescent="0.2">
      <c r="A21" s="3">
        <v>1</v>
      </c>
      <c r="B21" s="8" t="s">
        <v>515</v>
      </c>
      <c r="C21" s="9" t="s">
        <v>303</v>
      </c>
      <c r="D21" s="9" t="s">
        <v>304</v>
      </c>
      <c r="E21" s="8" t="s">
        <v>476</v>
      </c>
      <c r="F21" s="10" t="s">
        <v>121</v>
      </c>
      <c r="G21" s="9" t="s">
        <v>121</v>
      </c>
      <c r="H21" s="10" t="s">
        <v>172</v>
      </c>
      <c r="I21" s="10"/>
      <c r="J21" s="16" t="str">
        <f>"95,0"</f>
        <v>95,0</v>
      </c>
      <c r="K21" s="17" t="str">
        <f>"81,5100"</f>
        <v>81,5100</v>
      </c>
      <c r="L21" s="8" t="s">
        <v>185</v>
      </c>
    </row>
    <row r="22" spans="1:12" ht="15" x14ac:dyDescent="0.2">
      <c r="B22" s="33" t="s">
        <v>79</v>
      </c>
      <c r="C22" s="34"/>
      <c r="D22" s="34"/>
      <c r="E22" s="34"/>
      <c r="F22" s="34"/>
      <c r="G22" s="34"/>
      <c r="H22" s="34"/>
      <c r="I22" s="34"/>
    </row>
    <row r="23" spans="1:12" x14ac:dyDescent="0.2">
      <c r="A23" s="3">
        <v>1</v>
      </c>
      <c r="B23" s="18" t="s">
        <v>516</v>
      </c>
      <c r="C23" s="11" t="s">
        <v>305</v>
      </c>
      <c r="D23" s="11" t="s">
        <v>306</v>
      </c>
      <c r="E23" s="18" t="s">
        <v>477</v>
      </c>
      <c r="F23" s="19" t="s">
        <v>48</v>
      </c>
      <c r="G23" s="11" t="s">
        <v>48</v>
      </c>
      <c r="H23" s="19" t="s">
        <v>178</v>
      </c>
      <c r="I23" s="19"/>
      <c r="J23" s="20" t="str">
        <f>"100,0"</f>
        <v>100,0</v>
      </c>
      <c r="K23" s="21" t="str">
        <f>"75,9100"</f>
        <v>75,9100</v>
      </c>
      <c r="L23" s="18" t="s">
        <v>307</v>
      </c>
    </row>
    <row r="24" spans="1:12" x14ac:dyDescent="0.2">
      <c r="A24" s="3">
        <v>1</v>
      </c>
      <c r="B24" s="26" t="s">
        <v>517</v>
      </c>
      <c r="C24" s="13" t="s">
        <v>262</v>
      </c>
      <c r="D24" s="13" t="s">
        <v>308</v>
      </c>
      <c r="E24" s="26" t="s">
        <v>465</v>
      </c>
      <c r="F24" s="13" t="s">
        <v>120</v>
      </c>
      <c r="G24" s="27" t="s">
        <v>309</v>
      </c>
      <c r="H24" s="27" t="s">
        <v>309</v>
      </c>
      <c r="I24" s="27"/>
      <c r="J24" s="28" t="str">
        <f>"90,0"</f>
        <v>90,0</v>
      </c>
      <c r="K24" s="29" t="str">
        <f>"65,5020"</f>
        <v>65,5020</v>
      </c>
      <c r="L24" s="26"/>
    </row>
    <row r="25" spans="1:12" x14ac:dyDescent="0.2">
      <c r="A25" s="3">
        <v>1</v>
      </c>
      <c r="B25" s="22" t="s">
        <v>518</v>
      </c>
      <c r="C25" s="12" t="s">
        <v>310</v>
      </c>
      <c r="D25" s="12" t="s">
        <v>311</v>
      </c>
      <c r="E25" s="22" t="s">
        <v>478</v>
      </c>
      <c r="F25" s="12" t="s">
        <v>302</v>
      </c>
      <c r="G25" s="12" t="s">
        <v>312</v>
      </c>
      <c r="H25" s="12" t="s">
        <v>120</v>
      </c>
      <c r="I25" s="23"/>
      <c r="J25" s="24" t="str">
        <f>"90,0"</f>
        <v>90,0</v>
      </c>
      <c r="K25" s="25" t="str">
        <f>"104,5519"</f>
        <v>104,5519</v>
      </c>
      <c r="L25" s="22"/>
    </row>
    <row r="26" spans="1:12" ht="15" x14ac:dyDescent="0.2">
      <c r="B26" s="33" t="s">
        <v>44</v>
      </c>
      <c r="C26" s="34"/>
      <c r="D26" s="34"/>
      <c r="E26" s="34"/>
      <c r="F26" s="34"/>
      <c r="G26" s="34"/>
      <c r="H26" s="34"/>
      <c r="I26" s="34"/>
    </row>
    <row r="27" spans="1:12" x14ac:dyDescent="0.2">
      <c r="A27" s="3">
        <v>1</v>
      </c>
      <c r="B27" s="18" t="s">
        <v>519</v>
      </c>
      <c r="C27" s="11" t="s">
        <v>313</v>
      </c>
      <c r="D27" s="11" t="s">
        <v>314</v>
      </c>
      <c r="E27" s="18" t="s">
        <v>479</v>
      </c>
      <c r="F27" s="11" t="s">
        <v>13</v>
      </c>
      <c r="G27" s="11" t="s">
        <v>89</v>
      </c>
      <c r="H27" s="19" t="s">
        <v>123</v>
      </c>
      <c r="I27" s="19"/>
      <c r="J27" s="20" t="str">
        <f>"150,0"</f>
        <v>150,0</v>
      </c>
      <c r="K27" s="21" t="str">
        <f>"99,7800"</f>
        <v>99,7800</v>
      </c>
      <c r="L27" s="18"/>
    </row>
    <row r="28" spans="1:12" x14ac:dyDescent="0.2">
      <c r="A28" s="3">
        <v>2</v>
      </c>
      <c r="B28" s="26" t="s">
        <v>520</v>
      </c>
      <c r="C28" s="13" t="s">
        <v>315</v>
      </c>
      <c r="D28" s="13" t="s">
        <v>316</v>
      </c>
      <c r="E28" s="26" t="s">
        <v>477</v>
      </c>
      <c r="F28" s="13" t="s">
        <v>75</v>
      </c>
      <c r="G28" s="13" t="s">
        <v>96</v>
      </c>
      <c r="H28" s="27" t="s">
        <v>12</v>
      </c>
      <c r="I28" s="27"/>
      <c r="J28" s="28" t="str">
        <f>"127,5"</f>
        <v>127,5</v>
      </c>
      <c r="K28" s="29" t="str">
        <f>"86,3685"</f>
        <v>86,3685</v>
      </c>
      <c r="L28" s="26"/>
    </row>
    <row r="29" spans="1:12" x14ac:dyDescent="0.2">
      <c r="A29" s="3">
        <v>3</v>
      </c>
      <c r="B29" s="26" t="s">
        <v>521</v>
      </c>
      <c r="C29" s="13" t="s">
        <v>201</v>
      </c>
      <c r="D29" s="13" t="s">
        <v>202</v>
      </c>
      <c r="E29" s="26" t="s">
        <v>479</v>
      </c>
      <c r="F29" s="13" t="s">
        <v>76</v>
      </c>
      <c r="G29" s="13" t="s">
        <v>85</v>
      </c>
      <c r="H29" s="27" t="s">
        <v>12</v>
      </c>
      <c r="I29" s="27"/>
      <c r="J29" s="28" t="str">
        <f>"125,0"</f>
        <v>125,0</v>
      </c>
      <c r="K29" s="29" t="str">
        <f>"87,7750"</f>
        <v>87,7750</v>
      </c>
      <c r="L29" s="26" t="s">
        <v>51</v>
      </c>
    </row>
    <row r="30" spans="1:12" x14ac:dyDescent="0.2">
      <c r="A30" s="3">
        <v>1</v>
      </c>
      <c r="B30" s="26" t="s">
        <v>522</v>
      </c>
      <c r="C30" s="13" t="s">
        <v>204</v>
      </c>
      <c r="D30" s="13" t="s">
        <v>205</v>
      </c>
      <c r="E30" s="26" t="s">
        <v>465</v>
      </c>
      <c r="F30" s="13" t="s">
        <v>317</v>
      </c>
      <c r="G30" s="13" t="s">
        <v>120</v>
      </c>
      <c r="H30" s="27" t="s">
        <v>121</v>
      </c>
      <c r="I30" s="27"/>
      <c r="J30" s="28" t="str">
        <f>"90,0"</f>
        <v>90,0</v>
      </c>
      <c r="K30" s="29" t="str">
        <f>"98,3669"</f>
        <v>98,3669</v>
      </c>
      <c r="L30" s="26" t="s">
        <v>206</v>
      </c>
    </row>
    <row r="31" spans="1:12" x14ac:dyDescent="0.2">
      <c r="A31" s="3">
        <v>1</v>
      </c>
      <c r="B31" s="22" t="s">
        <v>523</v>
      </c>
      <c r="C31" s="12" t="s">
        <v>207</v>
      </c>
      <c r="D31" s="12" t="s">
        <v>208</v>
      </c>
      <c r="E31" s="22" t="s">
        <v>471</v>
      </c>
      <c r="F31" s="12" t="s">
        <v>312</v>
      </c>
      <c r="G31" s="12" t="s">
        <v>120</v>
      </c>
      <c r="H31" s="23" t="s">
        <v>121</v>
      </c>
      <c r="I31" s="23"/>
      <c r="J31" s="24" t="str">
        <f>"90,0"</f>
        <v>90,0</v>
      </c>
      <c r="K31" s="25" t="str">
        <f>"108,7032"</f>
        <v>108,7032</v>
      </c>
      <c r="L31" s="22" t="s">
        <v>209</v>
      </c>
    </row>
    <row r="32" spans="1:12" ht="15" x14ac:dyDescent="0.2">
      <c r="B32" s="33" t="s">
        <v>15</v>
      </c>
      <c r="C32" s="34"/>
      <c r="D32" s="34"/>
      <c r="E32" s="34"/>
      <c r="F32" s="34"/>
      <c r="G32" s="34"/>
      <c r="H32" s="34"/>
      <c r="I32" s="34"/>
    </row>
    <row r="33" spans="1:12" x14ac:dyDescent="0.2">
      <c r="A33" s="3">
        <v>1</v>
      </c>
      <c r="B33" s="18" t="s">
        <v>524</v>
      </c>
      <c r="C33" s="11" t="s">
        <v>318</v>
      </c>
      <c r="D33" s="11" t="s">
        <v>319</v>
      </c>
      <c r="E33" s="18" t="s">
        <v>465</v>
      </c>
      <c r="F33" s="11" t="s">
        <v>50</v>
      </c>
      <c r="G33" s="11" t="s">
        <v>96</v>
      </c>
      <c r="H33" s="19" t="s">
        <v>82</v>
      </c>
      <c r="I33" s="19"/>
      <c r="J33" s="20" t="str">
        <f>"127,5"</f>
        <v>127,5</v>
      </c>
      <c r="K33" s="21" t="str">
        <f>"81,5873"</f>
        <v>81,5873</v>
      </c>
      <c r="L33" s="18"/>
    </row>
    <row r="34" spans="1:12" x14ac:dyDescent="0.2">
      <c r="A34" s="3">
        <v>2</v>
      </c>
      <c r="B34" s="26" t="s">
        <v>525</v>
      </c>
      <c r="C34" s="13" t="s">
        <v>210</v>
      </c>
      <c r="D34" s="13" t="s">
        <v>211</v>
      </c>
      <c r="E34" s="26" t="s">
        <v>469</v>
      </c>
      <c r="F34" s="13" t="s">
        <v>76</v>
      </c>
      <c r="G34" s="27" t="s">
        <v>85</v>
      </c>
      <c r="H34" s="27" t="s">
        <v>82</v>
      </c>
      <c r="I34" s="27"/>
      <c r="J34" s="28" t="str">
        <f>"120,0"</f>
        <v>120,0</v>
      </c>
      <c r="K34" s="29" t="str">
        <f>"75,7440"</f>
        <v>75,7440</v>
      </c>
      <c r="L34" s="26" t="s">
        <v>213</v>
      </c>
    </row>
    <row r="35" spans="1:12" x14ac:dyDescent="0.2">
      <c r="A35" s="3">
        <v>1</v>
      </c>
      <c r="B35" s="26" t="s">
        <v>320</v>
      </c>
      <c r="C35" s="13" t="s">
        <v>321</v>
      </c>
      <c r="D35" s="13" t="s">
        <v>322</v>
      </c>
      <c r="E35" s="26" t="s">
        <v>476</v>
      </c>
      <c r="F35" s="13" t="s">
        <v>14</v>
      </c>
      <c r="G35" s="13" t="s">
        <v>89</v>
      </c>
      <c r="H35" s="13" t="s">
        <v>323</v>
      </c>
      <c r="I35" s="27"/>
      <c r="J35" s="28" t="str">
        <f>"157,5"</f>
        <v>157,5</v>
      </c>
      <c r="K35" s="29" t="str">
        <f>"98,4533"</f>
        <v>98,4533</v>
      </c>
      <c r="L35" s="26" t="s">
        <v>463</v>
      </c>
    </row>
    <row r="36" spans="1:12" x14ac:dyDescent="0.2">
      <c r="A36" s="3">
        <v>2</v>
      </c>
      <c r="B36" s="26" t="s">
        <v>526</v>
      </c>
      <c r="C36" s="13" t="s">
        <v>324</v>
      </c>
      <c r="D36" s="13" t="s">
        <v>325</v>
      </c>
      <c r="E36" s="26" t="s">
        <v>476</v>
      </c>
      <c r="F36" s="13" t="s">
        <v>76</v>
      </c>
      <c r="G36" s="13" t="s">
        <v>96</v>
      </c>
      <c r="H36" s="13" t="s">
        <v>137</v>
      </c>
      <c r="I36" s="27"/>
      <c r="J36" s="28" t="str">
        <f>"132,5"</f>
        <v>132,5</v>
      </c>
      <c r="K36" s="29" t="str">
        <f>"83,1968"</f>
        <v>83,1968</v>
      </c>
      <c r="L36" s="26" t="s">
        <v>463</v>
      </c>
    </row>
    <row r="37" spans="1:12" x14ac:dyDescent="0.2">
      <c r="A37" s="3">
        <v>3</v>
      </c>
      <c r="B37" s="26" t="s">
        <v>527</v>
      </c>
      <c r="C37" s="13" t="s">
        <v>326</v>
      </c>
      <c r="D37" s="13" t="s">
        <v>215</v>
      </c>
      <c r="E37" s="26" t="s">
        <v>465</v>
      </c>
      <c r="F37" s="13" t="s">
        <v>75</v>
      </c>
      <c r="G37" s="13" t="s">
        <v>103</v>
      </c>
      <c r="H37" s="27" t="s">
        <v>96</v>
      </c>
      <c r="I37" s="27"/>
      <c r="J37" s="28" t="str">
        <f>"122,5"</f>
        <v>122,5</v>
      </c>
      <c r="K37" s="29" t="str">
        <f>"76,8443"</f>
        <v>76,8443</v>
      </c>
      <c r="L37" s="26"/>
    </row>
    <row r="38" spans="1:12" x14ac:dyDescent="0.2">
      <c r="B38" s="26" t="s">
        <v>223</v>
      </c>
      <c r="C38" s="13" t="s">
        <v>224</v>
      </c>
      <c r="D38" s="13" t="s">
        <v>225</v>
      </c>
      <c r="E38" s="26" t="s">
        <v>465</v>
      </c>
      <c r="F38" s="27" t="s">
        <v>76</v>
      </c>
      <c r="G38" s="27" t="s">
        <v>76</v>
      </c>
      <c r="H38" s="27" t="s">
        <v>76</v>
      </c>
      <c r="I38" s="27"/>
      <c r="J38" s="28" t="str">
        <f>"0.00"</f>
        <v>0.00</v>
      </c>
      <c r="K38" s="29" t="str">
        <f>"0,0000"</f>
        <v>0,0000</v>
      </c>
      <c r="L38" s="26" t="s">
        <v>72</v>
      </c>
    </row>
    <row r="39" spans="1:12" x14ac:dyDescent="0.2">
      <c r="A39" s="3">
        <v>1</v>
      </c>
      <c r="B39" s="26" t="s">
        <v>528</v>
      </c>
      <c r="C39" s="13" t="s">
        <v>327</v>
      </c>
      <c r="D39" s="13" t="s">
        <v>328</v>
      </c>
      <c r="E39" s="26" t="s">
        <v>471</v>
      </c>
      <c r="F39" s="13" t="s">
        <v>50</v>
      </c>
      <c r="G39" s="27" t="s">
        <v>76</v>
      </c>
      <c r="H39" s="27" t="s">
        <v>462</v>
      </c>
      <c r="I39" s="27"/>
      <c r="J39" s="28" t="str">
        <f>"115,0"</f>
        <v>115,0</v>
      </c>
      <c r="K39" s="29" t="str">
        <f>"144,0065"</f>
        <v>144,0065</v>
      </c>
      <c r="L39" s="26"/>
    </row>
    <row r="40" spans="1:12" x14ac:dyDescent="0.2">
      <c r="A40" s="3">
        <v>1</v>
      </c>
      <c r="B40" s="22" t="s">
        <v>529</v>
      </c>
      <c r="C40" s="12" t="s">
        <v>229</v>
      </c>
      <c r="D40" s="12" t="s">
        <v>222</v>
      </c>
      <c r="E40" s="22" t="s">
        <v>465</v>
      </c>
      <c r="F40" s="12" t="s">
        <v>317</v>
      </c>
      <c r="G40" s="23" t="s">
        <v>462</v>
      </c>
      <c r="H40" s="23" t="s">
        <v>462</v>
      </c>
      <c r="I40" s="23"/>
      <c r="J40" s="24" t="str">
        <f>"80,0"</f>
        <v>80,0</v>
      </c>
      <c r="K40" s="25" t="str">
        <f>"103,6159"</f>
        <v>103,6159</v>
      </c>
      <c r="L40" s="22"/>
    </row>
    <row r="41" spans="1:12" ht="15" x14ac:dyDescent="0.2">
      <c r="B41" s="33" t="s">
        <v>92</v>
      </c>
      <c r="C41" s="34"/>
      <c r="D41" s="34"/>
      <c r="E41" s="34"/>
      <c r="F41" s="34"/>
      <c r="G41" s="34"/>
      <c r="H41" s="34"/>
      <c r="I41" s="34"/>
    </row>
    <row r="42" spans="1:12" x14ac:dyDescent="0.2">
      <c r="A42" s="3">
        <v>1</v>
      </c>
      <c r="B42" s="18" t="s">
        <v>530</v>
      </c>
      <c r="C42" s="11" t="s">
        <v>232</v>
      </c>
      <c r="D42" s="11" t="s">
        <v>233</v>
      </c>
      <c r="E42" s="18" t="s">
        <v>466</v>
      </c>
      <c r="F42" s="11" t="s">
        <v>50</v>
      </c>
      <c r="G42" s="19" t="s">
        <v>75</v>
      </c>
      <c r="H42" s="19" t="s">
        <v>76</v>
      </c>
      <c r="I42" s="19"/>
      <c r="J42" s="20" t="str">
        <f>"115,0"</f>
        <v>115,0</v>
      </c>
      <c r="K42" s="21" t="str">
        <f>"67,3555"</f>
        <v>67,3555</v>
      </c>
      <c r="L42" s="18" t="s">
        <v>234</v>
      </c>
    </row>
    <row r="43" spans="1:12" x14ac:dyDescent="0.2">
      <c r="A43" s="3">
        <v>1</v>
      </c>
      <c r="B43" s="26" t="s">
        <v>531</v>
      </c>
      <c r="C43" s="13" t="s">
        <v>329</v>
      </c>
      <c r="D43" s="13" t="s">
        <v>330</v>
      </c>
      <c r="E43" s="26" t="s">
        <v>469</v>
      </c>
      <c r="F43" s="13" t="s">
        <v>100</v>
      </c>
      <c r="G43" s="27" t="s">
        <v>136</v>
      </c>
      <c r="H43" s="27" t="s">
        <v>136</v>
      </c>
      <c r="I43" s="27"/>
      <c r="J43" s="28" t="str">
        <f>"170,0"</f>
        <v>170,0</v>
      </c>
      <c r="K43" s="29" t="str">
        <f>"100,6060"</f>
        <v>100,6060</v>
      </c>
      <c r="L43" s="26"/>
    </row>
    <row r="44" spans="1:12" x14ac:dyDescent="0.2">
      <c r="A44" s="3">
        <v>2</v>
      </c>
      <c r="B44" s="26" t="s">
        <v>532</v>
      </c>
      <c r="C44" s="13" t="s">
        <v>244</v>
      </c>
      <c r="D44" s="13" t="s">
        <v>237</v>
      </c>
      <c r="E44" s="26" t="s">
        <v>465</v>
      </c>
      <c r="F44" s="13" t="s">
        <v>103</v>
      </c>
      <c r="G44" s="13" t="s">
        <v>96</v>
      </c>
      <c r="H44" s="13" t="s">
        <v>137</v>
      </c>
      <c r="I44" s="27"/>
      <c r="J44" s="28" t="str">
        <f>"132,5"</f>
        <v>132,5</v>
      </c>
      <c r="K44" s="29" t="str">
        <f>"77,9233"</f>
        <v>77,9233</v>
      </c>
      <c r="L44" s="26"/>
    </row>
    <row r="45" spans="1:12" x14ac:dyDescent="0.2">
      <c r="A45" s="3">
        <v>3</v>
      </c>
      <c r="B45" s="26" t="s">
        <v>533</v>
      </c>
      <c r="C45" s="13" t="s">
        <v>331</v>
      </c>
      <c r="D45" s="13" t="s">
        <v>332</v>
      </c>
      <c r="E45" s="26" t="s">
        <v>480</v>
      </c>
      <c r="F45" s="13" t="s">
        <v>76</v>
      </c>
      <c r="G45" s="27" t="s">
        <v>137</v>
      </c>
      <c r="H45" s="27" t="s">
        <v>462</v>
      </c>
      <c r="I45" s="27"/>
      <c r="J45" s="28" t="str">
        <f>"120,0"</f>
        <v>120,0</v>
      </c>
      <c r="K45" s="29" t="str">
        <f>"71,4240"</f>
        <v>71,4240</v>
      </c>
      <c r="L45" s="26" t="s">
        <v>333</v>
      </c>
    </row>
    <row r="46" spans="1:12" x14ac:dyDescent="0.2">
      <c r="A46" s="3">
        <v>1</v>
      </c>
      <c r="B46" s="26" t="s">
        <v>534</v>
      </c>
      <c r="C46" s="13" t="s">
        <v>334</v>
      </c>
      <c r="D46" s="13" t="s">
        <v>335</v>
      </c>
      <c r="E46" s="26" t="s">
        <v>466</v>
      </c>
      <c r="F46" s="13" t="s">
        <v>85</v>
      </c>
      <c r="G46" s="27" t="s">
        <v>137</v>
      </c>
      <c r="H46" s="27" t="s">
        <v>137</v>
      </c>
      <c r="I46" s="27"/>
      <c r="J46" s="28" t="str">
        <f>"125,0"</f>
        <v>125,0</v>
      </c>
      <c r="K46" s="29" t="str">
        <f>"85,4854"</f>
        <v>85,4854</v>
      </c>
      <c r="L46" s="26" t="s">
        <v>247</v>
      </c>
    </row>
    <row r="47" spans="1:12" x14ac:dyDescent="0.2">
      <c r="A47" s="3">
        <v>1</v>
      </c>
      <c r="B47" s="22" t="s">
        <v>535</v>
      </c>
      <c r="C47" s="12" t="s">
        <v>337</v>
      </c>
      <c r="D47" s="12" t="s">
        <v>241</v>
      </c>
      <c r="E47" s="22" t="s">
        <v>472</v>
      </c>
      <c r="F47" s="12" t="s">
        <v>48</v>
      </c>
      <c r="G47" s="12" t="s">
        <v>172</v>
      </c>
      <c r="H47" s="12" t="s">
        <v>178</v>
      </c>
      <c r="I47" s="23"/>
      <c r="J47" s="24" t="str">
        <f>"107,5"</f>
        <v>107,5</v>
      </c>
      <c r="K47" s="25" t="str">
        <f>"119,2299"</f>
        <v>119,2299</v>
      </c>
      <c r="L47" s="22"/>
    </row>
    <row r="48" spans="1:12" ht="15" x14ac:dyDescent="0.2">
      <c r="B48" s="33" t="s">
        <v>26</v>
      </c>
      <c r="C48" s="34"/>
      <c r="D48" s="34"/>
      <c r="E48" s="34"/>
      <c r="F48" s="34"/>
      <c r="G48" s="34"/>
      <c r="H48" s="34"/>
      <c r="I48" s="34"/>
    </row>
    <row r="49" spans="1:12" x14ac:dyDescent="0.2">
      <c r="A49" s="3">
        <v>1</v>
      </c>
      <c r="B49" s="18" t="s">
        <v>536</v>
      </c>
      <c r="C49" s="11" t="s">
        <v>338</v>
      </c>
      <c r="D49" s="11" t="s">
        <v>339</v>
      </c>
      <c r="E49" s="18" t="s">
        <v>465</v>
      </c>
      <c r="F49" s="11" t="s">
        <v>89</v>
      </c>
      <c r="G49" s="11" t="s">
        <v>323</v>
      </c>
      <c r="H49" s="11" t="s">
        <v>253</v>
      </c>
      <c r="I49" s="19"/>
      <c r="J49" s="20" t="str">
        <f>"162,5"</f>
        <v>162,5</v>
      </c>
      <c r="K49" s="21" t="str">
        <f>"90,5938"</f>
        <v>90,5938</v>
      </c>
      <c r="L49" s="18" t="s">
        <v>340</v>
      </c>
    </row>
    <row r="50" spans="1:12" x14ac:dyDescent="0.2">
      <c r="A50" s="3">
        <v>2</v>
      </c>
      <c r="B50" s="26" t="s">
        <v>537</v>
      </c>
      <c r="C50" s="13" t="s">
        <v>341</v>
      </c>
      <c r="D50" s="13" t="s">
        <v>342</v>
      </c>
      <c r="E50" s="26" t="s">
        <v>480</v>
      </c>
      <c r="F50" s="13" t="s">
        <v>39</v>
      </c>
      <c r="G50" s="27" t="s">
        <v>343</v>
      </c>
      <c r="H50" s="27" t="s">
        <v>343</v>
      </c>
      <c r="I50" s="27"/>
      <c r="J50" s="28" t="str">
        <f>"160,0"</f>
        <v>160,0</v>
      </c>
      <c r="K50" s="29" t="str">
        <f>"89,8560"</f>
        <v>89,8560</v>
      </c>
      <c r="L50" s="26"/>
    </row>
    <row r="51" spans="1:12" x14ac:dyDescent="0.2">
      <c r="A51" s="3">
        <v>3</v>
      </c>
      <c r="B51" s="26" t="s">
        <v>344</v>
      </c>
      <c r="C51" s="13" t="s">
        <v>345</v>
      </c>
      <c r="D51" s="13" t="s">
        <v>346</v>
      </c>
      <c r="E51" s="26" t="s">
        <v>465</v>
      </c>
      <c r="F51" s="13" t="s">
        <v>14</v>
      </c>
      <c r="G51" s="13" t="s">
        <v>123</v>
      </c>
      <c r="H51" s="27" t="s">
        <v>462</v>
      </c>
      <c r="I51" s="27"/>
      <c r="J51" s="28" t="str">
        <f>"155,0"</f>
        <v>155,0</v>
      </c>
      <c r="K51" s="29" t="str">
        <f>"86,5365"</f>
        <v>86,5365</v>
      </c>
      <c r="L51" s="26" t="s">
        <v>340</v>
      </c>
    </row>
    <row r="52" spans="1:12" x14ac:dyDescent="0.2">
      <c r="A52" s="3">
        <v>4</v>
      </c>
      <c r="B52" s="26" t="s">
        <v>538</v>
      </c>
      <c r="C52" s="13" t="s">
        <v>347</v>
      </c>
      <c r="D52" s="13" t="s">
        <v>348</v>
      </c>
      <c r="E52" s="26" t="s">
        <v>466</v>
      </c>
      <c r="F52" s="13" t="s">
        <v>49</v>
      </c>
      <c r="G52" s="13" t="s">
        <v>75</v>
      </c>
      <c r="H52" s="13" t="s">
        <v>85</v>
      </c>
      <c r="I52" s="27"/>
      <c r="J52" s="28" t="str">
        <f>"125,0"</f>
        <v>125,0</v>
      </c>
      <c r="K52" s="29" t="str">
        <f>"69,9625"</f>
        <v>69,9625</v>
      </c>
      <c r="L52" s="26" t="s">
        <v>97</v>
      </c>
    </row>
    <row r="53" spans="1:12" x14ac:dyDescent="0.2">
      <c r="B53" s="26" t="s">
        <v>508</v>
      </c>
      <c r="C53" s="13" t="s">
        <v>349</v>
      </c>
      <c r="D53" s="13" t="s">
        <v>99</v>
      </c>
      <c r="E53" s="26" t="s">
        <v>480</v>
      </c>
      <c r="F53" s="27" t="s">
        <v>13</v>
      </c>
      <c r="G53" s="27" t="s">
        <v>13</v>
      </c>
      <c r="H53" s="27" t="s">
        <v>13</v>
      </c>
      <c r="I53" s="27"/>
      <c r="J53" s="28" t="str">
        <f>"0.00"</f>
        <v>0.00</v>
      </c>
      <c r="K53" s="29" t="str">
        <f>"0,0000"</f>
        <v>0,0000</v>
      </c>
      <c r="L53" s="26" t="s">
        <v>333</v>
      </c>
    </row>
    <row r="54" spans="1:12" x14ac:dyDescent="0.2">
      <c r="A54" s="3">
        <v>1</v>
      </c>
      <c r="B54" s="26" t="s">
        <v>539</v>
      </c>
      <c r="C54" s="13" t="s">
        <v>254</v>
      </c>
      <c r="D54" s="13" t="s">
        <v>55</v>
      </c>
      <c r="E54" s="26" t="s">
        <v>476</v>
      </c>
      <c r="F54" s="13" t="s">
        <v>76</v>
      </c>
      <c r="G54" s="13" t="s">
        <v>82</v>
      </c>
      <c r="H54" s="13" t="s">
        <v>13</v>
      </c>
      <c r="I54" s="27"/>
      <c r="J54" s="28" t="str">
        <f>"140,0"</f>
        <v>140,0</v>
      </c>
      <c r="K54" s="29" t="str">
        <f>"86,7127"</f>
        <v>86,7127</v>
      </c>
      <c r="L54" s="26"/>
    </row>
    <row r="55" spans="1:12" x14ac:dyDescent="0.2">
      <c r="A55" s="3">
        <v>1</v>
      </c>
      <c r="B55" s="26" t="s">
        <v>540</v>
      </c>
      <c r="C55" s="13" t="s">
        <v>350</v>
      </c>
      <c r="D55" s="13" t="s">
        <v>351</v>
      </c>
      <c r="E55" s="26" t="s">
        <v>465</v>
      </c>
      <c r="F55" s="13" t="s">
        <v>50</v>
      </c>
      <c r="G55" s="13" t="s">
        <v>76</v>
      </c>
      <c r="H55" s="27" t="s">
        <v>85</v>
      </c>
      <c r="I55" s="27"/>
      <c r="J55" s="28" t="str">
        <f>"120,0"</f>
        <v>120,0</v>
      </c>
      <c r="K55" s="29" t="str">
        <f>"83,6176"</f>
        <v>83,6176</v>
      </c>
      <c r="L55" s="26" t="s">
        <v>72</v>
      </c>
    </row>
    <row r="56" spans="1:12" x14ac:dyDescent="0.2">
      <c r="A56" s="3">
        <v>1</v>
      </c>
      <c r="B56" s="22" t="s">
        <v>537</v>
      </c>
      <c r="C56" s="12" t="s">
        <v>352</v>
      </c>
      <c r="D56" s="12" t="s">
        <v>342</v>
      </c>
      <c r="E56" s="22" t="s">
        <v>480</v>
      </c>
      <c r="F56" s="12" t="s">
        <v>39</v>
      </c>
      <c r="G56" s="23" t="s">
        <v>343</v>
      </c>
      <c r="H56" s="23" t="s">
        <v>343</v>
      </c>
      <c r="I56" s="23"/>
      <c r="J56" s="24" t="str">
        <f>"160,0"</f>
        <v>160,0</v>
      </c>
      <c r="K56" s="25" t="str">
        <f>"157,6973"</f>
        <v>157,6973</v>
      </c>
      <c r="L56" s="22"/>
    </row>
    <row r="57" spans="1:12" ht="15" x14ac:dyDescent="0.2">
      <c r="B57" s="33" t="s">
        <v>60</v>
      </c>
      <c r="C57" s="34"/>
      <c r="D57" s="34"/>
      <c r="E57" s="34"/>
      <c r="F57" s="34"/>
      <c r="G57" s="34"/>
      <c r="H57" s="34"/>
      <c r="I57" s="34"/>
    </row>
    <row r="58" spans="1:12" x14ac:dyDescent="0.2">
      <c r="A58" s="3">
        <v>1</v>
      </c>
      <c r="B58" s="18" t="s">
        <v>541</v>
      </c>
      <c r="C58" s="11" t="s">
        <v>259</v>
      </c>
      <c r="D58" s="11" t="s">
        <v>260</v>
      </c>
      <c r="E58" s="18" t="s">
        <v>465</v>
      </c>
      <c r="F58" s="11" t="s">
        <v>129</v>
      </c>
      <c r="G58" s="11" t="s">
        <v>23</v>
      </c>
      <c r="H58" s="11" t="s">
        <v>353</v>
      </c>
      <c r="I58" s="19"/>
      <c r="J58" s="20" t="str">
        <f>"192,5"</f>
        <v>192,5</v>
      </c>
      <c r="K58" s="21" t="str">
        <f>"104,7392"</f>
        <v>104,7392</v>
      </c>
      <c r="L58" s="18"/>
    </row>
    <row r="59" spans="1:12" x14ac:dyDescent="0.2">
      <c r="A59" s="3">
        <v>2</v>
      </c>
      <c r="B59" s="26" t="s">
        <v>542</v>
      </c>
      <c r="C59" s="13" t="s">
        <v>354</v>
      </c>
      <c r="D59" s="13" t="s">
        <v>355</v>
      </c>
      <c r="E59" s="26" t="s">
        <v>481</v>
      </c>
      <c r="F59" s="27" t="s">
        <v>100</v>
      </c>
      <c r="G59" s="13" t="s">
        <v>136</v>
      </c>
      <c r="H59" s="27" t="s">
        <v>356</v>
      </c>
      <c r="I59" s="27"/>
      <c r="J59" s="28" t="str">
        <f>"175,0"</f>
        <v>175,0</v>
      </c>
      <c r="K59" s="29" t="str">
        <f>"95,6025"</f>
        <v>95,6025</v>
      </c>
      <c r="L59" s="26"/>
    </row>
    <row r="60" spans="1:12" x14ac:dyDescent="0.2">
      <c r="A60" s="3">
        <v>1</v>
      </c>
      <c r="B60" s="26" t="s">
        <v>541</v>
      </c>
      <c r="C60" s="13" t="s">
        <v>263</v>
      </c>
      <c r="D60" s="13" t="s">
        <v>260</v>
      </c>
      <c r="E60" s="26" t="s">
        <v>465</v>
      </c>
      <c r="F60" s="13" t="s">
        <v>129</v>
      </c>
      <c r="G60" s="13" t="s">
        <v>23</v>
      </c>
      <c r="H60" s="13" t="s">
        <v>353</v>
      </c>
      <c r="I60" s="27"/>
      <c r="J60" s="28" t="str">
        <f>"192,5"</f>
        <v>192,5</v>
      </c>
      <c r="K60" s="29" t="str">
        <f>"105,0535"</f>
        <v>105,0535</v>
      </c>
      <c r="L60" s="26"/>
    </row>
    <row r="61" spans="1:12" x14ac:dyDescent="0.2">
      <c r="A61" s="3">
        <v>1</v>
      </c>
      <c r="B61" s="26" t="s">
        <v>543</v>
      </c>
      <c r="C61" s="13" t="s">
        <v>357</v>
      </c>
      <c r="D61" s="13" t="s">
        <v>358</v>
      </c>
      <c r="E61" s="26" t="s">
        <v>466</v>
      </c>
      <c r="F61" s="13" t="s">
        <v>136</v>
      </c>
      <c r="G61" s="13" t="s">
        <v>129</v>
      </c>
      <c r="H61" s="27" t="s">
        <v>462</v>
      </c>
      <c r="I61" s="27"/>
      <c r="J61" s="28" t="str">
        <f>"180,0"</f>
        <v>180,0</v>
      </c>
      <c r="K61" s="29" t="str">
        <f>"106,8697"</f>
        <v>106,8697</v>
      </c>
      <c r="L61" s="26" t="s">
        <v>97</v>
      </c>
    </row>
    <row r="62" spans="1:12" x14ac:dyDescent="0.2">
      <c r="A62" s="3">
        <v>1</v>
      </c>
      <c r="B62" s="22" t="s">
        <v>544</v>
      </c>
      <c r="C62" s="12" t="s">
        <v>359</v>
      </c>
      <c r="D62" s="12" t="s">
        <v>360</v>
      </c>
      <c r="E62" s="22" t="s">
        <v>465</v>
      </c>
      <c r="F62" s="12" t="s">
        <v>230</v>
      </c>
      <c r="G62" s="12" t="s">
        <v>141</v>
      </c>
      <c r="H62" s="23" t="s">
        <v>142</v>
      </c>
      <c r="I62" s="23"/>
      <c r="J62" s="24" t="str">
        <f>"195,0"</f>
        <v>195,0</v>
      </c>
      <c r="K62" s="25" t="str">
        <f>"126,8986"</f>
        <v>126,8986</v>
      </c>
      <c r="L62" s="22" t="s">
        <v>361</v>
      </c>
    </row>
    <row r="63" spans="1:12" ht="15" x14ac:dyDescent="0.2">
      <c r="B63" s="33" t="s">
        <v>64</v>
      </c>
      <c r="C63" s="34"/>
      <c r="D63" s="34"/>
      <c r="E63" s="34"/>
      <c r="F63" s="34"/>
      <c r="G63" s="34"/>
      <c r="H63" s="34"/>
      <c r="I63" s="34"/>
    </row>
    <row r="64" spans="1:12" x14ac:dyDescent="0.2">
      <c r="A64" s="3">
        <v>1</v>
      </c>
      <c r="B64" s="18" t="s">
        <v>545</v>
      </c>
      <c r="C64" s="11" t="s">
        <v>362</v>
      </c>
      <c r="D64" s="11" t="s">
        <v>363</v>
      </c>
      <c r="E64" s="18" t="s">
        <v>476</v>
      </c>
      <c r="F64" s="11" t="s">
        <v>136</v>
      </c>
      <c r="G64" s="11" t="s">
        <v>230</v>
      </c>
      <c r="H64" s="19" t="s">
        <v>203</v>
      </c>
      <c r="I64" s="19"/>
      <c r="J64" s="20" t="str">
        <f>"185,0"</f>
        <v>185,0</v>
      </c>
      <c r="K64" s="21" t="str">
        <f>"96,3850"</f>
        <v>96,3850</v>
      </c>
      <c r="L64" s="18"/>
    </row>
    <row r="65" spans="1:12" x14ac:dyDescent="0.2">
      <c r="A65" s="3">
        <v>2</v>
      </c>
      <c r="B65" s="26" t="s">
        <v>546</v>
      </c>
      <c r="C65" s="13" t="s">
        <v>364</v>
      </c>
      <c r="D65" s="13" t="s">
        <v>365</v>
      </c>
      <c r="E65" s="26" t="s">
        <v>471</v>
      </c>
      <c r="F65" s="13" t="s">
        <v>100</v>
      </c>
      <c r="G65" s="13" t="s">
        <v>136</v>
      </c>
      <c r="H65" s="27" t="s">
        <v>129</v>
      </c>
      <c r="I65" s="27"/>
      <c r="J65" s="28" t="str">
        <f>"175,0"</f>
        <v>175,0</v>
      </c>
      <c r="K65" s="29" t="str">
        <f>"93,1700"</f>
        <v>93,1700</v>
      </c>
      <c r="L65" s="26"/>
    </row>
    <row r="66" spans="1:12" x14ac:dyDescent="0.2">
      <c r="A66" s="3">
        <v>1</v>
      </c>
      <c r="B66" s="22" t="s">
        <v>547</v>
      </c>
      <c r="C66" s="12" t="s">
        <v>366</v>
      </c>
      <c r="D66" s="12" t="s">
        <v>367</v>
      </c>
      <c r="E66" s="22" t="s">
        <v>471</v>
      </c>
      <c r="F66" s="12" t="s">
        <v>317</v>
      </c>
      <c r="G66" s="12" t="s">
        <v>120</v>
      </c>
      <c r="H66" s="23" t="s">
        <v>462</v>
      </c>
      <c r="I66" s="23"/>
      <c r="J66" s="24" t="str">
        <f>"90,0"</f>
        <v>90,0</v>
      </c>
      <c r="K66" s="25" t="str">
        <f>"87,5170"</f>
        <v>87,5170</v>
      </c>
      <c r="L66" s="22"/>
    </row>
    <row r="67" spans="1:12" ht="15" x14ac:dyDescent="0.2">
      <c r="B67" s="33" t="s">
        <v>109</v>
      </c>
      <c r="C67" s="34"/>
      <c r="D67" s="34"/>
      <c r="E67" s="34"/>
      <c r="F67" s="34"/>
      <c r="G67" s="34"/>
      <c r="H67" s="34"/>
      <c r="I67" s="34"/>
    </row>
    <row r="68" spans="1:12" x14ac:dyDescent="0.2">
      <c r="A68" s="3">
        <v>1</v>
      </c>
      <c r="B68" s="18" t="s">
        <v>548</v>
      </c>
      <c r="C68" s="11" t="s">
        <v>368</v>
      </c>
      <c r="D68" s="11" t="s">
        <v>369</v>
      </c>
      <c r="E68" s="18" t="s">
        <v>467</v>
      </c>
      <c r="F68" s="11" t="s">
        <v>25</v>
      </c>
      <c r="G68" s="11" t="s">
        <v>144</v>
      </c>
      <c r="H68" s="19" t="s">
        <v>107</v>
      </c>
      <c r="I68" s="19"/>
      <c r="J68" s="20" t="str">
        <f>"220,0"</f>
        <v>220,0</v>
      </c>
      <c r="K68" s="21" t="str">
        <f>"111,0120"</f>
        <v>111,0120</v>
      </c>
      <c r="L68" s="18"/>
    </row>
    <row r="69" spans="1:12" x14ac:dyDescent="0.2">
      <c r="A69" s="3">
        <v>1</v>
      </c>
      <c r="B69" s="22" t="s">
        <v>548</v>
      </c>
      <c r="C69" s="12" t="s">
        <v>370</v>
      </c>
      <c r="D69" s="12" t="s">
        <v>369</v>
      </c>
      <c r="E69" s="18" t="s">
        <v>467</v>
      </c>
      <c r="F69" s="12" t="s">
        <v>25</v>
      </c>
      <c r="G69" s="12" t="s">
        <v>144</v>
      </c>
      <c r="H69" s="23" t="s">
        <v>107</v>
      </c>
      <c r="I69" s="23"/>
      <c r="J69" s="24" t="str">
        <f>"220,0"</f>
        <v>220,0</v>
      </c>
      <c r="K69" s="25" t="str">
        <f>"126,9977"</f>
        <v>126,9977</v>
      </c>
      <c r="L69" s="22"/>
    </row>
  </sheetData>
  <mergeCells count="24">
    <mergeCell ref="B63:I63"/>
    <mergeCell ref="B67:I67"/>
    <mergeCell ref="B22:I22"/>
    <mergeCell ref="B26:I26"/>
    <mergeCell ref="B32:I32"/>
    <mergeCell ref="B41:I41"/>
    <mergeCell ref="B48:I48"/>
    <mergeCell ref="B57:I57"/>
    <mergeCell ref="B20:I20"/>
    <mergeCell ref="J3:J4"/>
    <mergeCell ref="K3:K4"/>
    <mergeCell ref="L3:L4"/>
    <mergeCell ref="B5:I5"/>
    <mergeCell ref="B8:I8"/>
    <mergeCell ref="B11:I11"/>
    <mergeCell ref="B14:I14"/>
    <mergeCell ref="B16:I16"/>
    <mergeCell ref="B18:I18"/>
    <mergeCell ref="B1:L2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workbookViewId="0">
      <selection activeCell="A2" sqref="A2"/>
    </sheetView>
  </sheetViews>
  <sheetFormatPr defaultRowHeight="12.75" x14ac:dyDescent="0.2"/>
  <cols>
    <col min="1" max="1" width="9.140625" style="3"/>
    <col min="2" max="2" width="17.28515625" style="4" bestFit="1" customWidth="1"/>
    <col min="3" max="3" width="26.85546875" style="5" bestFit="1" customWidth="1"/>
    <col min="4" max="4" width="7.7109375" style="5" bestFit="1" customWidth="1"/>
    <col min="5" max="5" width="14.5703125" style="4" bestFit="1" customWidth="1"/>
    <col min="6" max="6" width="5.5703125" style="5" customWidth="1"/>
    <col min="7" max="8" width="2.140625" style="5" customWidth="1"/>
    <col min="9" max="9" width="5" style="5" customWidth="1"/>
    <col min="10" max="10" width="6.140625" style="14" bestFit="1" customWidth="1"/>
    <col min="11" max="11" width="8.5703125" style="15" bestFit="1" customWidth="1"/>
    <col min="12" max="12" width="12.7109375" style="4" bestFit="1" customWidth="1"/>
    <col min="13" max="16384" width="9.140625" style="3"/>
  </cols>
  <sheetData>
    <row r="1" spans="1:12" s="2" customFormat="1" ht="29.1" customHeight="1" x14ac:dyDescent="0.2">
      <c r="B1" s="50" t="s">
        <v>455</v>
      </c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s="2" customFormat="1" ht="107.25" customHeight="1" thickBo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2" s="1" customFormat="1" ht="12.75" customHeight="1" x14ac:dyDescent="0.2">
      <c r="B3" s="35" t="s">
        <v>0</v>
      </c>
      <c r="C3" s="37" t="s">
        <v>6</v>
      </c>
      <c r="D3" s="37" t="s">
        <v>4</v>
      </c>
      <c r="E3" s="39" t="s">
        <v>7</v>
      </c>
      <c r="F3" s="39" t="s">
        <v>8</v>
      </c>
      <c r="G3" s="39"/>
      <c r="H3" s="39"/>
      <c r="I3" s="39"/>
      <c r="J3" s="39" t="s">
        <v>43</v>
      </c>
      <c r="K3" s="39" t="s">
        <v>2</v>
      </c>
      <c r="L3" s="40" t="s">
        <v>1</v>
      </c>
    </row>
    <row r="4" spans="1:12" s="1" customFormat="1" ht="23.25" customHeight="1" thickBot="1" x14ac:dyDescent="0.25">
      <c r="A4" s="1" t="s">
        <v>489</v>
      </c>
      <c r="B4" s="36"/>
      <c r="C4" s="38"/>
      <c r="D4" s="38"/>
      <c r="E4" s="38"/>
      <c r="F4" s="6">
        <v>1</v>
      </c>
      <c r="G4" s="6">
        <v>2</v>
      </c>
      <c r="H4" s="6">
        <v>3</v>
      </c>
      <c r="I4" s="6" t="s">
        <v>3</v>
      </c>
      <c r="J4" s="38"/>
      <c r="K4" s="38"/>
      <c r="L4" s="41"/>
    </row>
    <row r="5" spans="1:12" s="5" customFormat="1" ht="15" x14ac:dyDescent="0.2">
      <c r="B5" s="31" t="s">
        <v>60</v>
      </c>
      <c r="C5" s="32"/>
      <c r="D5" s="32"/>
      <c r="E5" s="32"/>
      <c r="F5" s="32"/>
      <c r="G5" s="32"/>
      <c r="H5" s="32"/>
      <c r="I5" s="32"/>
      <c r="J5" s="14"/>
      <c r="K5" s="15"/>
      <c r="L5" s="4"/>
    </row>
    <row r="6" spans="1:12" s="5" customFormat="1" x14ac:dyDescent="0.2">
      <c r="A6" s="5" t="s">
        <v>486</v>
      </c>
      <c r="B6" s="8" t="s">
        <v>506</v>
      </c>
      <c r="C6" s="9" t="s">
        <v>271</v>
      </c>
      <c r="D6" s="9" t="s">
        <v>272</v>
      </c>
      <c r="E6" s="8" t="s">
        <v>465</v>
      </c>
      <c r="F6" s="9" t="s">
        <v>25</v>
      </c>
      <c r="G6" s="10" t="s">
        <v>462</v>
      </c>
      <c r="H6" s="10" t="s">
        <v>462</v>
      </c>
      <c r="I6" s="10"/>
      <c r="J6" s="16" t="str">
        <f>"215,0"</f>
        <v>215,0</v>
      </c>
      <c r="K6" s="17" t="str">
        <f>"118,0804"</f>
        <v>118,0804</v>
      </c>
      <c r="L6" s="8" t="s">
        <v>206</v>
      </c>
    </row>
    <row r="7" spans="1:12" ht="15" x14ac:dyDescent="0.2">
      <c r="B7" s="33" t="s">
        <v>64</v>
      </c>
      <c r="C7" s="34"/>
      <c r="D7" s="34"/>
      <c r="E7" s="34"/>
      <c r="F7" s="34"/>
      <c r="G7" s="34"/>
      <c r="H7" s="34"/>
      <c r="I7" s="34"/>
    </row>
    <row r="8" spans="1:12" x14ac:dyDescent="0.2">
      <c r="A8" s="3">
        <v>1</v>
      </c>
      <c r="B8" s="18" t="s">
        <v>507</v>
      </c>
      <c r="C8" s="11" t="s">
        <v>264</v>
      </c>
      <c r="D8" s="11" t="s">
        <v>265</v>
      </c>
      <c r="E8" s="18" t="s">
        <v>465</v>
      </c>
      <c r="F8" s="11" t="s">
        <v>24</v>
      </c>
      <c r="G8" s="19" t="s">
        <v>462</v>
      </c>
      <c r="H8" s="19" t="s">
        <v>462</v>
      </c>
      <c r="I8" s="19"/>
      <c r="J8" s="20" t="str">
        <f>"205,0"</f>
        <v>205,0</v>
      </c>
      <c r="K8" s="21" t="str">
        <f>"134,6427"</f>
        <v>134,6427</v>
      </c>
      <c r="L8" s="18" t="s">
        <v>266</v>
      </c>
    </row>
    <row r="9" spans="1:12" x14ac:dyDescent="0.2">
      <c r="B9" s="22" t="s">
        <v>507</v>
      </c>
      <c r="C9" s="12" t="s">
        <v>264</v>
      </c>
      <c r="D9" s="12" t="s">
        <v>265</v>
      </c>
      <c r="E9" s="22" t="s">
        <v>465</v>
      </c>
      <c r="F9" s="23" t="s">
        <v>24</v>
      </c>
      <c r="G9" s="23" t="s">
        <v>462</v>
      </c>
      <c r="H9" s="23" t="s">
        <v>462</v>
      </c>
      <c r="I9" s="23"/>
      <c r="J9" s="24" t="str">
        <f>"0.00"</f>
        <v>0.00</v>
      </c>
      <c r="K9" s="25" t="str">
        <f>"0,0000"</f>
        <v>0,0000</v>
      </c>
      <c r="L9" s="22" t="s">
        <v>266</v>
      </c>
    </row>
  </sheetData>
  <mergeCells count="11">
    <mergeCell ref="B7:I7"/>
    <mergeCell ref="J3:J4"/>
    <mergeCell ref="K3:K4"/>
    <mergeCell ref="L3:L4"/>
    <mergeCell ref="B5:I5"/>
    <mergeCell ref="B1:L2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8"/>
  <sheetViews>
    <sheetView workbookViewId="0">
      <selection activeCell="A2" sqref="A2"/>
    </sheetView>
  </sheetViews>
  <sheetFormatPr defaultRowHeight="12.75" x14ac:dyDescent="0.2"/>
  <cols>
    <col min="1" max="1" width="9.140625" style="3"/>
    <col min="2" max="2" width="18" style="4" bestFit="1" customWidth="1"/>
    <col min="3" max="3" width="26.85546875" style="5" bestFit="1" customWidth="1"/>
    <col min="4" max="4" width="7.7109375" style="5" bestFit="1" customWidth="1"/>
    <col min="5" max="5" width="14.5703125" style="4" bestFit="1" customWidth="1"/>
    <col min="6" max="8" width="5.5703125" style="5" customWidth="1"/>
    <col min="9" max="9" width="5" style="5" customWidth="1"/>
    <col min="10" max="10" width="6.140625" style="14" bestFit="1" customWidth="1"/>
    <col min="11" max="11" width="8.5703125" style="15" bestFit="1" customWidth="1"/>
    <col min="12" max="12" width="12.42578125" style="4" bestFit="1" customWidth="1"/>
    <col min="13" max="16384" width="9.140625" style="3"/>
  </cols>
  <sheetData>
    <row r="1" spans="1:12" s="2" customFormat="1" ht="29.1" customHeight="1" x14ac:dyDescent="0.2">
      <c r="B1" s="50" t="s">
        <v>454</v>
      </c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s="2" customFormat="1" ht="62.1" customHeight="1" thickBo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2" s="1" customFormat="1" ht="12.75" customHeight="1" x14ac:dyDescent="0.2">
      <c r="B3" s="35" t="s">
        <v>0</v>
      </c>
      <c r="C3" s="37" t="s">
        <v>6</v>
      </c>
      <c r="D3" s="37" t="s">
        <v>4</v>
      </c>
      <c r="E3" s="39" t="s">
        <v>7</v>
      </c>
      <c r="F3" s="39" t="s">
        <v>8</v>
      </c>
      <c r="G3" s="39"/>
      <c r="H3" s="39"/>
      <c r="I3" s="39"/>
      <c r="J3" s="39" t="s">
        <v>43</v>
      </c>
      <c r="K3" s="39" t="s">
        <v>2</v>
      </c>
      <c r="L3" s="40" t="s">
        <v>1</v>
      </c>
    </row>
    <row r="4" spans="1:12" s="1" customFormat="1" ht="23.25" customHeight="1" thickBot="1" x14ac:dyDescent="0.25">
      <c r="A4" s="1" t="s">
        <v>489</v>
      </c>
      <c r="B4" s="36"/>
      <c r="C4" s="38"/>
      <c r="D4" s="38"/>
      <c r="E4" s="38"/>
      <c r="F4" s="6">
        <v>1</v>
      </c>
      <c r="G4" s="6">
        <v>2</v>
      </c>
      <c r="H4" s="6">
        <v>3</v>
      </c>
      <c r="I4" s="6" t="s">
        <v>3</v>
      </c>
      <c r="J4" s="38"/>
      <c r="K4" s="38"/>
      <c r="L4" s="41"/>
    </row>
    <row r="5" spans="1:12" s="5" customFormat="1" ht="15" x14ac:dyDescent="0.2">
      <c r="B5" s="31" t="s">
        <v>26</v>
      </c>
      <c r="C5" s="32"/>
      <c r="D5" s="32"/>
      <c r="E5" s="32"/>
      <c r="F5" s="32"/>
      <c r="G5" s="32"/>
      <c r="H5" s="32"/>
      <c r="I5" s="32"/>
      <c r="J5" s="14"/>
      <c r="K5" s="15"/>
      <c r="L5" s="4"/>
    </row>
    <row r="6" spans="1:12" s="5" customFormat="1" x14ac:dyDescent="0.2">
      <c r="A6" s="5" t="s">
        <v>486</v>
      </c>
      <c r="B6" s="8" t="s">
        <v>267</v>
      </c>
      <c r="C6" s="9" t="s">
        <v>268</v>
      </c>
      <c r="D6" s="9" t="s">
        <v>269</v>
      </c>
      <c r="E6" s="8" t="s">
        <v>469</v>
      </c>
      <c r="F6" s="9" t="s">
        <v>30</v>
      </c>
      <c r="G6" s="9" t="s">
        <v>18</v>
      </c>
      <c r="H6" s="10" t="s">
        <v>145</v>
      </c>
      <c r="I6" s="10"/>
      <c r="J6" s="16" t="str">
        <f>"225,0"</f>
        <v>225,0</v>
      </c>
      <c r="K6" s="17" t="str">
        <f>"151,4060"</f>
        <v>151,4060</v>
      </c>
      <c r="L6" s="8" t="s">
        <v>200</v>
      </c>
    </row>
    <row r="7" spans="1:12" ht="15" x14ac:dyDescent="0.2">
      <c r="B7" s="33" t="s">
        <v>60</v>
      </c>
      <c r="C7" s="34"/>
      <c r="D7" s="34"/>
      <c r="E7" s="34"/>
      <c r="F7" s="34"/>
      <c r="G7" s="34"/>
      <c r="H7" s="34"/>
      <c r="I7" s="34"/>
    </row>
    <row r="8" spans="1:12" x14ac:dyDescent="0.2">
      <c r="A8" s="3">
        <v>1</v>
      </c>
      <c r="B8" s="8" t="s">
        <v>270</v>
      </c>
      <c r="C8" s="9" t="s">
        <v>271</v>
      </c>
      <c r="D8" s="9" t="s">
        <v>272</v>
      </c>
      <c r="E8" s="8" t="s">
        <v>465</v>
      </c>
      <c r="F8" s="9" t="s">
        <v>25</v>
      </c>
      <c r="G8" s="9" t="s">
        <v>63</v>
      </c>
      <c r="H8" s="10" t="s">
        <v>462</v>
      </c>
      <c r="I8" s="10"/>
      <c r="J8" s="16" t="str">
        <f>"235,0"</f>
        <v>235,0</v>
      </c>
      <c r="K8" s="17" t="str">
        <f>"129,0646"</f>
        <v>129,0646</v>
      </c>
      <c r="L8" s="8" t="s">
        <v>206</v>
      </c>
    </row>
  </sheetData>
  <mergeCells count="11">
    <mergeCell ref="B7:I7"/>
    <mergeCell ref="J3:J4"/>
    <mergeCell ref="K3:K4"/>
    <mergeCell ref="L3:L4"/>
    <mergeCell ref="B5:I5"/>
    <mergeCell ref="B1:L2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6"/>
  <sheetViews>
    <sheetView workbookViewId="0">
      <selection activeCell="A2" sqref="A2"/>
    </sheetView>
  </sheetViews>
  <sheetFormatPr defaultRowHeight="12.75" x14ac:dyDescent="0.2"/>
  <cols>
    <col min="1" max="1" width="9.140625" style="3"/>
    <col min="2" max="2" width="22.5703125" style="4" bestFit="1" customWidth="1"/>
    <col min="3" max="3" width="26.85546875" style="5" bestFit="1" customWidth="1"/>
    <col min="4" max="4" width="7.7109375" style="5" bestFit="1" customWidth="1"/>
    <col min="5" max="5" width="16" style="4" bestFit="1" customWidth="1"/>
    <col min="6" max="8" width="5.5703125" style="5" customWidth="1"/>
    <col min="9" max="9" width="5" style="5" customWidth="1"/>
    <col min="10" max="10" width="6.140625" style="14" bestFit="1" customWidth="1"/>
    <col min="11" max="11" width="8.5703125" style="15" bestFit="1" customWidth="1"/>
    <col min="12" max="12" width="26.140625" style="4" bestFit="1" customWidth="1"/>
    <col min="13" max="16384" width="9.140625" style="3"/>
  </cols>
  <sheetData>
    <row r="1" spans="1:12" s="2" customFormat="1" ht="29.1" customHeight="1" x14ac:dyDescent="0.2">
      <c r="B1" s="50" t="s">
        <v>453</v>
      </c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s="2" customFormat="1" ht="62.1" customHeight="1" thickBo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2" s="1" customFormat="1" ht="12.75" customHeight="1" x14ac:dyDescent="0.2">
      <c r="B3" s="35" t="s">
        <v>0</v>
      </c>
      <c r="C3" s="37" t="s">
        <v>6</v>
      </c>
      <c r="D3" s="37" t="s">
        <v>4</v>
      </c>
      <c r="E3" s="39" t="s">
        <v>7</v>
      </c>
      <c r="F3" s="39" t="s">
        <v>8</v>
      </c>
      <c r="G3" s="39"/>
      <c r="H3" s="39"/>
      <c r="I3" s="39"/>
      <c r="J3" s="39" t="s">
        <v>43</v>
      </c>
      <c r="K3" s="39" t="s">
        <v>2</v>
      </c>
      <c r="L3" s="40" t="s">
        <v>1</v>
      </c>
    </row>
    <row r="4" spans="1:12" s="1" customFormat="1" ht="23.25" customHeight="1" thickBot="1" x14ac:dyDescent="0.25">
      <c r="A4" s="1" t="s">
        <v>489</v>
      </c>
      <c r="B4" s="36"/>
      <c r="C4" s="38"/>
      <c r="D4" s="38"/>
      <c r="E4" s="38"/>
      <c r="F4" s="6">
        <v>1</v>
      </c>
      <c r="G4" s="6">
        <v>2</v>
      </c>
      <c r="H4" s="6">
        <v>3</v>
      </c>
      <c r="I4" s="6" t="s">
        <v>3</v>
      </c>
      <c r="J4" s="38"/>
      <c r="K4" s="38"/>
      <c r="L4" s="41"/>
    </row>
    <row r="5" spans="1:12" s="5" customFormat="1" ht="15" x14ac:dyDescent="0.2">
      <c r="B5" s="31" t="s">
        <v>155</v>
      </c>
      <c r="C5" s="32"/>
      <c r="D5" s="32"/>
      <c r="E5" s="32"/>
      <c r="F5" s="32"/>
      <c r="G5" s="32"/>
      <c r="H5" s="32"/>
      <c r="I5" s="32"/>
      <c r="J5" s="14"/>
      <c r="K5" s="15"/>
      <c r="L5" s="4"/>
    </row>
    <row r="6" spans="1:12" s="5" customFormat="1" x14ac:dyDescent="0.2">
      <c r="A6" s="5" t="s">
        <v>486</v>
      </c>
      <c r="B6" s="8" t="s">
        <v>550</v>
      </c>
      <c r="C6" s="9" t="s">
        <v>156</v>
      </c>
      <c r="D6" s="9" t="s">
        <v>157</v>
      </c>
      <c r="E6" s="8" t="s">
        <v>465</v>
      </c>
      <c r="F6" s="9" t="s">
        <v>49</v>
      </c>
      <c r="G6" s="9" t="s">
        <v>50</v>
      </c>
      <c r="H6" s="10" t="s">
        <v>103</v>
      </c>
      <c r="I6" s="10"/>
      <c r="J6" s="16" t="str">
        <f>"115,0"</f>
        <v>115,0</v>
      </c>
      <c r="K6" s="17" t="str">
        <f>"120,2670"</f>
        <v>120,2670</v>
      </c>
      <c r="L6" s="8" t="s">
        <v>72</v>
      </c>
    </row>
    <row r="7" spans="1:12" ht="15" x14ac:dyDescent="0.2">
      <c r="B7" s="33" t="s">
        <v>158</v>
      </c>
      <c r="C7" s="34"/>
      <c r="D7" s="34"/>
      <c r="E7" s="34"/>
      <c r="F7" s="34"/>
      <c r="G7" s="34"/>
      <c r="H7" s="34"/>
      <c r="I7" s="34"/>
    </row>
    <row r="8" spans="1:12" x14ac:dyDescent="0.2">
      <c r="A8" s="3">
        <v>1</v>
      </c>
      <c r="B8" s="8" t="s">
        <v>510</v>
      </c>
      <c r="C8" s="9" t="s">
        <v>159</v>
      </c>
      <c r="D8" s="9" t="s">
        <v>160</v>
      </c>
      <c r="E8" s="8" t="s">
        <v>465</v>
      </c>
      <c r="F8" s="9" t="s">
        <v>82</v>
      </c>
      <c r="G8" s="9" t="s">
        <v>161</v>
      </c>
      <c r="H8" s="9" t="s">
        <v>162</v>
      </c>
      <c r="I8" s="10"/>
      <c r="J8" s="16" t="str">
        <f>"142,5"</f>
        <v>142,5</v>
      </c>
      <c r="K8" s="17" t="str">
        <f>"131,7982"</f>
        <v>131,7982</v>
      </c>
      <c r="L8" s="8" t="s">
        <v>163</v>
      </c>
    </row>
    <row r="9" spans="1:12" ht="15" x14ac:dyDescent="0.2">
      <c r="B9" s="33" t="s">
        <v>164</v>
      </c>
      <c r="C9" s="34"/>
      <c r="D9" s="34"/>
      <c r="E9" s="34"/>
      <c r="F9" s="34"/>
      <c r="G9" s="34"/>
      <c r="H9" s="34"/>
      <c r="I9" s="34"/>
    </row>
    <row r="10" spans="1:12" x14ac:dyDescent="0.2">
      <c r="A10" s="3">
        <v>1</v>
      </c>
      <c r="B10" s="18" t="s">
        <v>551</v>
      </c>
      <c r="C10" s="11" t="s">
        <v>166</v>
      </c>
      <c r="D10" s="11" t="s">
        <v>167</v>
      </c>
      <c r="E10" s="18" t="s">
        <v>468</v>
      </c>
      <c r="F10" s="11" t="s">
        <v>49</v>
      </c>
      <c r="G10" s="11" t="s">
        <v>76</v>
      </c>
      <c r="H10" s="11" t="s">
        <v>85</v>
      </c>
      <c r="I10" s="19"/>
      <c r="J10" s="20" t="str">
        <f>"125,0"</f>
        <v>125,0</v>
      </c>
      <c r="K10" s="21" t="str">
        <f>"113,5750"</f>
        <v>113,5750</v>
      </c>
      <c r="L10" s="18" t="s">
        <v>168</v>
      </c>
    </row>
    <row r="11" spans="1:12" x14ac:dyDescent="0.2">
      <c r="A11" s="3">
        <v>2</v>
      </c>
      <c r="B11" s="22" t="s">
        <v>169</v>
      </c>
      <c r="C11" s="12" t="s">
        <v>170</v>
      </c>
      <c r="D11" s="12" t="s">
        <v>171</v>
      </c>
      <c r="E11" s="22" t="s">
        <v>465</v>
      </c>
      <c r="F11" s="12" t="s">
        <v>120</v>
      </c>
      <c r="G11" s="12" t="s">
        <v>172</v>
      </c>
      <c r="H11" s="23" t="s">
        <v>462</v>
      </c>
      <c r="I11" s="23"/>
      <c r="J11" s="24" t="str">
        <f>"105,0"</f>
        <v>105,0</v>
      </c>
      <c r="K11" s="25" t="str">
        <f>"92,0115"</f>
        <v>92,0115</v>
      </c>
      <c r="L11" s="22" t="s">
        <v>59</v>
      </c>
    </row>
    <row r="12" spans="1:12" ht="15" x14ac:dyDescent="0.2">
      <c r="B12" s="33" t="s">
        <v>44</v>
      </c>
      <c r="C12" s="34"/>
      <c r="D12" s="34"/>
      <c r="E12" s="34"/>
      <c r="F12" s="34"/>
      <c r="G12" s="34"/>
      <c r="H12" s="34"/>
      <c r="I12" s="34"/>
    </row>
    <row r="13" spans="1:12" x14ac:dyDescent="0.2">
      <c r="A13" s="3">
        <v>1</v>
      </c>
      <c r="B13" s="18" t="s">
        <v>552</v>
      </c>
      <c r="C13" s="11" t="s">
        <v>174</v>
      </c>
      <c r="D13" s="11" t="s">
        <v>175</v>
      </c>
      <c r="E13" s="18" t="s">
        <v>469</v>
      </c>
      <c r="F13" s="11" t="s">
        <v>82</v>
      </c>
      <c r="G13" s="11" t="s">
        <v>12</v>
      </c>
      <c r="H13" s="19" t="s">
        <v>462</v>
      </c>
      <c r="I13" s="19"/>
      <c r="J13" s="20" t="str">
        <f>"135,0"</f>
        <v>135,0</v>
      </c>
      <c r="K13" s="21" t="str">
        <f>"98,1720"</f>
        <v>98,1720</v>
      </c>
      <c r="L13" s="18"/>
    </row>
    <row r="14" spans="1:12" x14ac:dyDescent="0.2">
      <c r="A14" s="3">
        <v>2</v>
      </c>
      <c r="B14" s="22" t="s">
        <v>553</v>
      </c>
      <c r="C14" s="12" t="s">
        <v>176</v>
      </c>
      <c r="D14" s="12" t="s">
        <v>177</v>
      </c>
      <c r="E14" s="22" t="s">
        <v>476</v>
      </c>
      <c r="F14" s="12" t="s">
        <v>121</v>
      </c>
      <c r="G14" s="12" t="s">
        <v>48</v>
      </c>
      <c r="H14" s="12" t="s">
        <v>178</v>
      </c>
      <c r="I14" s="23"/>
      <c r="J14" s="24" t="str">
        <f>"107,5"</f>
        <v>107,5</v>
      </c>
      <c r="K14" s="25" t="str">
        <f>"80,0337"</f>
        <v>80,0337</v>
      </c>
      <c r="L14" s="22" t="s">
        <v>463</v>
      </c>
    </row>
    <row r="15" spans="1:12" ht="15" x14ac:dyDescent="0.2">
      <c r="B15" s="33" t="s">
        <v>15</v>
      </c>
      <c r="C15" s="34"/>
      <c r="D15" s="34"/>
      <c r="E15" s="34"/>
      <c r="F15" s="34"/>
      <c r="G15" s="34"/>
      <c r="H15" s="34"/>
      <c r="I15" s="34"/>
    </row>
    <row r="16" spans="1:12" x14ac:dyDescent="0.2">
      <c r="A16" s="3">
        <v>1</v>
      </c>
      <c r="B16" s="8" t="s">
        <v>554</v>
      </c>
      <c r="C16" s="9" t="s">
        <v>179</v>
      </c>
      <c r="D16" s="9" t="s">
        <v>180</v>
      </c>
      <c r="E16" s="8" t="s">
        <v>465</v>
      </c>
      <c r="F16" s="9" t="s">
        <v>172</v>
      </c>
      <c r="G16" s="9" t="s">
        <v>50</v>
      </c>
      <c r="H16" s="9" t="s">
        <v>85</v>
      </c>
      <c r="I16" s="10"/>
      <c r="J16" s="16" t="str">
        <f>"125,0"</f>
        <v>125,0</v>
      </c>
      <c r="K16" s="17" t="str">
        <f>"107,2200"</f>
        <v>107,2200</v>
      </c>
      <c r="L16" s="8" t="s">
        <v>181</v>
      </c>
    </row>
    <row r="17" spans="1:12" ht="15" x14ac:dyDescent="0.2">
      <c r="B17" s="33" t="s">
        <v>158</v>
      </c>
      <c r="C17" s="34"/>
      <c r="D17" s="34"/>
      <c r="E17" s="34"/>
      <c r="F17" s="34"/>
      <c r="G17" s="34"/>
      <c r="H17" s="34"/>
      <c r="I17" s="34"/>
    </row>
    <row r="18" spans="1:12" x14ac:dyDescent="0.2">
      <c r="A18" s="3">
        <v>1</v>
      </c>
      <c r="B18" s="8" t="s">
        <v>182</v>
      </c>
      <c r="C18" s="9" t="s">
        <v>183</v>
      </c>
      <c r="D18" s="9" t="s">
        <v>184</v>
      </c>
      <c r="E18" s="8" t="s">
        <v>476</v>
      </c>
      <c r="F18" s="9" t="s">
        <v>76</v>
      </c>
      <c r="G18" s="9" t="s">
        <v>82</v>
      </c>
      <c r="H18" s="10" t="s">
        <v>13</v>
      </c>
      <c r="I18" s="10"/>
      <c r="J18" s="16" t="str">
        <f>"130,0"</f>
        <v>130,0</v>
      </c>
      <c r="K18" s="17" t="str">
        <f>"114,8550"</f>
        <v>114,8550</v>
      </c>
      <c r="L18" s="8" t="s">
        <v>185</v>
      </c>
    </row>
    <row r="19" spans="1:12" ht="15" x14ac:dyDescent="0.2">
      <c r="B19" s="33" t="s">
        <v>164</v>
      </c>
      <c r="C19" s="34"/>
      <c r="D19" s="34"/>
      <c r="E19" s="34"/>
      <c r="F19" s="34"/>
      <c r="G19" s="34"/>
      <c r="H19" s="34"/>
      <c r="I19" s="34"/>
    </row>
    <row r="20" spans="1:12" x14ac:dyDescent="0.2">
      <c r="A20" s="3">
        <v>1</v>
      </c>
      <c r="B20" s="18" t="s">
        <v>555</v>
      </c>
      <c r="C20" s="11" t="s">
        <v>187</v>
      </c>
      <c r="D20" s="11" t="s">
        <v>188</v>
      </c>
      <c r="E20" s="18" t="s">
        <v>470</v>
      </c>
      <c r="F20" s="11" t="s">
        <v>76</v>
      </c>
      <c r="G20" s="11" t="s">
        <v>13</v>
      </c>
      <c r="H20" s="11" t="s">
        <v>89</v>
      </c>
      <c r="I20" s="19"/>
      <c r="J20" s="20" t="str">
        <f>"150,0"</f>
        <v>150,0</v>
      </c>
      <c r="K20" s="21" t="str">
        <f>"126,0900"</f>
        <v>126,0900</v>
      </c>
      <c r="L20" s="18"/>
    </row>
    <row r="21" spans="1:12" x14ac:dyDescent="0.2">
      <c r="A21" s="3">
        <v>1</v>
      </c>
      <c r="B21" s="26" t="s">
        <v>556</v>
      </c>
      <c r="C21" s="13" t="s">
        <v>189</v>
      </c>
      <c r="D21" s="13" t="s">
        <v>171</v>
      </c>
      <c r="E21" s="26" t="s">
        <v>465</v>
      </c>
      <c r="F21" s="13" t="s">
        <v>82</v>
      </c>
      <c r="G21" s="13" t="s">
        <v>13</v>
      </c>
      <c r="H21" s="13" t="s">
        <v>89</v>
      </c>
      <c r="I21" s="27"/>
      <c r="J21" s="28" t="str">
        <f>"150,0"</f>
        <v>150,0</v>
      </c>
      <c r="K21" s="29" t="str">
        <f>"124,7250"</f>
        <v>124,7250</v>
      </c>
      <c r="L21" s="26"/>
    </row>
    <row r="22" spans="1:12" x14ac:dyDescent="0.2">
      <c r="A22" s="3">
        <v>1</v>
      </c>
      <c r="B22" s="26" t="s">
        <v>557</v>
      </c>
      <c r="C22" s="13" t="s">
        <v>190</v>
      </c>
      <c r="D22" s="13" t="s">
        <v>191</v>
      </c>
      <c r="E22" s="26" t="s">
        <v>476</v>
      </c>
      <c r="F22" s="13" t="s">
        <v>39</v>
      </c>
      <c r="G22" s="13" t="s">
        <v>136</v>
      </c>
      <c r="H22" s="27" t="s">
        <v>129</v>
      </c>
      <c r="I22" s="27"/>
      <c r="J22" s="28" t="str">
        <f>"175,0"</f>
        <v>175,0</v>
      </c>
      <c r="K22" s="29" t="str">
        <f>"143,4825"</f>
        <v>143,4825</v>
      </c>
      <c r="L22" s="26" t="s">
        <v>463</v>
      </c>
    </row>
    <row r="23" spans="1:12" x14ac:dyDescent="0.2">
      <c r="A23" s="3">
        <v>2</v>
      </c>
      <c r="B23" s="22" t="s">
        <v>558</v>
      </c>
      <c r="C23" s="12" t="s">
        <v>193</v>
      </c>
      <c r="D23" s="12" t="s">
        <v>194</v>
      </c>
      <c r="E23" s="22" t="s">
        <v>465</v>
      </c>
      <c r="F23" s="12" t="s">
        <v>12</v>
      </c>
      <c r="G23" s="12" t="s">
        <v>14</v>
      </c>
      <c r="H23" s="12" t="s">
        <v>39</v>
      </c>
      <c r="I23" s="23"/>
      <c r="J23" s="24" t="str">
        <f>"160,0"</f>
        <v>160,0</v>
      </c>
      <c r="K23" s="25" t="str">
        <f>"131,8720"</f>
        <v>131,8720</v>
      </c>
      <c r="L23" s="22"/>
    </row>
    <row r="24" spans="1:12" ht="15" x14ac:dyDescent="0.2">
      <c r="B24" s="33" t="s">
        <v>44</v>
      </c>
      <c r="C24" s="34"/>
      <c r="D24" s="34"/>
      <c r="E24" s="34"/>
      <c r="F24" s="34"/>
      <c r="G24" s="34"/>
      <c r="H24" s="34"/>
      <c r="I24" s="34"/>
    </row>
    <row r="25" spans="1:12" x14ac:dyDescent="0.2">
      <c r="A25" s="3">
        <v>1</v>
      </c>
      <c r="B25" s="18" t="s">
        <v>559</v>
      </c>
      <c r="C25" s="11" t="s">
        <v>195</v>
      </c>
      <c r="D25" s="11" t="s">
        <v>196</v>
      </c>
      <c r="E25" s="18" t="s">
        <v>467</v>
      </c>
      <c r="F25" s="11" t="s">
        <v>172</v>
      </c>
      <c r="G25" s="19" t="s">
        <v>50</v>
      </c>
      <c r="H25" s="11" t="s">
        <v>50</v>
      </c>
      <c r="I25" s="19"/>
      <c r="J25" s="20" t="str">
        <f>"115,0"</f>
        <v>115,0</v>
      </c>
      <c r="K25" s="21" t="str">
        <f>"80,9600"</f>
        <v>80,9600</v>
      </c>
      <c r="L25" s="18"/>
    </row>
    <row r="26" spans="1:12" x14ac:dyDescent="0.2">
      <c r="A26" s="3">
        <v>1</v>
      </c>
      <c r="B26" s="26" t="s">
        <v>560</v>
      </c>
      <c r="C26" s="13" t="s">
        <v>197</v>
      </c>
      <c r="D26" s="13" t="s">
        <v>198</v>
      </c>
      <c r="E26" s="26" t="s">
        <v>469</v>
      </c>
      <c r="F26" s="13" t="s">
        <v>144</v>
      </c>
      <c r="G26" s="27" t="s">
        <v>199</v>
      </c>
      <c r="H26" s="27" t="s">
        <v>199</v>
      </c>
      <c r="I26" s="27"/>
      <c r="J26" s="28" t="str">
        <f>"220,0"</f>
        <v>220,0</v>
      </c>
      <c r="K26" s="29" t="str">
        <f>"155,2540"</f>
        <v>155,2540</v>
      </c>
      <c r="L26" s="26" t="s">
        <v>200</v>
      </c>
    </row>
    <row r="27" spans="1:12" x14ac:dyDescent="0.2">
      <c r="A27" s="3">
        <v>2</v>
      </c>
      <c r="B27" s="26" t="s">
        <v>521</v>
      </c>
      <c r="C27" s="13" t="s">
        <v>201</v>
      </c>
      <c r="D27" s="13" t="s">
        <v>202</v>
      </c>
      <c r="E27" s="26" t="s">
        <v>479</v>
      </c>
      <c r="F27" s="13" t="s">
        <v>129</v>
      </c>
      <c r="G27" s="13" t="s">
        <v>23</v>
      </c>
      <c r="H27" s="27" t="s">
        <v>203</v>
      </c>
      <c r="I27" s="27"/>
      <c r="J27" s="28" t="str">
        <f>"190,0"</f>
        <v>190,0</v>
      </c>
      <c r="K27" s="29" t="str">
        <f>"133,4180"</f>
        <v>133,4180</v>
      </c>
      <c r="L27" s="26"/>
    </row>
    <row r="28" spans="1:12" x14ac:dyDescent="0.2">
      <c r="A28" s="3">
        <v>1</v>
      </c>
      <c r="B28" s="26" t="s">
        <v>522</v>
      </c>
      <c r="C28" s="13" t="s">
        <v>204</v>
      </c>
      <c r="D28" s="13" t="s">
        <v>205</v>
      </c>
      <c r="E28" s="26" t="s">
        <v>465</v>
      </c>
      <c r="F28" s="13" t="s">
        <v>85</v>
      </c>
      <c r="G28" s="13" t="s">
        <v>12</v>
      </c>
      <c r="H28" s="13" t="s">
        <v>13</v>
      </c>
      <c r="I28" s="27"/>
      <c r="J28" s="28" t="str">
        <f>"140,0"</f>
        <v>140,0</v>
      </c>
      <c r="K28" s="29" t="str">
        <f>"153,0152"</f>
        <v>153,0152</v>
      </c>
      <c r="L28" s="26" t="s">
        <v>206</v>
      </c>
    </row>
    <row r="29" spans="1:12" x14ac:dyDescent="0.2">
      <c r="A29" s="3">
        <v>1</v>
      </c>
      <c r="B29" s="22" t="s">
        <v>523</v>
      </c>
      <c r="C29" s="12" t="s">
        <v>207</v>
      </c>
      <c r="D29" s="12" t="s">
        <v>208</v>
      </c>
      <c r="E29" s="22" t="s">
        <v>471</v>
      </c>
      <c r="F29" s="12" t="s">
        <v>76</v>
      </c>
      <c r="G29" s="12" t="s">
        <v>13</v>
      </c>
      <c r="H29" s="23" t="s">
        <v>462</v>
      </c>
      <c r="I29" s="23"/>
      <c r="J29" s="24" t="str">
        <f>"140,0"</f>
        <v>140,0</v>
      </c>
      <c r="K29" s="25" t="str">
        <f>"169,0938"</f>
        <v>169,0938</v>
      </c>
      <c r="L29" s="22" t="s">
        <v>209</v>
      </c>
    </row>
    <row r="30" spans="1:12" ht="15" x14ac:dyDescent="0.2">
      <c r="B30" s="33" t="s">
        <v>15</v>
      </c>
      <c r="C30" s="34"/>
      <c r="D30" s="34"/>
      <c r="E30" s="34"/>
      <c r="F30" s="34"/>
      <c r="G30" s="34"/>
      <c r="H30" s="34"/>
      <c r="I30" s="34"/>
    </row>
    <row r="31" spans="1:12" x14ac:dyDescent="0.2">
      <c r="A31" s="3">
        <v>1</v>
      </c>
      <c r="B31" s="18" t="s">
        <v>525</v>
      </c>
      <c r="C31" s="11" t="s">
        <v>210</v>
      </c>
      <c r="D31" s="11" t="s">
        <v>211</v>
      </c>
      <c r="E31" s="18" t="s">
        <v>469</v>
      </c>
      <c r="F31" s="11" t="s">
        <v>129</v>
      </c>
      <c r="G31" s="19" t="s">
        <v>212</v>
      </c>
      <c r="H31" s="11" t="s">
        <v>212</v>
      </c>
      <c r="I31" s="19"/>
      <c r="J31" s="20" t="str">
        <f>"187,5"</f>
        <v>187,5</v>
      </c>
      <c r="K31" s="21" t="str">
        <f>"118,3500"</f>
        <v>118,3500</v>
      </c>
      <c r="L31" s="18" t="s">
        <v>213</v>
      </c>
    </row>
    <row r="32" spans="1:12" x14ac:dyDescent="0.2">
      <c r="A32" s="3">
        <v>1</v>
      </c>
      <c r="B32" s="26" t="s">
        <v>561</v>
      </c>
      <c r="C32" s="13" t="s">
        <v>214</v>
      </c>
      <c r="D32" s="13" t="s">
        <v>215</v>
      </c>
      <c r="E32" s="26" t="s">
        <v>482</v>
      </c>
      <c r="F32" s="13" t="s">
        <v>30</v>
      </c>
      <c r="G32" s="27" t="s">
        <v>144</v>
      </c>
      <c r="H32" s="13" t="s">
        <v>107</v>
      </c>
      <c r="I32" s="27"/>
      <c r="J32" s="28" t="str">
        <f>"222,5"</f>
        <v>222,5</v>
      </c>
      <c r="K32" s="29" t="str">
        <f>"139,5743"</f>
        <v>139,5743</v>
      </c>
      <c r="L32" s="26" t="s">
        <v>216</v>
      </c>
    </row>
    <row r="33" spans="1:12" x14ac:dyDescent="0.2">
      <c r="A33" s="3">
        <v>2</v>
      </c>
      <c r="B33" s="26" t="s">
        <v>562</v>
      </c>
      <c r="C33" s="13" t="s">
        <v>218</v>
      </c>
      <c r="D33" s="13" t="s">
        <v>22</v>
      </c>
      <c r="E33" s="26" t="s">
        <v>469</v>
      </c>
      <c r="F33" s="13" t="s">
        <v>142</v>
      </c>
      <c r="G33" s="13" t="s">
        <v>25</v>
      </c>
      <c r="H33" s="27" t="s">
        <v>144</v>
      </c>
      <c r="I33" s="27"/>
      <c r="J33" s="28" t="str">
        <f>"215,0"</f>
        <v>215,0</v>
      </c>
      <c r="K33" s="29" t="str">
        <f>"138,5030"</f>
        <v>138,5030</v>
      </c>
      <c r="L33" s="26"/>
    </row>
    <row r="34" spans="1:12" x14ac:dyDescent="0.2">
      <c r="A34" s="3">
        <v>1</v>
      </c>
      <c r="B34" s="26" t="s">
        <v>561</v>
      </c>
      <c r="C34" s="13" t="s">
        <v>219</v>
      </c>
      <c r="D34" s="13" t="s">
        <v>215</v>
      </c>
      <c r="E34" s="26" t="s">
        <v>482</v>
      </c>
      <c r="F34" s="13" t="s">
        <v>30</v>
      </c>
      <c r="G34" s="27" t="s">
        <v>144</v>
      </c>
      <c r="H34" s="13" t="s">
        <v>107</v>
      </c>
      <c r="I34" s="27"/>
      <c r="J34" s="28" t="str">
        <f>"222,5"</f>
        <v>222,5</v>
      </c>
      <c r="K34" s="29" t="str">
        <f>"142,0866"</f>
        <v>142,0866</v>
      </c>
      <c r="L34" s="26" t="s">
        <v>216</v>
      </c>
    </row>
    <row r="35" spans="1:12" x14ac:dyDescent="0.2">
      <c r="A35" s="3">
        <v>2</v>
      </c>
      <c r="B35" s="26" t="s">
        <v>220</v>
      </c>
      <c r="C35" s="13" t="s">
        <v>221</v>
      </c>
      <c r="D35" s="13" t="s">
        <v>222</v>
      </c>
      <c r="E35" s="26" t="s">
        <v>467</v>
      </c>
      <c r="F35" s="13" t="s">
        <v>141</v>
      </c>
      <c r="G35" s="13" t="s">
        <v>24</v>
      </c>
      <c r="H35" s="27" t="s">
        <v>30</v>
      </c>
      <c r="I35" s="27"/>
      <c r="J35" s="28" t="str">
        <f>"205,0"</f>
        <v>205,0</v>
      </c>
      <c r="K35" s="29" t="str">
        <f>"128,6533"</f>
        <v>128,6533</v>
      </c>
      <c r="L35" s="26"/>
    </row>
    <row r="36" spans="1:12" x14ac:dyDescent="0.2">
      <c r="A36" s="3">
        <v>3</v>
      </c>
      <c r="B36" s="26" t="s">
        <v>563</v>
      </c>
      <c r="C36" s="13" t="s">
        <v>224</v>
      </c>
      <c r="D36" s="13" t="s">
        <v>225</v>
      </c>
      <c r="E36" s="26" t="s">
        <v>465</v>
      </c>
      <c r="F36" s="27" t="s">
        <v>89</v>
      </c>
      <c r="G36" s="13" t="s">
        <v>89</v>
      </c>
      <c r="H36" s="13" t="s">
        <v>39</v>
      </c>
      <c r="I36" s="27"/>
      <c r="J36" s="28" t="str">
        <f>"160,0"</f>
        <v>160,0</v>
      </c>
      <c r="K36" s="29" t="str">
        <f>"102,1754"</f>
        <v>102,1754</v>
      </c>
      <c r="L36" s="26" t="s">
        <v>72</v>
      </c>
    </row>
    <row r="37" spans="1:12" x14ac:dyDescent="0.2">
      <c r="A37" s="3">
        <v>1</v>
      </c>
      <c r="B37" s="26" t="s">
        <v>492</v>
      </c>
      <c r="C37" s="13" t="s">
        <v>226</v>
      </c>
      <c r="D37" s="13" t="s">
        <v>227</v>
      </c>
      <c r="E37" s="26" t="s">
        <v>471</v>
      </c>
      <c r="F37" s="13" t="s">
        <v>89</v>
      </c>
      <c r="G37" s="13" t="s">
        <v>39</v>
      </c>
      <c r="H37" s="27" t="s">
        <v>462</v>
      </c>
      <c r="I37" s="27"/>
      <c r="J37" s="28" t="str">
        <f>"160,0"</f>
        <v>160,0</v>
      </c>
      <c r="K37" s="29" t="str">
        <f>"213,0278"</f>
        <v>213,0278</v>
      </c>
      <c r="L37" s="26"/>
    </row>
    <row r="38" spans="1:12" x14ac:dyDescent="0.2">
      <c r="A38" s="3">
        <v>1</v>
      </c>
      <c r="B38" s="22" t="s">
        <v>529</v>
      </c>
      <c r="C38" s="12" t="s">
        <v>229</v>
      </c>
      <c r="D38" s="12" t="s">
        <v>222</v>
      </c>
      <c r="E38" s="22" t="s">
        <v>465</v>
      </c>
      <c r="F38" s="12" t="s">
        <v>230</v>
      </c>
      <c r="G38" s="12" t="s">
        <v>141</v>
      </c>
      <c r="H38" s="12" t="s">
        <v>142</v>
      </c>
      <c r="I38" s="23"/>
      <c r="J38" s="24" t="str">
        <f>"200,0"</f>
        <v>200,0</v>
      </c>
      <c r="K38" s="25" t="str">
        <f>"259,0398"</f>
        <v>259,0398</v>
      </c>
      <c r="L38" s="22"/>
    </row>
    <row r="39" spans="1:12" ht="15" x14ac:dyDescent="0.2">
      <c r="B39" s="33" t="s">
        <v>92</v>
      </c>
      <c r="C39" s="34"/>
      <c r="D39" s="34"/>
      <c r="E39" s="34"/>
      <c r="F39" s="34"/>
      <c r="G39" s="34"/>
      <c r="H39" s="34"/>
      <c r="I39" s="34"/>
    </row>
    <row r="40" spans="1:12" x14ac:dyDescent="0.2">
      <c r="A40" s="3">
        <v>1</v>
      </c>
      <c r="B40" s="18" t="s">
        <v>231</v>
      </c>
      <c r="C40" s="11" t="s">
        <v>232</v>
      </c>
      <c r="D40" s="11" t="s">
        <v>233</v>
      </c>
      <c r="E40" s="18" t="s">
        <v>466</v>
      </c>
      <c r="F40" s="11" t="s">
        <v>230</v>
      </c>
      <c r="G40" s="11" t="s">
        <v>141</v>
      </c>
      <c r="H40" s="19" t="s">
        <v>142</v>
      </c>
      <c r="I40" s="19"/>
      <c r="J40" s="20" t="str">
        <f>"195,0"</f>
        <v>195,0</v>
      </c>
      <c r="K40" s="21" t="str">
        <f>"114,2115"</f>
        <v>114,2115</v>
      </c>
      <c r="L40" s="18" t="s">
        <v>247</v>
      </c>
    </row>
    <row r="41" spans="1:12" x14ac:dyDescent="0.2">
      <c r="A41" s="3">
        <v>1</v>
      </c>
      <c r="B41" s="26" t="s">
        <v>235</v>
      </c>
      <c r="C41" s="13" t="s">
        <v>236</v>
      </c>
      <c r="D41" s="13" t="s">
        <v>237</v>
      </c>
      <c r="E41" s="26" t="s">
        <v>482</v>
      </c>
      <c r="F41" s="13" t="s">
        <v>56</v>
      </c>
      <c r="G41" s="27" t="s">
        <v>238</v>
      </c>
      <c r="H41" s="13" t="s">
        <v>57</v>
      </c>
      <c r="I41" s="27"/>
      <c r="J41" s="28" t="str">
        <f>"300,0"</f>
        <v>300,0</v>
      </c>
      <c r="K41" s="29" t="str">
        <f>"176,4300"</f>
        <v>176,4300</v>
      </c>
      <c r="L41" s="26"/>
    </row>
    <row r="42" spans="1:12" x14ac:dyDescent="0.2">
      <c r="A42" s="3">
        <v>2</v>
      </c>
      <c r="B42" s="26" t="s">
        <v>239</v>
      </c>
      <c r="C42" s="13" t="s">
        <v>240</v>
      </c>
      <c r="D42" s="13" t="s">
        <v>241</v>
      </c>
      <c r="E42" s="26" t="s">
        <v>476</v>
      </c>
      <c r="F42" s="13" t="s">
        <v>30</v>
      </c>
      <c r="G42" s="13" t="s">
        <v>144</v>
      </c>
      <c r="H42" s="27" t="s">
        <v>145</v>
      </c>
      <c r="I42" s="27"/>
      <c r="J42" s="28" t="str">
        <f>"220,0"</f>
        <v>220,0</v>
      </c>
      <c r="K42" s="29" t="str">
        <f>"130,8340"</f>
        <v>130,8340</v>
      </c>
      <c r="L42" s="26"/>
    </row>
    <row r="43" spans="1:12" x14ac:dyDescent="0.2">
      <c r="A43" s="3">
        <v>3</v>
      </c>
      <c r="B43" s="26" t="s">
        <v>243</v>
      </c>
      <c r="C43" s="13" t="s">
        <v>244</v>
      </c>
      <c r="D43" s="13" t="s">
        <v>237</v>
      </c>
      <c r="E43" s="26" t="s">
        <v>465</v>
      </c>
      <c r="F43" s="13" t="s">
        <v>230</v>
      </c>
      <c r="G43" s="13" t="s">
        <v>141</v>
      </c>
      <c r="H43" s="13" t="s">
        <v>203</v>
      </c>
      <c r="I43" s="27"/>
      <c r="J43" s="28" t="str">
        <f>"202,5"</f>
        <v>202,5</v>
      </c>
      <c r="K43" s="29" t="str">
        <f>"119,0903"</f>
        <v>119,0903</v>
      </c>
      <c r="L43" s="26"/>
    </row>
    <row r="44" spans="1:12" x14ac:dyDescent="0.2">
      <c r="B44" s="26" t="s">
        <v>549</v>
      </c>
      <c r="C44" s="13" t="s">
        <v>245</v>
      </c>
      <c r="D44" s="13" t="s">
        <v>246</v>
      </c>
      <c r="E44" s="26" t="s">
        <v>483</v>
      </c>
      <c r="F44" s="27" t="s">
        <v>131</v>
      </c>
      <c r="G44" s="27" t="s">
        <v>131</v>
      </c>
      <c r="H44" s="27" t="s">
        <v>131</v>
      </c>
      <c r="I44" s="27"/>
      <c r="J44" s="28" t="str">
        <f>"0.00"</f>
        <v>0.00</v>
      </c>
      <c r="K44" s="29" t="str">
        <f>"0,0000"</f>
        <v>0,0000</v>
      </c>
      <c r="L44" s="26" t="s">
        <v>247</v>
      </c>
    </row>
    <row r="45" spans="1:12" x14ac:dyDescent="0.2">
      <c r="A45" s="3">
        <v>1</v>
      </c>
      <c r="B45" s="22" t="s">
        <v>564</v>
      </c>
      <c r="C45" s="12" t="s">
        <v>248</v>
      </c>
      <c r="D45" s="12" t="s">
        <v>237</v>
      </c>
      <c r="E45" s="22" t="s">
        <v>482</v>
      </c>
      <c r="F45" s="12" t="s">
        <v>56</v>
      </c>
      <c r="G45" s="23" t="s">
        <v>238</v>
      </c>
      <c r="H45" s="12" t="s">
        <v>57</v>
      </c>
      <c r="I45" s="23"/>
      <c r="J45" s="24" t="str">
        <f>"300,0"</f>
        <v>300,0</v>
      </c>
      <c r="K45" s="25" t="str">
        <f>"178,0179"</f>
        <v>178,0179</v>
      </c>
      <c r="L45" s="22"/>
    </row>
    <row r="46" spans="1:12" ht="15" x14ac:dyDescent="0.2">
      <c r="B46" s="33" t="s">
        <v>26</v>
      </c>
      <c r="C46" s="34"/>
      <c r="D46" s="34"/>
      <c r="E46" s="34"/>
      <c r="F46" s="34"/>
      <c r="G46" s="34"/>
      <c r="H46" s="34"/>
      <c r="I46" s="34"/>
    </row>
    <row r="47" spans="1:12" x14ac:dyDescent="0.2">
      <c r="A47" s="3">
        <v>1</v>
      </c>
      <c r="B47" s="18" t="s">
        <v>565</v>
      </c>
      <c r="C47" s="11" t="s">
        <v>249</v>
      </c>
      <c r="D47" s="11" t="s">
        <v>250</v>
      </c>
      <c r="E47" s="18" t="s">
        <v>466</v>
      </c>
      <c r="F47" s="11" t="s">
        <v>19</v>
      </c>
      <c r="G47" s="11" t="s">
        <v>114</v>
      </c>
      <c r="H47" s="11" t="s">
        <v>20</v>
      </c>
      <c r="I47" s="19"/>
      <c r="J47" s="20" t="str">
        <f>"255,0"</f>
        <v>255,0</v>
      </c>
      <c r="K47" s="21" t="str">
        <f>"142,2390"</f>
        <v>142,2390</v>
      </c>
      <c r="L47" s="18"/>
    </row>
    <row r="48" spans="1:12" x14ac:dyDescent="0.2">
      <c r="A48" s="3">
        <v>2</v>
      </c>
      <c r="B48" s="26" t="s">
        <v>566</v>
      </c>
      <c r="C48" s="13" t="s">
        <v>251</v>
      </c>
      <c r="D48" s="13" t="s">
        <v>252</v>
      </c>
      <c r="E48" s="26" t="s">
        <v>467</v>
      </c>
      <c r="F48" s="13" t="s">
        <v>14</v>
      </c>
      <c r="G48" s="13" t="s">
        <v>253</v>
      </c>
      <c r="H48" s="13" t="s">
        <v>40</v>
      </c>
      <c r="I48" s="27"/>
      <c r="J48" s="28" t="str">
        <f>"167,5"</f>
        <v>167,5</v>
      </c>
      <c r="K48" s="29" t="str">
        <f>"94,3025"</f>
        <v>94,3025</v>
      </c>
      <c r="L48" s="26"/>
    </row>
    <row r="49" spans="1:12" x14ac:dyDescent="0.2">
      <c r="A49" s="3">
        <v>1</v>
      </c>
      <c r="B49" s="22" t="s">
        <v>539</v>
      </c>
      <c r="C49" s="12" t="s">
        <v>254</v>
      </c>
      <c r="D49" s="12" t="s">
        <v>55</v>
      </c>
      <c r="E49" s="22" t="s">
        <v>476</v>
      </c>
      <c r="F49" s="12" t="s">
        <v>142</v>
      </c>
      <c r="G49" s="12" t="s">
        <v>30</v>
      </c>
      <c r="H49" s="12" t="s">
        <v>144</v>
      </c>
      <c r="I49" s="23"/>
      <c r="J49" s="24" t="str">
        <f>"220,0"</f>
        <v>220,0</v>
      </c>
      <c r="K49" s="25" t="str">
        <f>"136,2628"</f>
        <v>136,2628</v>
      </c>
      <c r="L49" s="22"/>
    </row>
    <row r="50" spans="1:12" ht="15" x14ac:dyDescent="0.2">
      <c r="B50" s="33" t="s">
        <v>60</v>
      </c>
      <c r="C50" s="34"/>
      <c r="D50" s="34"/>
      <c r="E50" s="34"/>
      <c r="F50" s="34"/>
      <c r="G50" s="34"/>
      <c r="H50" s="34"/>
      <c r="I50" s="34"/>
    </row>
    <row r="51" spans="1:12" x14ac:dyDescent="0.2">
      <c r="A51" s="3">
        <v>1</v>
      </c>
      <c r="B51" s="18" t="s">
        <v>567</v>
      </c>
      <c r="C51" s="11" t="s">
        <v>256</v>
      </c>
      <c r="D51" s="11" t="s">
        <v>257</v>
      </c>
      <c r="E51" s="18" t="s">
        <v>484</v>
      </c>
      <c r="F51" s="11" t="s">
        <v>114</v>
      </c>
      <c r="G51" s="11" t="s">
        <v>130</v>
      </c>
      <c r="H51" s="19" t="s">
        <v>462</v>
      </c>
      <c r="I51" s="19"/>
      <c r="J51" s="20" t="str">
        <f>"260,0"</f>
        <v>260,0</v>
      </c>
      <c r="K51" s="21" t="str">
        <f>"139,5680"</f>
        <v>139,5680</v>
      </c>
      <c r="L51" s="18" t="s">
        <v>258</v>
      </c>
    </row>
    <row r="52" spans="1:12" x14ac:dyDescent="0.2">
      <c r="A52" s="3">
        <v>2</v>
      </c>
      <c r="B52" s="26" t="s">
        <v>541</v>
      </c>
      <c r="C52" s="13" t="s">
        <v>259</v>
      </c>
      <c r="D52" s="13" t="s">
        <v>260</v>
      </c>
      <c r="E52" s="26" t="s">
        <v>465</v>
      </c>
      <c r="F52" s="13" t="s">
        <v>145</v>
      </c>
      <c r="G52" s="13" t="s">
        <v>261</v>
      </c>
      <c r="H52" s="27" t="s">
        <v>20</v>
      </c>
      <c r="I52" s="27"/>
      <c r="J52" s="28" t="str">
        <f>"245,0"</f>
        <v>245,0</v>
      </c>
      <c r="K52" s="29" t="str">
        <f>"133,3045"</f>
        <v>133,3045</v>
      </c>
      <c r="L52" s="26"/>
    </row>
    <row r="53" spans="1:12" x14ac:dyDescent="0.2">
      <c r="A53" s="3">
        <v>1</v>
      </c>
      <c r="B53" s="26" t="s">
        <v>255</v>
      </c>
      <c r="C53" s="13" t="s">
        <v>262</v>
      </c>
      <c r="D53" s="13" t="s">
        <v>257</v>
      </c>
      <c r="E53" s="26" t="s">
        <v>484</v>
      </c>
      <c r="F53" s="13" t="s">
        <v>114</v>
      </c>
      <c r="G53" s="13" t="s">
        <v>130</v>
      </c>
      <c r="H53" s="27" t="s">
        <v>462</v>
      </c>
      <c r="I53" s="27"/>
      <c r="J53" s="28" t="str">
        <f>"260,0"</f>
        <v>260,0</v>
      </c>
      <c r="K53" s="29" t="str">
        <f>"139,5680"</f>
        <v>139,5680</v>
      </c>
      <c r="L53" s="26" t="s">
        <v>258</v>
      </c>
    </row>
    <row r="54" spans="1:12" x14ac:dyDescent="0.2">
      <c r="A54" s="3">
        <v>2</v>
      </c>
      <c r="B54" s="22" t="s">
        <v>541</v>
      </c>
      <c r="C54" s="12" t="s">
        <v>263</v>
      </c>
      <c r="D54" s="12" t="s">
        <v>260</v>
      </c>
      <c r="E54" s="22" t="s">
        <v>465</v>
      </c>
      <c r="F54" s="12" t="s">
        <v>145</v>
      </c>
      <c r="G54" s="12" t="s">
        <v>261</v>
      </c>
      <c r="H54" s="23" t="s">
        <v>20</v>
      </c>
      <c r="I54" s="23"/>
      <c r="J54" s="24" t="str">
        <f>"245,0"</f>
        <v>245,0</v>
      </c>
      <c r="K54" s="25" t="str">
        <f>"133,7044"</f>
        <v>133,7044</v>
      </c>
      <c r="L54" s="22"/>
    </row>
    <row r="55" spans="1:12" ht="15" x14ac:dyDescent="0.2">
      <c r="B55" s="33" t="s">
        <v>64</v>
      </c>
      <c r="C55" s="34"/>
      <c r="D55" s="34"/>
      <c r="E55" s="34"/>
      <c r="F55" s="34"/>
      <c r="G55" s="34"/>
      <c r="H55" s="34"/>
      <c r="I55" s="34"/>
    </row>
    <row r="56" spans="1:12" x14ac:dyDescent="0.2">
      <c r="A56" s="3">
        <v>1</v>
      </c>
      <c r="B56" s="8" t="s">
        <v>507</v>
      </c>
      <c r="C56" s="9" t="s">
        <v>264</v>
      </c>
      <c r="D56" s="9" t="s">
        <v>265</v>
      </c>
      <c r="E56" s="8" t="s">
        <v>465</v>
      </c>
      <c r="F56" s="9" t="s">
        <v>24</v>
      </c>
      <c r="G56" s="9" t="s">
        <v>107</v>
      </c>
      <c r="H56" s="10" t="s">
        <v>462</v>
      </c>
      <c r="I56" s="10"/>
      <c r="J56" s="16" t="str">
        <f>"222,5"</f>
        <v>222,5</v>
      </c>
      <c r="K56" s="17" t="str">
        <f>"146,1366"</f>
        <v>146,1366</v>
      </c>
      <c r="L56" s="8" t="s">
        <v>266</v>
      </c>
    </row>
  </sheetData>
  <mergeCells count="22">
    <mergeCell ref="B55:I55"/>
    <mergeCell ref="B7:I7"/>
    <mergeCell ref="B9:I9"/>
    <mergeCell ref="B12:I12"/>
    <mergeCell ref="B15:I15"/>
    <mergeCell ref="B17:I17"/>
    <mergeCell ref="B19:I19"/>
    <mergeCell ref="B24:I24"/>
    <mergeCell ref="B30:I30"/>
    <mergeCell ref="B39:I39"/>
    <mergeCell ref="B46:I46"/>
    <mergeCell ref="B50:I50"/>
    <mergeCell ref="J3:J4"/>
    <mergeCell ref="K3:K4"/>
    <mergeCell ref="L3:L4"/>
    <mergeCell ref="B5:I5"/>
    <mergeCell ref="B1:L2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7"/>
  <sheetViews>
    <sheetView workbookViewId="0">
      <selection activeCell="A2" sqref="A2"/>
    </sheetView>
  </sheetViews>
  <sheetFormatPr defaultRowHeight="12.75" x14ac:dyDescent="0.2"/>
  <cols>
    <col min="1" max="1" width="9.140625" style="3"/>
    <col min="2" max="2" width="27" style="4" bestFit="1" customWidth="1"/>
    <col min="3" max="3" width="26" style="5" bestFit="1" customWidth="1"/>
    <col min="4" max="4" width="7.7109375" style="5" bestFit="1" customWidth="1"/>
    <col min="5" max="5" width="14.5703125" style="4" bestFit="1" customWidth="1"/>
    <col min="6" max="8" width="5.5703125" style="5" customWidth="1"/>
    <col min="9" max="9" width="5" style="5" customWidth="1"/>
    <col min="10" max="10" width="6.140625" style="14" bestFit="1" customWidth="1"/>
    <col min="11" max="11" width="8.5703125" style="15" bestFit="1" customWidth="1"/>
    <col min="12" max="12" width="17.28515625" style="4" bestFit="1" customWidth="1"/>
    <col min="13" max="16384" width="9.140625" style="3"/>
  </cols>
  <sheetData>
    <row r="1" spans="1:12" s="2" customFormat="1" ht="29.1" customHeight="1" x14ac:dyDescent="0.2">
      <c r="B1" s="50" t="s">
        <v>450</v>
      </c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s="2" customFormat="1" ht="62.1" customHeight="1" thickBo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2" s="1" customFormat="1" ht="12.75" customHeight="1" x14ac:dyDescent="0.2">
      <c r="B3" s="35" t="s">
        <v>0</v>
      </c>
      <c r="C3" s="37" t="s">
        <v>6</v>
      </c>
      <c r="D3" s="37" t="s">
        <v>4</v>
      </c>
      <c r="E3" s="39" t="s">
        <v>7</v>
      </c>
      <c r="F3" s="39" t="s">
        <v>71</v>
      </c>
      <c r="G3" s="39"/>
      <c r="H3" s="39"/>
      <c r="I3" s="39"/>
      <c r="J3" s="39" t="s">
        <v>43</v>
      </c>
      <c r="K3" s="39" t="s">
        <v>2</v>
      </c>
      <c r="L3" s="40" t="s">
        <v>1</v>
      </c>
    </row>
    <row r="4" spans="1:12" s="1" customFormat="1" ht="23.25" customHeight="1" thickBot="1" x14ac:dyDescent="0.25">
      <c r="A4" s="1" t="s">
        <v>489</v>
      </c>
      <c r="B4" s="36"/>
      <c r="C4" s="38"/>
      <c r="D4" s="38"/>
      <c r="E4" s="38"/>
      <c r="F4" s="6">
        <v>1</v>
      </c>
      <c r="G4" s="6">
        <v>2</v>
      </c>
      <c r="H4" s="6">
        <v>3</v>
      </c>
      <c r="I4" s="6" t="s">
        <v>3</v>
      </c>
      <c r="J4" s="38"/>
      <c r="K4" s="38"/>
      <c r="L4" s="41"/>
    </row>
    <row r="5" spans="1:12" s="5" customFormat="1" ht="15" x14ac:dyDescent="0.2">
      <c r="B5" s="31" t="s">
        <v>64</v>
      </c>
      <c r="C5" s="32"/>
      <c r="D5" s="32"/>
      <c r="E5" s="32"/>
      <c r="F5" s="32"/>
      <c r="G5" s="32"/>
      <c r="H5" s="32"/>
      <c r="I5" s="32"/>
      <c r="J5" s="14"/>
      <c r="K5" s="15"/>
      <c r="L5" s="4"/>
    </row>
    <row r="6" spans="1:12" s="5" customFormat="1" x14ac:dyDescent="0.2">
      <c r="A6" s="5" t="s">
        <v>486</v>
      </c>
      <c r="B6" s="8" t="s">
        <v>568</v>
      </c>
      <c r="C6" s="9" t="s">
        <v>66</v>
      </c>
      <c r="D6" s="9" t="s">
        <v>67</v>
      </c>
      <c r="E6" s="8" t="s">
        <v>474</v>
      </c>
      <c r="F6" s="9" t="s">
        <v>114</v>
      </c>
      <c r="G6" s="9" t="s">
        <v>115</v>
      </c>
      <c r="H6" s="9" t="s">
        <v>116</v>
      </c>
      <c r="I6" s="10"/>
      <c r="J6" s="16" t="str">
        <f>"267,5"</f>
        <v>267,5</v>
      </c>
      <c r="K6" s="17" t="str">
        <f>"142,1495"</f>
        <v>142,1495</v>
      </c>
      <c r="L6" s="8" t="s">
        <v>31</v>
      </c>
    </row>
    <row r="7" spans="1:12" s="5" customFormat="1" x14ac:dyDescent="0.2">
      <c r="B7" s="4"/>
      <c r="E7" s="4"/>
      <c r="J7" s="14"/>
      <c r="K7" s="15"/>
      <c r="L7" s="4"/>
    </row>
  </sheetData>
  <mergeCells count="10">
    <mergeCell ref="J3:J4"/>
    <mergeCell ref="K3:K4"/>
    <mergeCell ref="L3:L4"/>
    <mergeCell ref="B5:I5"/>
    <mergeCell ref="B1:L2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6"/>
  <sheetViews>
    <sheetView workbookViewId="0">
      <selection activeCell="A2" sqref="A2"/>
    </sheetView>
  </sheetViews>
  <sheetFormatPr defaultRowHeight="12.75" x14ac:dyDescent="0.2"/>
  <cols>
    <col min="1" max="1" width="9.140625" style="3"/>
    <col min="2" max="2" width="20.7109375" style="4" bestFit="1" customWidth="1"/>
    <col min="3" max="3" width="26.85546875" style="5" bestFit="1" customWidth="1"/>
    <col min="4" max="4" width="7.7109375" style="5" bestFit="1" customWidth="1"/>
    <col min="5" max="5" width="14.5703125" style="4" bestFit="1" customWidth="1"/>
    <col min="6" max="8" width="5.5703125" style="5" customWidth="1"/>
    <col min="9" max="9" width="5" style="5" customWidth="1"/>
    <col min="10" max="10" width="6.140625" style="14" bestFit="1" customWidth="1"/>
    <col min="11" max="11" width="8.5703125" style="15" bestFit="1" customWidth="1"/>
    <col min="12" max="12" width="21.140625" style="4" bestFit="1" customWidth="1"/>
    <col min="13" max="16384" width="9.140625" style="3"/>
  </cols>
  <sheetData>
    <row r="1" spans="1:12" s="2" customFormat="1" ht="29.1" customHeight="1" x14ac:dyDescent="0.2">
      <c r="B1" s="50" t="s">
        <v>449</v>
      </c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s="2" customFormat="1" ht="62.1" customHeight="1" x14ac:dyDescent="0.2">
      <c r="B2" s="56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s="1" customFormat="1" ht="12.75" customHeight="1" x14ac:dyDescent="0.2">
      <c r="A3" s="30"/>
      <c r="B3" s="45" t="s">
        <v>0</v>
      </c>
      <c r="C3" s="46" t="s">
        <v>6</v>
      </c>
      <c r="D3" s="46" t="s">
        <v>4</v>
      </c>
      <c r="E3" s="45" t="s">
        <v>7</v>
      </c>
      <c r="F3" s="45" t="s">
        <v>71</v>
      </c>
      <c r="G3" s="45"/>
      <c r="H3" s="45"/>
      <c r="I3" s="45"/>
      <c r="J3" s="45" t="s">
        <v>43</v>
      </c>
      <c r="K3" s="45" t="s">
        <v>2</v>
      </c>
      <c r="L3" s="45" t="s">
        <v>1</v>
      </c>
    </row>
    <row r="4" spans="1:12" s="1" customFormat="1" ht="23.25" customHeight="1" x14ac:dyDescent="0.2">
      <c r="A4" s="30" t="s">
        <v>489</v>
      </c>
      <c r="B4" s="45"/>
      <c r="C4" s="45"/>
      <c r="D4" s="45"/>
      <c r="E4" s="45"/>
      <c r="F4" s="30">
        <v>1</v>
      </c>
      <c r="G4" s="30">
        <v>2</v>
      </c>
      <c r="H4" s="30">
        <v>3</v>
      </c>
      <c r="I4" s="30" t="s">
        <v>3</v>
      </c>
      <c r="J4" s="45"/>
      <c r="K4" s="45"/>
      <c r="L4" s="45"/>
    </row>
    <row r="5" spans="1:12" s="5" customFormat="1" ht="15" x14ac:dyDescent="0.2">
      <c r="A5" s="9"/>
      <c r="B5" s="47" t="s">
        <v>44</v>
      </c>
      <c r="C5" s="48"/>
      <c r="D5" s="48"/>
      <c r="E5" s="48"/>
      <c r="F5" s="48"/>
      <c r="G5" s="48"/>
      <c r="H5" s="48"/>
      <c r="I5" s="48"/>
      <c r="J5" s="16"/>
      <c r="K5" s="17"/>
      <c r="L5" s="8"/>
    </row>
    <row r="6" spans="1:12" s="5" customFormat="1" x14ac:dyDescent="0.2">
      <c r="A6" s="9" t="s">
        <v>486</v>
      </c>
      <c r="B6" s="8" t="s">
        <v>570</v>
      </c>
      <c r="C6" s="9" t="s">
        <v>73</v>
      </c>
      <c r="D6" s="9" t="s">
        <v>74</v>
      </c>
      <c r="E6" s="8" t="s">
        <v>465</v>
      </c>
      <c r="F6" s="9" t="s">
        <v>50</v>
      </c>
      <c r="G6" s="9" t="s">
        <v>75</v>
      </c>
      <c r="H6" s="9" t="s">
        <v>76</v>
      </c>
      <c r="I6" s="10"/>
      <c r="J6" s="16" t="str">
        <f>"120,0"</f>
        <v>120,0</v>
      </c>
      <c r="K6" s="17" t="str">
        <f>"86,7600"</f>
        <v>86,7600</v>
      </c>
      <c r="L6" s="8" t="s">
        <v>77</v>
      </c>
    </row>
    <row r="7" spans="1:12" s="5" customFormat="1" x14ac:dyDescent="0.2">
      <c r="A7" s="9" t="s">
        <v>486</v>
      </c>
      <c r="B7" s="8" t="s">
        <v>570</v>
      </c>
      <c r="C7" s="9" t="s">
        <v>78</v>
      </c>
      <c r="D7" s="9" t="s">
        <v>74</v>
      </c>
      <c r="E7" s="8" t="s">
        <v>465</v>
      </c>
      <c r="F7" s="9" t="s">
        <v>50</v>
      </c>
      <c r="G7" s="9" t="s">
        <v>75</v>
      </c>
      <c r="H7" s="9" t="s">
        <v>76</v>
      </c>
      <c r="I7" s="10"/>
      <c r="J7" s="16" t="str">
        <f>"120,0"</f>
        <v>120,0</v>
      </c>
      <c r="K7" s="17" t="str">
        <f>"124,0668"</f>
        <v>124,0668</v>
      </c>
      <c r="L7" s="8" t="s">
        <v>77</v>
      </c>
    </row>
    <row r="8" spans="1:12" ht="15" x14ac:dyDescent="0.2">
      <c r="A8" s="49"/>
      <c r="B8" s="47" t="s">
        <v>9</v>
      </c>
      <c r="C8" s="48"/>
      <c r="D8" s="48"/>
      <c r="E8" s="48"/>
      <c r="F8" s="48"/>
      <c r="G8" s="48"/>
      <c r="H8" s="48"/>
      <c r="I8" s="48"/>
      <c r="J8" s="16"/>
      <c r="K8" s="17"/>
      <c r="L8" s="8"/>
    </row>
    <row r="9" spans="1:12" x14ac:dyDescent="0.2">
      <c r="A9" s="49"/>
      <c r="B9" s="8" t="s">
        <v>569</v>
      </c>
      <c r="C9" s="9" t="s">
        <v>10</v>
      </c>
      <c r="D9" s="9" t="s">
        <v>11</v>
      </c>
      <c r="E9" s="8" t="s">
        <v>469</v>
      </c>
      <c r="F9" s="10" t="s">
        <v>12</v>
      </c>
      <c r="G9" s="10" t="s">
        <v>12</v>
      </c>
      <c r="H9" s="10" t="s">
        <v>12</v>
      </c>
      <c r="I9" s="10"/>
      <c r="J9" s="16" t="str">
        <f>"0.00"</f>
        <v>0.00</v>
      </c>
      <c r="K9" s="17" t="str">
        <f>"0,0000"</f>
        <v>0,0000</v>
      </c>
      <c r="L9" s="8"/>
    </row>
    <row r="10" spans="1:12" ht="15" x14ac:dyDescent="0.2">
      <c r="A10" s="49"/>
      <c r="B10" s="47" t="s">
        <v>79</v>
      </c>
      <c r="C10" s="48"/>
      <c r="D10" s="48"/>
      <c r="E10" s="48"/>
      <c r="F10" s="48"/>
      <c r="G10" s="48"/>
      <c r="H10" s="48"/>
      <c r="I10" s="48"/>
      <c r="J10" s="16"/>
      <c r="K10" s="17"/>
      <c r="L10" s="8"/>
    </row>
    <row r="11" spans="1:12" x14ac:dyDescent="0.2">
      <c r="A11" s="49">
        <v>1</v>
      </c>
      <c r="B11" s="8" t="s">
        <v>574</v>
      </c>
      <c r="C11" s="9" t="s">
        <v>80</v>
      </c>
      <c r="D11" s="9" t="s">
        <v>81</v>
      </c>
      <c r="E11" s="8" t="s">
        <v>465</v>
      </c>
      <c r="F11" s="9" t="s">
        <v>76</v>
      </c>
      <c r="G11" s="10" t="s">
        <v>82</v>
      </c>
      <c r="H11" s="9" t="s">
        <v>82</v>
      </c>
      <c r="I11" s="10"/>
      <c r="J11" s="16" t="str">
        <f>"130,0"</f>
        <v>130,0</v>
      </c>
      <c r="K11" s="17" t="str">
        <f>"103,0510"</f>
        <v>103,0510</v>
      </c>
      <c r="L11" s="8"/>
    </row>
    <row r="12" spans="1:12" ht="15" x14ac:dyDescent="0.2">
      <c r="A12" s="49"/>
      <c r="B12" s="47" t="s">
        <v>44</v>
      </c>
      <c r="C12" s="48"/>
      <c r="D12" s="48"/>
      <c r="E12" s="48"/>
      <c r="F12" s="48"/>
      <c r="G12" s="48"/>
      <c r="H12" s="48"/>
      <c r="I12" s="48"/>
      <c r="J12" s="16"/>
      <c r="K12" s="17"/>
      <c r="L12" s="8"/>
    </row>
    <row r="13" spans="1:12" x14ac:dyDescent="0.2">
      <c r="A13" s="49">
        <v>1</v>
      </c>
      <c r="B13" s="8" t="s">
        <v>575</v>
      </c>
      <c r="C13" s="9" t="s">
        <v>83</v>
      </c>
      <c r="D13" s="9" t="s">
        <v>84</v>
      </c>
      <c r="E13" s="8" t="s">
        <v>465</v>
      </c>
      <c r="F13" s="10" t="s">
        <v>76</v>
      </c>
      <c r="G13" s="9" t="s">
        <v>85</v>
      </c>
      <c r="H13" s="9" t="s">
        <v>82</v>
      </c>
      <c r="I13" s="10"/>
      <c r="J13" s="16" t="str">
        <f>"130,0"</f>
        <v>130,0</v>
      </c>
      <c r="K13" s="17" t="str">
        <f>"87,8800"</f>
        <v>87,8800</v>
      </c>
      <c r="L13" s="8" t="s">
        <v>86</v>
      </c>
    </row>
    <row r="14" spans="1:12" ht="15" x14ac:dyDescent="0.2">
      <c r="A14" s="49"/>
      <c r="B14" s="47" t="s">
        <v>15</v>
      </c>
      <c r="C14" s="48"/>
      <c r="D14" s="48"/>
      <c r="E14" s="48"/>
      <c r="F14" s="48"/>
      <c r="G14" s="48"/>
      <c r="H14" s="48"/>
      <c r="I14" s="48"/>
      <c r="J14" s="16"/>
      <c r="K14" s="17"/>
      <c r="L14" s="8"/>
    </row>
    <row r="15" spans="1:12" x14ac:dyDescent="0.2">
      <c r="A15" s="49">
        <v>1</v>
      </c>
      <c r="B15" s="8" t="s">
        <v>571</v>
      </c>
      <c r="C15" s="9" t="s">
        <v>87</v>
      </c>
      <c r="D15" s="9" t="s">
        <v>88</v>
      </c>
      <c r="E15" s="8" t="s">
        <v>485</v>
      </c>
      <c r="F15" s="9" t="s">
        <v>89</v>
      </c>
      <c r="G15" s="9" t="s">
        <v>39</v>
      </c>
      <c r="H15" s="9" t="s">
        <v>90</v>
      </c>
      <c r="I15" s="10"/>
      <c r="J15" s="16" t="str">
        <f>"165,0"</f>
        <v>165,0</v>
      </c>
      <c r="K15" s="17" t="str">
        <f>"104,2635"</f>
        <v>104,2635</v>
      </c>
      <c r="L15" s="8"/>
    </row>
    <row r="16" spans="1:12" x14ac:dyDescent="0.2">
      <c r="A16" s="49">
        <v>1</v>
      </c>
      <c r="B16" s="8" t="s">
        <v>571</v>
      </c>
      <c r="C16" s="9" t="s">
        <v>91</v>
      </c>
      <c r="D16" s="9" t="s">
        <v>88</v>
      </c>
      <c r="E16" s="8" t="s">
        <v>485</v>
      </c>
      <c r="F16" s="9" t="s">
        <v>89</v>
      </c>
      <c r="G16" s="9" t="s">
        <v>39</v>
      </c>
      <c r="H16" s="9" t="s">
        <v>90</v>
      </c>
      <c r="I16" s="10"/>
      <c r="J16" s="16" t="str">
        <f>"165,0"</f>
        <v>165,0</v>
      </c>
      <c r="K16" s="17" t="str">
        <f>"111,4577"</f>
        <v>111,4577</v>
      </c>
      <c r="L16" s="8"/>
    </row>
    <row r="17" spans="1:12" ht="15" x14ac:dyDescent="0.2">
      <c r="A17" s="49"/>
      <c r="B17" s="47" t="s">
        <v>92</v>
      </c>
      <c r="C17" s="48"/>
      <c r="D17" s="48"/>
      <c r="E17" s="48"/>
      <c r="F17" s="48"/>
      <c r="G17" s="48"/>
      <c r="H17" s="48"/>
      <c r="I17" s="48"/>
      <c r="J17" s="16"/>
      <c r="K17" s="17"/>
      <c r="L17" s="8"/>
    </row>
    <row r="18" spans="1:12" x14ac:dyDescent="0.2">
      <c r="A18" s="49">
        <v>1</v>
      </c>
      <c r="B18" s="8" t="s">
        <v>93</v>
      </c>
      <c r="C18" s="9" t="s">
        <v>94</v>
      </c>
      <c r="D18" s="9" t="s">
        <v>95</v>
      </c>
      <c r="E18" s="8" t="s">
        <v>466</v>
      </c>
      <c r="F18" s="9" t="s">
        <v>49</v>
      </c>
      <c r="G18" s="9" t="s">
        <v>76</v>
      </c>
      <c r="H18" s="10" t="s">
        <v>96</v>
      </c>
      <c r="I18" s="10"/>
      <c r="J18" s="16" t="str">
        <f>"120,0"</f>
        <v>120,0</v>
      </c>
      <c r="K18" s="17" t="str">
        <f>"70,2360"</f>
        <v>70,2360</v>
      </c>
      <c r="L18" s="8" t="s">
        <v>97</v>
      </c>
    </row>
    <row r="19" spans="1:12" ht="15" x14ac:dyDescent="0.2">
      <c r="A19" s="49"/>
      <c r="B19" s="47" t="s">
        <v>26</v>
      </c>
      <c r="C19" s="48"/>
      <c r="D19" s="48"/>
      <c r="E19" s="48"/>
      <c r="F19" s="48"/>
      <c r="G19" s="48"/>
      <c r="H19" s="48"/>
      <c r="I19" s="48"/>
      <c r="J19" s="16"/>
      <c r="K19" s="17"/>
      <c r="L19" s="8"/>
    </row>
    <row r="20" spans="1:12" x14ac:dyDescent="0.2">
      <c r="A20" s="49">
        <v>1</v>
      </c>
      <c r="B20" s="8" t="s">
        <v>572</v>
      </c>
      <c r="C20" s="9" t="s">
        <v>98</v>
      </c>
      <c r="D20" s="9" t="s">
        <v>99</v>
      </c>
      <c r="E20" s="8" t="s">
        <v>465</v>
      </c>
      <c r="F20" s="9" t="s">
        <v>13</v>
      </c>
      <c r="G20" s="9" t="s">
        <v>90</v>
      </c>
      <c r="H20" s="10" t="s">
        <v>100</v>
      </c>
      <c r="I20" s="10"/>
      <c r="J20" s="16" t="str">
        <f>"165,0"</f>
        <v>165,0</v>
      </c>
      <c r="K20" s="17" t="str">
        <f>"91,8225"</f>
        <v>91,8225</v>
      </c>
      <c r="L20" s="8" t="s">
        <v>101</v>
      </c>
    </row>
    <row r="21" spans="1:12" x14ac:dyDescent="0.2">
      <c r="A21" s="49">
        <v>1</v>
      </c>
      <c r="B21" s="8" t="s">
        <v>497</v>
      </c>
      <c r="C21" s="9" t="s">
        <v>37</v>
      </c>
      <c r="D21" s="9" t="s">
        <v>38</v>
      </c>
      <c r="E21" s="8" t="s">
        <v>465</v>
      </c>
      <c r="F21" s="9" t="s">
        <v>102</v>
      </c>
      <c r="G21" s="9" t="s">
        <v>75</v>
      </c>
      <c r="H21" s="9" t="s">
        <v>103</v>
      </c>
      <c r="I21" s="10"/>
      <c r="J21" s="16" t="str">
        <f>"122,5"</f>
        <v>122,5</v>
      </c>
      <c r="K21" s="17" t="str">
        <f>"141,4904"</f>
        <v>141,4904</v>
      </c>
      <c r="L21" s="8" t="s">
        <v>42</v>
      </c>
    </row>
    <row r="22" spans="1:12" ht="15" x14ac:dyDescent="0.2">
      <c r="A22" s="49"/>
      <c r="B22" s="47" t="s">
        <v>64</v>
      </c>
      <c r="C22" s="48"/>
      <c r="D22" s="48"/>
      <c r="E22" s="48"/>
      <c r="F22" s="48"/>
      <c r="G22" s="48"/>
      <c r="H22" s="48"/>
      <c r="I22" s="48"/>
      <c r="J22" s="16"/>
      <c r="K22" s="17"/>
      <c r="L22" s="8"/>
    </row>
    <row r="23" spans="1:12" x14ac:dyDescent="0.2">
      <c r="A23" s="49">
        <v>1</v>
      </c>
      <c r="B23" s="8" t="s">
        <v>104</v>
      </c>
      <c r="C23" s="9" t="s">
        <v>105</v>
      </c>
      <c r="D23" s="9" t="s">
        <v>106</v>
      </c>
      <c r="E23" s="8" t="s">
        <v>468</v>
      </c>
      <c r="F23" s="9" t="s">
        <v>25</v>
      </c>
      <c r="G23" s="10" t="s">
        <v>107</v>
      </c>
      <c r="H23" s="10" t="s">
        <v>462</v>
      </c>
      <c r="I23" s="10"/>
      <c r="J23" s="16" t="str">
        <f>"215,0"</f>
        <v>215,0</v>
      </c>
      <c r="K23" s="17" t="str">
        <f>"113,8640"</f>
        <v>113,8640</v>
      </c>
      <c r="L23" s="8" t="s">
        <v>108</v>
      </c>
    </row>
    <row r="24" spans="1:12" ht="15" x14ac:dyDescent="0.2">
      <c r="A24" s="49"/>
      <c r="B24" s="47" t="s">
        <v>109</v>
      </c>
      <c r="C24" s="48"/>
      <c r="D24" s="48"/>
      <c r="E24" s="48"/>
      <c r="F24" s="48"/>
      <c r="G24" s="48"/>
      <c r="H24" s="48"/>
      <c r="I24" s="48"/>
      <c r="J24" s="16"/>
      <c r="K24" s="17"/>
      <c r="L24" s="8"/>
    </row>
    <row r="25" spans="1:12" x14ac:dyDescent="0.2">
      <c r="A25" s="49">
        <v>1</v>
      </c>
      <c r="B25" s="8" t="s">
        <v>573</v>
      </c>
      <c r="C25" s="9" t="s">
        <v>110</v>
      </c>
      <c r="D25" s="9" t="s">
        <v>111</v>
      </c>
      <c r="E25" s="8" t="s">
        <v>471</v>
      </c>
      <c r="F25" s="9" t="s">
        <v>30</v>
      </c>
      <c r="G25" s="10" t="s">
        <v>112</v>
      </c>
      <c r="H25" s="10" t="s">
        <v>462</v>
      </c>
      <c r="I25" s="10"/>
      <c r="J25" s="16" t="str">
        <f>"210,0"</f>
        <v>210,0</v>
      </c>
      <c r="K25" s="17" t="str">
        <f>"106,3650"</f>
        <v>106,3650</v>
      </c>
      <c r="L25" s="8"/>
    </row>
    <row r="26" spans="1:12" x14ac:dyDescent="0.2">
      <c r="A26" s="49">
        <v>1</v>
      </c>
      <c r="B26" s="8" t="s">
        <v>573</v>
      </c>
      <c r="C26" s="9" t="s">
        <v>113</v>
      </c>
      <c r="D26" s="9" t="s">
        <v>111</v>
      </c>
      <c r="E26" s="8" t="s">
        <v>471</v>
      </c>
      <c r="F26" s="9" t="s">
        <v>30</v>
      </c>
      <c r="G26" s="10" t="s">
        <v>112</v>
      </c>
      <c r="H26" s="10" t="s">
        <v>462</v>
      </c>
      <c r="I26" s="10"/>
      <c r="J26" s="16" t="str">
        <f>"210,0"</f>
        <v>210,0</v>
      </c>
      <c r="K26" s="17" t="str">
        <f>"113,7042"</f>
        <v>113,7042</v>
      </c>
      <c r="L26" s="8"/>
    </row>
  </sheetData>
  <mergeCells count="18">
    <mergeCell ref="B22:I22"/>
    <mergeCell ref="B24:I24"/>
    <mergeCell ref="B8:I8"/>
    <mergeCell ref="B10:I10"/>
    <mergeCell ref="B12:I12"/>
    <mergeCell ref="B14:I14"/>
    <mergeCell ref="B17:I17"/>
    <mergeCell ref="B19:I19"/>
    <mergeCell ref="J3:J4"/>
    <mergeCell ref="K3:K4"/>
    <mergeCell ref="L3:L4"/>
    <mergeCell ref="B5:I5"/>
    <mergeCell ref="B1:L2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3"/>
  <sheetViews>
    <sheetView workbookViewId="0">
      <selection activeCell="A2" sqref="A2"/>
    </sheetView>
  </sheetViews>
  <sheetFormatPr defaultRowHeight="12.75" x14ac:dyDescent="0.2"/>
  <cols>
    <col min="1" max="1" width="9.140625" style="3"/>
    <col min="2" max="2" width="27" style="4" bestFit="1" customWidth="1"/>
    <col min="3" max="3" width="26.85546875" style="5" bestFit="1" customWidth="1"/>
    <col min="4" max="4" width="7.7109375" style="5" bestFit="1" customWidth="1"/>
    <col min="5" max="5" width="14.5703125" style="4" bestFit="1" customWidth="1"/>
    <col min="6" max="8" width="5.5703125" style="5" customWidth="1"/>
    <col min="9" max="9" width="5" style="5" customWidth="1"/>
    <col min="10" max="10" width="6.140625" style="14" bestFit="1" customWidth="1"/>
    <col min="11" max="11" width="8.5703125" style="15" bestFit="1" customWidth="1"/>
    <col min="12" max="12" width="18.28515625" style="4" bestFit="1" customWidth="1"/>
    <col min="13" max="16384" width="9.140625" style="3"/>
  </cols>
  <sheetData>
    <row r="1" spans="1:12" s="2" customFormat="1" ht="29.1" customHeight="1" x14ac:dyDescent="0.2">
      <c r="B1" s="50" t="s">
        <v>461</v>
      </c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s="2" customFormat="1" ht="62.1" customHeight="1" thickBo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2" s="1" customFormat="1" ht="12.75" customHeight="1" x14ac:dyDescent="0.2">
      <c r="B3" s="35" t="s">
        <v>0</v>
      </c>
      <c r="C3" s="37" t="s">
        <v>6</v>
      </c>
      <c r="D3" s="37" t="s">
        <v>4</v>
      </c>
      <c r="E3" s="39" t="s">
        <v>7</v>
      </c>
      <c r="F3" s="39" t="s">
        <v>8</v>
      </c>
      <c r="G3" s="39"/>
      <c r="H3" s="39"/>
      <c r="I3" s="39"/>
      <c r="J3" s="39" t="s">
        <v>43</v>
      </c>
      <c r="K3" s="39" t="s">
        <v>2</v>
      </c>
      <c r="L3" s="40" t="s">
        <v>1</v>
      </c>
    </row>
    <row r="4" spans="1:12" s="1" customFormat="1" ht="23.25" customHeight="1" thickBot="1" x14ac:dyDescent="0.25">
      <c r="A4" s="1" t="s">
        <v>489</v>
      </c>
      <c r="B4" s="36"/>
      <c r="C4" s="38"/>
      <c r="D4" s="38"/>
      <c r="E4" s="38"/>
      <c r="F4" s="6">
        <v>1</v>
      </c>
      <c r="G4" s="6">
        <v>2</v>
      </c>
      <c r="H4" s="6">
        <v>3</v>
      </c>
      <c r="I4" s="6" t="s">
        <v>3</v>
      </c>
      <c r="J4" s="38"/>
      <c r="K4" s="38"/>
      <c r="L4" s="41"/>
    </row>
    <row r="5" spans="1:12" s="5" customFormat="1" ht="15" x14ac:dyDescent="0.2">
      <c r="B5" s="31" t="s">
        <v>44</v>
      </c>
      <c r="C5" s="32"/>
      <c r="D5" s="32"/>
      <c r="E5" s="32"/>
      <c r="F5" s="32"/>
      <c r="G5" s="32"/>
      <c r="H5" s="32"/>
      <c r="I5" s="32"/>
      <c r="J5" s="14"/>
      <c r="K5" s="15"/>
      <c r="L5" s="4"/>
    </row>
    <row r="6" spans="1:12" s="5" customFormat="1" x14ac:dyDescent="0.2">
      <c r="A6" s="5" t="s">
        <v>486</v>
      </c>
      <c r="B6" s="18" t="s">
        <v>576</v>
      </c>
      <c r="C6" s="11" t="s">
        <v>46</v>
      </c>
      <c r="D6" s="11" t="s">
        <v>47</v>
      </c>
      <c r="E6" s="18" t="s">
        <v>474</v>
      </c>
      <c r="F6" s="11" t="s">
        <v>48</v>
      </c>
      <c r="G6" s="11" t="s">
        <v>49</v>
      </c>
      <c r="H6" s="11" t="s">
        <v>50</v>
      </c>
      <c r="I6" s="19"/>
      <c r="J6" s="20" t="str">
        <f>"115,0"</f>
        <v>115,0</v>
      </c>
      <c r="K6" s="21" t="str">
        <f>"77,2340"</f>
        <v>77,2340</v>
      </c>
      <c r="L6" s="18"/>
    </row>
    <row r="7" spans="1:12" s="5" customFormat="1" x14ac:dyDescent="0.2">
      <c r="A7" s="5" t="s">
        <v>486</v>
      </c>
      <c r="B7" s="22" t="s">
        <v>576</v>
      </c>
      <c r="C7" s="12" t="s">
        <v>52</v>
      </c>
      <c r="D7" s="12" t="s">
        <v>47</v>
      </c>
      <c r="E7" s="22" t="s">
        <v>474</v>
      </c>
      <c r="F7" s="12" t="s">
        <v>48</v>
      </c>
      <c r="G7" s="12" t="s">
        <v>49</v>
      </c>
      <c r="H7" s="12" t="s">
        <v>50</v>
      </c>
      <c r="I7" s="23"/>
      <c r="J7" s="24" t="str">
        <f>"115,0"</f>
        <v>115,0</v>
      </c>
      <c r="K7" s="25" t="str">
        <f>"110,4446"</f>
        <v>110,4446</v>
      </c>
      <c r="L7" s="22"/>
    </row>
    <row r="8" spans="1:12" ht="15" x14ac:dyDescent="0.2">
      <c r="B8" s="33" t="s">
        <v>26</v>
      </c>
      <c r="C8" s="34"/>
      <c r="D8" s="34"/>
      <c r="E8" s="34"/>
      <c r="F8" s="34"/>
      <c r="G8" s="34"/>
      <c r="H8" s="34"/>
      <c r="I8" s="34"/>
    </row>
    <row r="9" spans="1:12" x14ac:dyDescent="0.2">
      <c r="A9" s="3">
        <v>1</v>
      </c>
      <c r="B9" s="8" t="s">
        <v>53</v>
      </c>
      <c r="C9" s="9" t="s">
        <v>54</v>
      </c>
      <c r="D9" s="9" t="s">
        <v>55</v>
      </c>
      <c r="E9" s="8" t="s">
        <v>467</v>
      </c>
      <c r="F9" s="9" t="s">
        <v>56</v>
      </c>
      <c r="G9" s="9" t="s">
        <v>57</v>
      </c>
      <c r="H9" s="10" t="s">
        <v>58</v>
      </c>
      <c r="I9" s="10"/>
      <c r="J9" s="16" t="str">
        <f>"300,0"</f>
        <v>300,0</v>
      </c>
      <c r="K9" s="17" t="str">
        <f>"166,3500"</f>
        <v>166,3500</v>
      </c>
      <c r="L9" s="8" t="s">
        <v>59</v>
      </c>
    </row>
    <row r="10" spans="1:12" ht="15" x14ac:dyDescent="0.2">
      <c r="B10" s="33" t="s">
        <v>60</v>
      </c>
      <c r="C10" s="34"/>
      <c r="D10" s="34"/>
      <c r="E10" s="34"/>
      <c r="F10" s="34"/>
      <c r="G10" s="34"/>
      <c r="H10" s="34"/>
      <c r="I10" s="34"/>
    </row>
    <row r="11" spans="1:12" x14ac:dyDescent="0.2">
      <c r="A11" s="3">
        <v>1</v>
      </c>
      <c r="B11" s="8" t="s">
        <v>499</v>
      </c>
      <c r="C11" s="9" t="s">
        <v>61</v>
      </c>
      <c r="D11" s="9" t="s">
        <v>62</v>
      </c>
      <c r="E11" s="8" t="s">
        <v>469</v>
      </c>
      <c r="F11" s="9" t="s">
        <v>18</v>
      </c>
      <c r="G11" s="10" t="s">
        <v>63</v>
      </c>
      <c r="H11" s="9" t="s">
        <v>19</v>
      </c>
      <c r="I11" s="10"/>
      <c r="J11" s="16" t="str">
        <f>"240,0"</f>
        <v>240,0</v>
      </c>
      <c r="K11" s="17" t="str">
        <f>"191,0976"</f>
        <v>191,0976</v>
      </c>
      <c r="L11" s="8"/>
    </row>
    <row r="12" spans="1:12" ht="15" x14ac:dyDescent="0.2">
      <c r="B12" s="33" t="s">
        <v>64</v>
      </c>
      <c r="C12" s="34"/>
      <c r="D12" s="34"/>
      <c r="E12" s="34"/>
      <c r="F12" s="34"/>
      <c r="G12" s="34"/>
      <c r="H12" s="34"/>
      <c r="I12" s="34"/>
    </row>
    <row r="13" spans="1:12" x14ac:dyDescent="0.2">
      <c r="A13" s="3">
        <v>1</v>
      </c>
      <c r="B13" s="8" t="s">
        <v>65</v>
      </c>
      <c r="C13" s="9" t="s">
        <v>66</v>
      </c>
      <c r="D13" s="9" t="s">
        <v>67</v>
      </c>
      <c r="E13" s="8" t="s">
        <v>474</v>
      </c>
      <c r="F13" s="9" t="s">
        <v>68</v>
      </c>
      <c r="G13" s="9" t="s">
        <v>69</v>
      </c>
      <c r="H13" s="10" t="s">
        <v>70</v>
      </c>
      <c r="I13" s="10"/>
      <c r="J13" s="16" t="str">
        <f>"362,5"</f>
        <v>362,5</v>
      </c>
      <c r="K13" s="17" t="str">
        <f>"192,6325"</f>
        <v>192,6325</v>
      </c>
      <c r="L13" s="8" t="s">
        <v>45</v>
      </c>
    </row>
  </sheetData>
  <mergeCells count="13">
    <mergeCell ref="B8:I8"/>
    <mergeCell ref="B10:I10"/>
    <mergeCell ref="B12:I12"/>
    <mergeCell ref="J3:J4"/>
    <mergeCell ref="K3:K4"/>
    <mergeCell ref="L3:L4"/>
    <mergeCell ref="B5:I5"/>
    <mergeCell ref="B1:L2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5">
    <pageSetUpPr fitToPage="1"/>
  </sheetPr>
  <dimension ref="A1:L14"/>
  <sheetViews>
    <sheetView workbookViewId="0">
      <selection activeCell="A2" sqref="A2"/>
    </sheetView>
  </sheetViews>
  <sheetFormatPr defaultRowHeight="12.75" x14ac:dyDescent="0.2"/>
  <cols>
    <col min="1" max="1" width="9.140625" style="3"/>
    <col min="2" max="2" width="27" style="4" bestFit="1" customWidth="1"/>
    <col min="3" max="3" width="26.85546875" style="5" bestFit="1" customWidth="1"/>
    <col min="4" max="4" width="7.7109375" style="5" bestFit="1" customWidth="1"/>
    <col min="5" max="5" width="14.5703125" style="4" bestFit="1" customWidth="1"/>
    <col min="6" max="8" width="5.5703125" style="5" customWidth="1"/>
    <col min="9" max="9" width="5" style="5" customWidth="1"/>
    <col min="10" max="10" width="6.140625" style="14" bestFit="1" customWidth="1"/>
    <col min="11" max="11" width="8.5703125" style="15" bestFit="1" customWidth="1"/>
    <col min="12" max="12" width="18.28515625" style="4" bestFit="1" customWidth="1"/>
    <col min="13" max="16384" width="9.140625" style="3"/>
  </cols>
  <sheetData>
    <row r="1" spans="1:12" s="2" customFormat="1" ht="29.1" customHeight="1" x14ac:dyDescent="0.2">
      <c r="B1" s="50" t="s">
        <v>448</v>
      </c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s="2" customFormat="1" ht="62.1" customHeight="1" thickBo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2" s="1" customFormat="1" ht="12.75" customHeight="1" x14ac:dyDescent="0.2">
      <c r="B3" s="35" t="s">
        <v>0</v>
      </c>
      <c r="C3" s="37" t="s">
        <v>6</v>
      </c>
      <c r="D3" s="37" t="s">
        <v>4</v>
      </c>
      <c r="E3" s="39" t="s">
        <v>7</v>
      </c>
      <c r="F3" s="39" t="s">
        <v>8</v>
      </c>
      <c r="G3" s="39"/>
      <c r="H3" s="39"/>
      <c r="I3" s="39"/>
      <c r="J3" s="39" t="s">
        <v>43</v>
      </c>
      <c r="K3" s="39" t="s">
        <v>2</v>
      </c>
      <c r="L3" s="40" t="s">
        <v>1</v>
      </c>
    </row>
    <row r="4" spans="1:12" s="1" customFormat="1" ht="23.25" customHeight="1" thickBot="1" x14ac:dyDescent="0.25">
      <c r="A4" s="1" t="s">
        <v>489</v>
      </c>
      <c r="B4" s="36"/>
      <c r="C4" s="38"/>
      <c r="D4" s="38"/>
      <c r="E4" s="38"/>
      <c r="F4" s="6">
        <v>1</v>
      </c>
      <c r="G4" s="6">
        <v>2</v>
      </c>
      <c r="H4" s="6">
        <v>3</v>
      </c>
      <c r="I4" s="6" t="s">
        <v>3</v>
      </c>
      <c r="J4" s="38"/>
      <c r="K4" s="38"/>
      <c r="L4" s="41"/>
    </row>
    <row r="5" spans="1:12" s="5" customFormat="1" ht="15" x14ac:dyDescent="0.2">
      <c r="B5" s="31" t="s">
        <v>9</v>
      </c>
      <c r="C5" s="32"/>
      <c r="D5" s="32"/>
      <c r="E5" s="32"/>
      <c r="F5" s="32"/>
      <c r="G5" s="32"/>
      <c r="H5" s="32"/>
      <c r="I5" s="32"/>
      <c r="J5" s="14"/>
      <c r="K5" s="15"/>
      <c r="L5" s="4"/>
    </row>
    <row r="6" spans="1:12" s="5" customFormat="1" x14ac:dyDescent="0.2">
      <c r="A6" s="5" t="s">
        <v>486</v>
      </c>
      <c r="B6" s="8" t="s">
        <v>569</v>
      </c>
      <c r="C6" s="9" t="s">
        <v>10</v>
      </c>
      <c r="D6" s="9" t="s">
        <v>11</v>
      </c>
      <c r="E6" s="8" t="s">
        <v>469</v>
      </c>
      <c r="F6" s="9" t="s">
        <v>12</v>
      </c>
      <c r="G6" s="9" t="s">
        <v>13</v>
      </c>
      <c r="H6" s="9" t="s">
        <v>14</v>
      </c>
      <c r="I6" s="10"/>
      <c r="J6" s="16" t="str">
        <f>"145,0"</f>
        <v>145,0</v>
      </c>
      <c r="K6" s="17" t="str">
        <f>"137,9675"</f>
        <v>137,9675</v>
      </c>
      <c r="L6" s="8"/>
    </row>
    <row r="7" spans="1:12" ht="15" x14ac:dyDescent="0.2">
      <c r="B7" s="33" t="s">
        <v>15</v>
      </c>
      <c r="C7" s="34"/>
      <c r="D7" s="34"/>
      <c r="E7" s="34"/>
      <c r="F7" s="34"/>
      <c r="G7" s="34"/>
      <c r="H7" s="34"/>
      <c r="I7" s="34"/>
    </row>
    <row r="8" spans="1:12" x14ac:dyDescent="0.2">
      <c r="A8" s="3">
        <v>1</v>
      </c>
      <c r="B8" s="18" t="s">
        <v>578</v>
      </c>
      <c r="C8" s="11" t="s">
        <v>16</v>
      </c>
      <c r="D8" s="11" t="s">
        <v>17</v>
      </c>
      <c r="E8" s="18" t="s">
        <v>469</v>
      </c>
      <c r="F8" s="11" t="s">
        <v>18</v>
      </c>
      <c r="G8" s="11" t="s">
        <v>19</v>
      </c>
      <c r="H8" s="19" t="s">
        <v>20</v>
      </c>
      <c r="I8" s="19"/>
      <c r="J8" s="20" t="str">
        <f>"240,0"</f>
        <v>240,0</v>
      </c>
      <c r="K8" s="21" t="str">
        <f>"149,8800"</f>
        <v>149,8800</v>
      </c>
      <c r="L8" s="18"/>
    </row>
    <row r="9" spans="1:12" x14ac:dyDescent="0.2">
      <c r="A9" s="3">
        <v>1</v>
      </c>
      <c r="B9" s="22" t="s">
        <v>579</v>
      </c>
      <c r="C9" s="12" t="s">
        <v>21</v>
      </c>
      <c r="D9" s="12" t="s">
        <v>22</v>
      </c>
      <c r="E9" s="22" t="s">
        <v>465</v>
      </c>
      <c r="F9" s="12" t="s">
        <v>23</v>
      </c>
      <c r="G9" s="12" t="s">
        <v>24</v>
      </c>
      <c r="H9" s="23" t="s">
        <v>25</v>
      </c>
      <c r="I9" s="23"/>
      <c r="J9" s="24" t="str">
        <f>"205,0"</f>
        <v>205,0</v>
      </c>
      <c r="K9" s="25" t="str">
        <f>"132,4572"</f>
        <v>132,4572</v>
      </c>
      <c r="L9" s="22"/>
    </row>
    <row r="10" spans="1:12" ht="15" x14ac:dyDescent="0.2">
      <c r="B10" s="33" t="s">
        <v>26</v>
      </c>
      <c r="C10" s="34"/>
      <c r="D10" s="34"/>
      <c r="E10" s="34"/>
      <c r="F10" s="34"/>
      <c r="G10" s="34"/>
      <c r="H10" s="34"/>
      <c r="I10" s="34"/>
    </row>
    <row r="11" spans="1:12" x14ac:dyDescent="0.2">
      <c r="A11" s="3">
        <v>1</v>
      </c>
      <c r="B11" s="18" t="s">
        <v>577</v>
      </c>
      <c r="C11" s="11" t="s">
        <v>28</v>
      </c>
      <c r="D11" s="11" t="s">
        <v>29</v>
      </c>
      <c r="E11" s="18" t="s">
        <v>474</v>
      </c>
      <c r="F11" s="11" t="s">
        <v>30</v>
      </c>
      <c r="G11" s="11" t="s">
        <v>18</v>
      </c>
      <c r="H11" s="11" t="s">
        <v>19</v>
      </c>
      <c r="I11" s="19"/>
      <c r="J11" s="20" t="str">
        <f>"240,0"</f>
        <v>240,0</v>
      </c>
      <c r="K11" s="21" t="str">
        <f>"132,9600"</f>
        <v>132,9600</v>
      </c>
      <c r="L11" s="18" t="s">
        <v>45</v>
      </c>
    </row>
    <row r="12" spans="1:12" x14ac:dyDescent="0.2">
      <c r="A12" s="3">
        <v>1</v>
      </c>
      <c r="B12" s="26" t="s">
        <v>577</v>
      </c>
      <c r="C12" s="13" t="s">
        <v>32</v>
      </c>
      <c r="D12" s="13" t="s">
        <v>29</v>
      </c>
      <c r="E12" s="26" t="s">
        <v>474</v>
      </c>
      <c r="F12" s="13" t="s">
        <v>30</v>
      </c>
      <c r="G12" s="13" t="s">
        <v>18</v>
      </c>
      <c r="H12" s="13" t="s">
        <v>19</v>
      </c>
      <c r="I12" s="27"/>
      <c r="J12" s="28" t="str">
        <f>"240,0"</f>
        <v>240,0</v>
      </c>
      <c r="K12" s="29" t="str">
        <f>"132,9600"</f>
        <v>132,9600</v>
      </c>
      <c r="L12" s="26" t="s">
        <v>45</v>
      </c>
    </row>
    <row r="13" spans="1:12" x14ac:dyDescent="0.2">
      <c r="A13" s="3">
        <v>2</v>
      </c>
      <c r="B13" s="26" t="s">
        <v>33</v>
      </c>
      <c r="C13" s="13" t="s">
        <v>34</v>
      </c>
      <c r="D13" s="13" t="s">
        <v>35</v>
      </c>
      <c r="E13" s="26" t="s">
        <v>469</v>
      </c>
      <c r="F13" s="13" t="s">
        <v>30</v>
      </c>
      <c r="G13" s="13" t="s">
        <v>18</v>
      </c>
      <c r="H13" s="27" t="s">
        <v>19</v>
      </c>
      <c r="I13" s="27"/>
      <c r="J13" s="28" t="str">
        <f>"225,0"</f>
        <v>225,0</v>
      </c>
      <c r="K13" s="29" t="str">
        <f>"130,0275"</f>
        <v>130,0275</v>
      </c>
      <c r="L13" s="26" t="s">
        <v>36</v>
      </c>
    </row>
    <row r="14" spans="1:12" x14ac:dyDescent="0.2">
      <c r="A14" s="3">
        <v>1</v>
      </c>
      <c r="B14" s="22" t="s">
        <v>497</v>
      </c>
      <c r="C14" s="12" t="s">
        <v>37</v>
      </c>
      <c r="D14" s="12" t="s">
        <v>38</v>
      </c>
      <c r="E14" s="22" t="s">
        <v>465</v>
      </c>
      <c r="F14" s="12" t="s">
        <v>39</v>
      </c>
      <c r="G14" s="12" t="s">
        <v>40</v>
      </c>
      <c r="H14" s="23" t="s">
        <v>41</v>
      </c>
      <c r="I14" s="23"/>
      <c r="J14" s="24" t="str">
        <f>"167,5"</f>
        <v>167,5</v>
      </c>
      <c r="K14" s="25" t="str">
        <f>"193,4665"</f>
        <v>193,4665</v>
      </c>
      <c r="L14" s="22" t="s">
        <v>488</v>
      </c>
    </row>
  </sheetData>
  <mergeCells count="12">
    <mergeCell ref="B5:I5"/>
    <mergeCell ref="B7:I7"/>
    <mergeCell ref="B10:I10"/>
    <mergeCell ref="J3:J4"/>
    <mergeCell ref="K3:K4"/>
    <mergeCell ref="B1:L2"/>
    <mergeCell ref="F3:I3"/>
    <mergeCell ref="B3:B4"/>
    <mergeCell ref="C3:C4"/>
    <mergeCell ref="D3:D4"/>
    <mergeCell ref="L3:L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65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35"/>
  <sheetViews>
    <sheetView workbookViewId="0">
      <selection activeCell="A2" sqref="A2"/>
    </sheetView>
  </sheetViews>
  <sheetFormatPr defaultRowHeight="12.75" x14ac:dyDescent="0.2"/>
  <cols>
    <col min="1" max="1" width="9.140625" style="3"/>
    <col min="2" max="2" width="27" style="4" bestFit="1" customWidth="1"/>
    <col min="3" max="3" width="26.85546875" style="5" bestFit="1" customWidth="1"/>
    <col min="4" max="4" width="7.7109375" style="5" bestFit="1" customWidth="1"/>
    <col min="5" max="5" width="17" style="4" bestFit="1" customWidth="1"/>
    <col min="6" max="8" width="5.5703125" style="5" customWidth="1"/>
    <col min="9" max="9" width="5" style="5" customWidth="1"/>
    <col min="10" max="12" width="5.5703125" style="5" customWidth="1"/>
    <col min="13" max="13" width="5" style="5" customWidth="1"/>
    <col min="14" max="16" width="5.5703125" style="5" customWidth="1"/>
    <col min="17" max="17" width="5" style="5" customWidth="1"/>
    <col min="18" max="18" width="6.140625" style="14" bestFit="1" customWidth="1"/>
    <col min="19" max="19" width="8.5703125" style="15" bestFit="1" customWidth="1"/>
    <col min="20" max="20" width="18.140625" style="4" bestFit="1" customWidth="1"/>
    <col min="21" max="16384" width="9.140625" style="3"/>
  </cols>
  <sheetData>
    <row r="1" spans="1:20" s="2" customFormat="1" ht="29.1" customHeight="1" x14ac:dyDescent="0.2">
      <c r="B1" s="50" t="s">
        <v>459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</row>
    <row r="2" spans="1:20" s="2" customFormat="1" ht="62.1" customHeight="1" thickBo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5"/>
    </row>
    <row r="3" spans="1:20" s="1" customFormat="1" ht="12.75" customHeight="1" x14ac:dyDescent="0.2">
      <c r="B3" s="35" t="s">
        <v>0</v>
      </c>
      <c r="C3" s="37" t="s">
        <v>6</v>
      </c>
      <c r="D3" s="37" t="s">
        <v>4</v>
      </c>
      <c r="E3" s="39" t="s">
        <v>7</v>
      </c>
      <c r="F3" s="39" t="s">
        <v>117</v>
      </c>
      <c r="G3" s="39"/>
      <c r="H3" s="39"/>
      <c r="I3" s="39"/>
      <c r="J3" s="39" t="s">
        <v>71</v>
      </c>
      <c r="K3" s="39"/>
      <c r="L3" s="39"/>
      <c r="M3" s="39"/>
      <c r="N3" s="39" t="s">
        <v>8</v>
      </c>
      <c r="O3" s="39"/>
      <c r="P3" s="39"/>
      <c r="Q3" s="39"/>
      <c r="R3" s="39" t="s">
        <v>5</v>
      </c>
      <c r="S3" s="39" t="s">
        <v>2</v>
      </c>
      <c r="T3" s="40" t="s">
        <v>1</v>
      </c>
    </row>
    <row r="4" spans="1:20" s="1" customFormat="1" ht="23.25" customHeight="1" thickBot="1" x14ac:dyDescent="0.25">
      <c r="A4" s="1" t="s">
        <v>489</v>
      </c>
      <c r="B4" s="36"/>
      <c r="C4" s="38"/>
      <c r="D4" s="38"/>
      <c r="E4" s="38"/>
      <c r="F4" s="6">
        <v>1</v>
      </c>
      <c r="G4" s="6">
        <v>2</v>
      </c>
      <c r="H4" s="6">
        <v>3</v>
      </c>
      <c r="I4" s="6" t="s">
        <v>3</v>
      </c>
      <c r="J4" s="6">
        <v>1</v>
      </c>
      <c r="K4" s="6">
        <v>2</v>
      </c>
      <c r="L4" s="6">
        <v>3</v>
      </c>
      <c r="M4" s="6" t="s">
        <v>3</v>
      </c>
      <c r="N4" s="6">
        <v>1</v>
      </c>
      <c r="O4" s="6">
        <v>2</v>
      </c>
      <c r="P4" s="6">
        <v>3</v>
      </c>
      <c r="Q4" s="6" t="s">
        <v>3</v>
      </c>
      <c r="R4" s="38"/>
      <c r="S4" s="38"/>
      <c r="T4" s="41"/>
    </row>
    <row r="5" spans="1:20" s="5" customFormat="1" ht="15" x14ac:dyDescent="0.2">
      <c r="B5" s="31" t="s">
        <v>155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4"/>
      <c r="S5" s="15"/>
      <c r="T5" s="4"/>
    </row>
    <row r="6" spans="1:20" s="5" customFormat="1" x14ac:dyDescent="0.2">
      <c r="A6" s="5" t="s">
        <v>486</v>
      </c>
      <c r="B6" s="8" t="s">
        <v>490</v>
      </c>
      <c r="C6" s="9" t="s">
        <v>371</v>
      </c>
      <c r="D6" s="9" t="s">
        <v>372</v>
      </c>
      <c r="E6" s="8" t="s">
        <v>466</v>
      </c>
      <c r="F6" s="9" t="s">
        <v>373</v>
      </c>
      <c r="G6" s="9" t="s">
        <v>374</v>
      </c>
      <c r="H6" s="10" t="s">
        <v>288</v>
      </c>
      <c r="I6" s="10"/>
      <c r="J6" s="9" t="s">
        <v>297</v>
      </c>
      <c r="K6" s="9" t="s">
        <v>282</v>
      </c>
      <c r="L6" s="10" t="s">
        <v>283</v>
      </c>
      <c r="M6" s="10"/>
      <c r="N6" s="9" t="s">
        <v>288</v>
      </c>
      <c r="O6" s="9" t="s">
        <v>302</v>
      </c>
      <c r="P6" s="9" t="s">
        <v>317</v>
      </c>
      <c r="Q6" s="10"/>
      <c r="R6" s="16" t="str">
        <f>"187,5"</f>
        <v>187,5</v>
      </c>
      <c r="S6" s="17" t="str">
        <f>"194,4375"</f>
        <v>194,4375</v>
      </c>
      <c r="T6" s="8"/>
    </row>
    <row r="7" spans="1:20" ht="15" x14ac:dyDescent="0.2">
      <c r="B7" s="33" t="s">
        <v>164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20" x14ac:dyDescent="0.2">
      <c r="A8" s="3">
        <v>1</v>
      </c>
      <c r="B8" s="18" t="s">
        <v>375</v>
      </c>
      <c r="C8" s="11" t="s">
        <v>376</v>
      </c>
      <c r="D8" s="11" t="s">
        <v>377</v>
      </c>
      <c r="E8" s="18" t="s">
        <v>466</v>
      </c>
      <c r="F8" s="11" t="s">
        <v>76</v>
      </c>
      <c r="G8" s="11" t="s">
        <v>85</v>
      </c>
      <c r="H8" s="11" t="s">
        <v>82</v>
      </c>
      <c r="I8" s="19"/>
      <c r="J8" s="11" t="s">
        <v>378</v>
      </c>
      <c r="K8" s="19" t="s">
        <v>288</v>
      </c>
      <c r="L8" s="19" t="s">
        <v>288</v>
      </c>
      <c r="M8" s="19"/>
      <c r="N8" s="11" t="s">
        <v>13</v>
      </c>
      <c r="O8" s="19" t="s">
        <v>14</v>
      </c>
      <c r="P8" s="19" t="s">
        <v>14</v>
      </c>
      <c r="Q8" s="19"/>
      <c r="R8" s="20" t="str">
        <f>"335,0"</f>
        <v>335,0</v>
      </c>
      <c r="S8" s="21" t="str">
        <f>"291,0480"</f>
        <v>291,0480</v>
      </c>
      <c r="T8" s="18" t="s">
        <v>247</v>
      </c>
    </row>
    <row r="9" spans="1:20" x14ac:dyDescent="0.2">
      <c r="A9" s="3">
        <v>2</v>
      </c>
      <c r="B9" s="26" t="s">
        <v>379</v>
      </c>
      <c r="C9" s="13" t="s">
        <v>380</v>
      </c>
      <c r="D9" s="13" t="s">
        <v>381</v>
      </c>
      <c r="E9" s="26" t="s">
        <v>467</v>
      </c>
      <c r="F9" s="13" t="s">
        <v>50</v>
      </c>
      <c r="G9" s="13" t="s">
        <v>76</v>
      </c>
      <c r="H9" s="13" t="s">
        <v>103</v>
      </c>
      <c r="I9" s="27"/>
      <c r="J9" s="13" t="s">
        <v>287</v>
      </c>
      <c r="K9" s="13" t="s">
        <v>378</v>
      </c>
      <c r="L9" s="27" t="s">
        <v>288</v>
      </c>
      <c r="M9" s="27"/>
      <c r="N9" s="13" t="s">
        <v>76</v>
      </c>
      <c r="O9" s="13" t="s">
        <v>103</v>
      </c>
      <c r="P9" s="13" t="s">
        <v>85</v>
      </c>
      <c r="Q9" s="27"/>
      <c r="R9" s="28" t="str">
        <f>"312,5"</f>
        <v>312,5</v>
      </c>
      <c r="S9" s="29" t="str">
        <f>"272,2812"</f>
        <v>272,2812</v>
      </c>
      <c r="T9" s="26" t="s">
        <v>59</v>
      </c>
    </row>
    <row r="10" spans="1:20" x14ac:dyDescent="0.2">
      <c r="A10" s="3">
        <v>3</v>
      </c>
      <c r="B10" s="26" t="s">
        <v>165</v>
      </c>
      <c r="C10" s="13" t="s">
        <v>166</v>
      </c>
      <c r="D10" s="13" t="s">
        <v>167</v>
      </c>
      <c r="E10" s="26" t="s">
        <v>468</v>
      </c>
      <c r="F10" s="13" t="s">
        <v>120</v>
      </c>
      <c r="G10" s="13" t="s">
        <v>48</v>
      </c>
      <c r="H10" s="27" t="s">
        <v>172</v>
      </c>
      <c r="I10" s="27"/>
      <c r="J10" s="13" t="s">
        <v>276</v>
      </c>
      <c r="K10" s="13" t="s">
        <v>278</v>
      </c>
      <c r="L10" s="27" t="s">
        <v>382</v>
      </c>
      <c r="M10" s="27"/>
      <c r="N10" s="13" t="s">
        <v>172</v>
      </c>
      <c r="O10" s="13" t="s">
        <v>49</v>
      </c>
      <c r="P10" s="13" t="s">
        <v>76</v>
      </c>
      <c r="Q10" s="27"/>
      <c r="R10" s="28" t="str">
        <f>"275,0"</f>
        <v>275,0</v>
      </c>
      <c r="S10" s="29" t="str">
        <f>"249,8650"</f>
        <v>249,8650</v>
      </c>
      <c r="T10" s="26" t="s">
        <v>168</v>
      </c>
    </row>
    <row r="11" spans="1:20" x14ac:dyDescent="0.2">
      <c r="A11" s="3">
        <v>1</v>
      </c>
      <c r="B11" s="22" t="s">
        <v>383</v>
      </c>
      <c r="C11" s="12" t="s">
        <v>384</v>
      </c>
      <c r="D11" s="12" t="s">
        <v>385</v>
      </c>
      <c r="E11" s="22" t="s">
        <v>465</v>
      </c>
      <c r="F11" s="12" t="s">
        <v>49</v>
      </c>
      <c r="G11" s="12" t="s">
        <v>76</v>
      </c>
      <c r="H11" s="12" t="s">
        <v>386</v>
      </c>
      <c r="I11" s="23"/>
      <c r="J11" s="12" t="s">
        <v>288</v>
      </c>
      <c r="K11" s="23" t="s">
        <v>289</v>
      </c>
      <c r="L11" s="23" t="s">
        <v>462</v>
      </c>
      <c r="M11" s="23"/>
      <c r="N11" s="23" t="s">
        <v>102</v>
      </c>
      <c r="O11" s="12" t="s">
        <v>50</v>
      </c>
      <c r="P11" s="12" t="s">
        <v>76</v>
      </c>
      <c r="Q11" s="23"/>
      <c r="R11" s="24" t="str">
        <f>"320,0"</f>
        <v>320,0</v>
      </c>
      <c r="S11" s="25" t="str">
        <f>"287,8552"</f>
        <v>287,8552</v>
      </c>
      <c r="T11" s="22" t="s">
        <v>387</v>
      </c>
    </row>
    <row r="12" spans="1:20" ht="15" x14ac:dyDescent="0.2">
      <c r="B12" s="33" t="s">
        <v>79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20" x14ac:dyDescent="0.2">
      <c r="A13" s="3">
        <v>1</v>
      </c>
      <c r="B13" s="8" t="s">
        <v>388</v>
      </c>
      <c r="C13" s="9" t="s">
        <v>389</v>
      </c>
      <c r="D13" s="9" t="s">
        <v>308</v>
      </c>
      <c r="E13" s="8" t="s">
        <v>465</v>
      </c>
      <c r="F13" s="9" t="s">
        <v>172</v>
      </c>
      <c r="G13" s="9" t="s">
        <v>49</v>
      </c>
      <c r="H13" s="9" t="s">
        <v>75</v>
      </c>
      <c r="I13" s="10"/>
      <c r="J13" s="9" t="s">
        <v>276</v>
      </c>
      <c r="K13" s="9" t="s">
        <v>277</v>
      </c>
      <c r="L13" s="10" t="s">
        <v>278</v>
      </c>
      <c r="M13" s="10"/>
      <c r="N13" s="9" t="s">
        <v>48</v>
      </c>
      <c r="O13" s="9" t="s">
        <v>172</v>
      </c>
      <c r="P13" s="9" t="s">
        <v>102</v>
      </c>
      <c r="Q13" s="10"/>
      <c r="R13" s="16" t="str">
        <f>"282,5"</f>
        <v>282,5</v>
      </c>
      <c r="S13" s="17" t="str">
        <f>"220,5478"</f>
        <v>220,5478</v>
      </c>
      <c r="T13" s="8" t="s">
        <v>72</v>
      </c>
    </row>
    <row r="14" spans="1:20" ht="15" x14ac:dyDescent="0.2">
      <c r="B14" s="33" t="s">
        <v>44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20" x14ac:dyDescent="0.2">
      <c r="A15" s="3">
        <v>1</v>
      </c>
      <c r="B15" s="8" t="s">
        <v>173</v>
      </c>
      <c r="C15" s="9" t="s">
        <v>174</v>
      </c>
      <c r="D15" s="9" t="s">
        <v>175</v>
      </c>
      <c r="E15" s="8" t="s">
        <v>469</v>
      </c>
      <c r="F15" s="9" t="s">
        <v>82</v>
      </c>
      <c r="G15" s="10" t="s">
        <v>12</v>
      </c>
      <c r="H15" s="10" t="s">
        <v>161</v>
      </c>
      <c r="I15" s="10"/>
      <c r="J15" s="9" t="s">
        <v>382</v>
      </c>
      <c r="K15" s="9" t="s">
        <v>373</v>
      </c>
      <c r="L15" s="9" t="s">
        <v>287</v>
      </c>
      <c r="M15" s="10"/>
      <c r="N15" s="9" t="s">
        <v>82</v>
      </c>
      <c r="O15" s="9" t="s">
        <v>12</v>
      </c>
      <c r="P15" s="10" t="s">
        <v>14</v>
      </c>
      <c r="Q15" s="10"/>
      <c r="R15" s="16" t="str">
        <f>"327,5"</f>
        <v>327,5</v>
      </c>
      <c r="S15" s="17" t="str">
        <f>"238,1580"</f>
        <v>238,1580</v>
      </c>
      <c r="T15" s="8"/>
    </row>
    <row r="16" spans="1:20" ht="15" x14ac:dyDescent="0.2">
      <c r="B16" s="33" t="s">
        <v>164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20" x14ac:dyDescent="0.2">
      <c r="A17" s="3">
        <v>1</v>
      </c>
      <c r="B17" s="18" t="s">
        <v>186</v>
      </c>
      <c r="C17" s="11" t="s">
        <v>187</v>
      </c>
      <c r="D17" s="11" t="s">
        <v>188</v>
      </c>
      <c r="E17" s="18" t="s">
        <v>470</v>
      </c>
      <c r="F17" s="19" t="s">
        <v>48</v>
      </c>
      <c r="G17" s="11" t="s">
        <v>49</v>
      </c>
      <c r="H17" s="11" t="s">
        <v>50</v>
      </c>
      <c r="I17" s="19"/>
      <c r="J17" s="11" t="s">
        <v>390</v>
      </c>
      <c r="K17" s="11" t="s">
        <v>391</v>
      </c>
      <c r="L17" s="19" t="s">
        <v>392</v>
      </c>
      <c r="M17" s="19"/>
      <c r="N17" s="11" t="s">
        <v>76</v>
      </c>
      <c r="O17" s="11" t="s">
        <v>137</v>
      </c>
      <c r="P17" s="11" t="s">
        <v>13</v>
      </c>
      <c r="Q17" s="19"/>
      <c r="R17" s="20" t="str">
        <f>"337,5"</f>
        <v>337,5</v>
      </c>
      <c r="S17" s="21" t="str">
        <f>"283,7025"</f>
        <v>283,7025</v>
      </c>
      <c r="T17" s="18"/>
    </row>
    <row r="18" spans="1:20" x14ac:dyDescent="0.2">
      <c r="B18" s="22" t="s">
        <v>192</v>
      </c>
      <c r="C18" s="12" t="s">
        <v>193</v>
      </c>
      <c r="D18" s="12" t="s">
        <v>194</v>
      </c>
      <c r="E18" s="22" t="s">
        <v>465</v>
      </c>
      <c r="F18" s="23" t="s">
        <v>50</v>
      </c>
      <c r="G18" s="23" t="s">
        <v>50</v>
      </c>
      <c r="H18" s="23" t="s">
        <v>76</v>
      </c>
      <c r="I18" s="23"/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23"/>
      <c r="R18" s="44">
        <v>0</v>
      </c>
      <c r="S18" s="25"/>
      <c r="T18" s="22"/>
    </row>
    <row r="19" spans="1:20" ht="15" x14ac:dyDescent="0.2">
      <c r="B19" s="33" t="s">
        <v>44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20" x14ac:dyDescent="0.2">
      <c r="A20" s="3">
        <v>1</v>
      </c>
      <c r="B20" s="8" t="s">
        <v>393</v>
      </c>
      <c r="C20" s="9" t="s">
        <v>394</v>
      </c>
      <c r="D20" s="9" t="s">
        <v>395</v>
      </c>
      <c r="E20" s="8" t="s">
        <v>468</v>
      </c>
      <c r="F20" s="9" t="s">
        <v>39</v>
      </c>
      <c r="G20" s="9" t="s">
        <v>136</v>
      </c>
      <c r="H20" s="9" t="s">
        <v>230</v>
      </c>
      <c r="I20" s="10"/>
      <c r="J20" s="9" t="s">
        <v>50</v>
      </c>
      <c r="K20" s="10" t="s">
        <v>103</v>
      </c>
      <c r="L20" s="10" t="s">
        <v>103</v>
      </c>
      <c r="M20" s="10"/>
      <c r="N20" s="9" t="s">
        <v>136</v>
      </c>
      <c r="O20" s="9" t="s">
        <v>23</v>
      </c>
      <c r="P20" s="9" t="s">
        <v>142</v>
      </c>
      <c r="Q20" s="10"/>
      <c r="R20" s="16" t="str">
        <f>"500,0"</f>
        <v>500,0</v>
      </c>
      <c r="S20" s="17" t="str">
        <f>"337,2500"</f>
        <v>337,2500</v>
      </c>
      <c r="T20" s="8" t="s">
        <v>124</v>
      </c>
    </row>
    <row r="21" spans="1:20" ht="15" x14ac:dyDescent="0.2">
      <c r="B21" s="33" t="s">
        <v>15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20" x14ac:dyDescent="0.2">
      <c r="A22" s="3">
        <v>1</v>
      </c>
      <c r="B22" s="18" t="s">
        <v>396</v>
      </c>
      <c r="C22" s="11" t="s">
        <v>397</v>
      </c>
      <c r="D22" s="11" t="s">
        <v>398</v>
      </c>
      <c r="E22" s="18" t="s">
        <v>466</v>
      </c>
      <c r="F22" s="11" t="s">
        <v>85</v>
      </c>
      <c r="G22" s="19" t="s">
        <v>82</v>
      </c>
      <c r="H22" s="19" t="s">
        <v>82</v>
      </c>
      <c r="I22" s="19"/>
      <c r="J22" s="11" t="s">
        <v>48</v>
      </c>
      <c r="K22" s="19" t="s">
        <v>172</v>
      </c>
      <c r="L22" s="11" t="s">
        <v>172</v>
      </c>
      <c r="M22" s="19"/>
      <c r="N22" s="11" t="s">
        <v>100</v>
      </c>
      <c r="O22" s="11" t="s">
        <v>129</v>
      </c>
      <c r="P22" s="11" t="s">
        <v>230</v>
      </c>
      <c r="Q22" s="19"/>
      <c r="R22" s="20" t="str">
        <f>"415,0"</f>
        <v>415,0</v>
      </c>
      <c r="S22" s="21" t="str">
        <f>"262,4460"</f>
        <v>262,4460</v>
      </c>
      <c r="T22" s="18"/>
    </row>
    <row r="23" spans="1:20" x14ac:dyDescent="0.2">
      <c r="A23" s="3">
        <v>1</v>
      </c>
      <c r="B23" s="26" t="s">
        <v>217</v>
      </c>
      <c r="C23" s="13" t="s">
        <v>218</v>
      </c>
      <c r="D23" s="13" t="s">
        <v>22</v>
      </c>
      <c r="E23" s="26" t="s">
        <v>469</v>
      </c>
      <c r="F23" s="13" t="s">
        <v>100</v>
      </c>
      <c r="G23" s="27" t="s">
        <v>129</v>
      </c>
      <c r="H23" s="13" t="s">
        <v>129</v>
      </c>
      <c r="I23" s="27"/>
      <c r="J23" s="13" t="s">
        <v>48</v>
      </c>
      <c r="K23" s="13" t="s">
        <v>49</v>
      </c>
      <c r="L23" s="27" t="s">
        <v>76</v>
      </c>
      <c r="M23" s="27"/>
      <c r="N23" s="13" t="s">
        <v>142</v>
      </c>
      <c r="O23" s="27" t="s">
        <v>25</v>
      </c>
      <c r="P23" s="27" t="s">
        <v>144</v>
      </c>
      <c r="Q23" s="27"/>
      <c r="R23" s="28" t="str">
        <f>"490,0"</f>
        <v>490,0</v>
      </c>
      <c r="S23" s="29" t="str">
        <f>"315,6580"</f>
        <v>315,6580</v>
      </c>
      <c r="T23" s="26"/>
    </row>
    <row r="24" spans="1:20" x14ac:dyDescent="0.2">
      <c r="A24" s="3">
        <v>1</v>
      </c>
      <c r="B24" s="26" t="s">
        <v>492</v>
      </c>
      <c r="C24" s="13" t="s">
        <v>226</v>
      </c>
      <c r="D24" s="13" t="s">
        <v>227</v>
      </c>
      <c r="E24" s="26" t="s">
        <v>471</v>
      </c>
      <c r="F24" s="13" t="s">
        <v>49</v>
      </c>
      <c r="G24" s="13" t="s">
        <v>76</v>
      </c>
      <c r="H24" s="27" t="s">
        <v>82</v>
      </c>
      <c r="I24" s="27"/>
      <c r="J24" s="27" t="s">
        <v>288</v>
      </c>
      <c r="K24" s="13" t="s">
        <v>288</v>
      </c>
      <c r="L24" s="13" t="s">
        <v>317</v>
      </c>
      <c r="M24" s="27"/>
      <c r="N24" s="13" t="s">
        <v>89</v>
      </c>
      <c r="O24" s="13" t="s">
        <v>39</v>
      </c>
      <c r="P24" s="27"/>
      <c r="Q24" s="27"/>
      <c r="R24" s="28" t="str">
        <f>"360,0"</f>
        <v>360,0</v>
      </c>
      <c r="S24" s="29" t="str">
        <f>"479,3126"</f>
        <v>479,3126</v>
      </c>
      <c r="T24" s="26"/>
    </row>
    <row r="25" spans="1:20" x14ac:dyDescent="0.2">
      <c r="A25" s="3">
        <v>1</v>
      </c>
      <c r="B25" s="22" t="s">
        <v>228</v>
      </c>
      <c r="C25" s="12" t="s">
        <v>229</v>
      </c>
      <c r="D25" s="12" t="s">
        <v>222</v>
      </c>
      <c r="E25" s="22" t="s">
        <v>465</v>
      </c>
      <c r="F25" s="12" t="s">
        <v>136</v>
      </c>
      <c r="G25" s="12" t="s">
        <v>230</v>
      </c>
      <c r="H25" s="12" t="s">
        <v>23</v>
      </c>
      <c r="I25" s="23"/>
      <c r="J25" s="23" t="s">
        <v>317</v>
      </c>
      <c r="K25" s="12" t="s">
        <v>317</v>
      </c>
      <c r="L25" s="12" t="s">
        <v>391</v>
      </c>
      <c r="M25" s="23"/>
      <c r="N25" s="12" t="s">
        <v>230</v>
      </c>
      <c r="O25" s="12" t="s">
        <v>141</v>
      </c>
      <c r="P25" s="12" t="s">
        <v>142</v>
      </c>
      <c r="Q25" s="23"/>
      <c r="R25" s="24" t="str">
        <f>"472,5"</f>
        <v>472,5</v>
      </c>
      <c r="S25" s="25" t="str">
        <f>"611,9815"</f>
        <v>611,9815</v>
      </c>
      <c r="T25" s="22"/>
    </row>
    <row r="26" spans="1:20" ht="15" x14ac:dyDescent="0.2">
      <c r="B26" s="33" t="s">
        <v>92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20" x14ac:dyDescent="0.2">
      <c r="A27" s="3">
        <v>1</v>
      </c>
      <c r="B27" s="18" t="s">
        <v>242</v>
      </c>
      <c r="C27" s="11" t="s">
        <v>244</v>
      </c>
      <c r="D27" s="11" t="s">
        <v>237</v>
      </c>
      <c r="E27" s="18" t="s">
        <v>465</v>
      </c>
      <c r="F27" s="11" t="s">
        <v>23</v>
      </c>
      <c r="G27" s="11" t="s">
        <v>142</v>
      </c>
      <c r="H27" s="11" t="s">
        <v>399</v>
      </c>
      <c r="I27" s="19"/>
      <c r="J27" s="11" t="s">
        <v>103</v>
      </c>
      <c r="K27" s="11" t="s">
        <v>96</v>
      </c>
      <c r="L27" s="11" t="s">
        <v>137</v>
      </c>
      <c r="M27" s="19"/>
      <c r="N27" s="11" t="s">
        <v>230</v>
      </c>
      <c r="O27" s="11" t="s">
        <v>141</v>
      </c>
      <c r="P27" s="11" t="s">
        <v>203</v>
      </c>
      <c r="Q27" s="19"/>
      <c r="R27" s="20" t="str">
        <f>"542,5"</f>
        <v>542,5</v>
      </c>
      <c r="S27" s="21" t="str">
        <f>"319,0443"</f>
        <v>319,0443</v>
      </c>
      <c r="T27" s="18"/>
    </row>
    <row r="28" spans="1:20" x14ac:dyDescent="0.2">
      <c r="A28" s="3">
        <v>2</v>
      </c>
      <c r="B28" s="26" t="s">
        <v>400</v>
      </c>
      <c r="C28" s="13" t="s">
        <v>401</v>
      </c>
      <c r="D28" s="13" t="s">
        <v>330</v>
      </c>
      <c r="E28" s="26" t="s">
        <v>465</v>
      </c>
      <c r="F28" s="13" t="s">
        <v>23</v>
      </c>
      <c r="G28" s="27" t="s">
        <v>24</v>
      </c>
      <c r="H28" s="27" t="s">
        <v>30</v>
      </c>
      <c r="I28" s="27"/>
      <c r="J28" s="13" t="s">
        <v>85</v>
      </c>
      <c r="K28" s="27" t="s">
        <v>82</v>
      </c>
      <c r="L28" s="27" t="s">
        <v>82</v>
      </c>
      <c r="M28" s="27"/>
      <c r="N28" s="13" t="s">
        <v>39</v>
      </c>
      <c r="O28" s="27" t="s">
        <v>462</v>
      </c>
      <c r="P28" s="27" t="s">
        <v>462</v>
      </c>
      <c r="Q28" s="27"/>
      <c r="R28" s="28" t="str">
        <f>"475,0"</f>
        <v>475,0</v>
      </c>
      <c r="S28" s="29" t="str">
        <f>"281,1050"</f>
        <v>281,1050</v>
      </c>
      <c r="T28" s="26" t="s">
        <v>72</v>
      </c>
    </row>
    <row r="29" spans="1:20" x14ac:dyDescent="0.2">
      <c r="A29" s="3">
        <v>1</v>
      </c>
      <c r="B29" s="22" t="s">
        <v>336</v>
      </c>
      <c r="C29" s="12" t="s">
        <v>337</v>
      </c>
      <c r="D29" s="12" t="s">
        <v>241</v>
      </c>
      <c r="E29" s="22" t="s">
        <v>472</v>
      </c>
      <c r="F29" s="12" t="s">
        <v>123</v>
      </c>
      <c r="G29" s="12" t="s">
        <v>100</v>
      </c>
      <c r="H29" s="23" t="s">
        <v>129</v>
      </c>
      <c r="I29" s="23"/>
      <c r="J29" s="12" t="s">
        <v>48</v>
      </c>
      <c r="K29" s="12" t="s">
        <v>172</v>
      </c>
      <c r="L29" s="12" t="s">
        <v>178</v>
      </c>
      <c r="M29" s="23"/>
      <c r="N29" s="12" t="s">
        <v>89</v>
      </c>
      <c r="O29" s="12" t="s">
        <v>39</v>
      </c>
      <c r="P29" s="23" t="s">
        <v>462</v>
      </c>
      <c r="Q29" s="23"/>
      <c r="R29" s="24" t="str">
        <f>"437,5"</f>
        <v>437,5</v>
      </c>
      <c r="S29" s="25" t="str">
        <f>"485,2380"</f>
        <v>485,2380</v>
      </c>
      <c r="T29" s="22"/>
    </row>
    <row r="30" spans="1:20" ht="15" x14ac:dyDescent="0.2">
      <c r="B30" s="33" t="s">
        <v>26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20" x14ac:dyDescent="0.2">
      <c r="A31" s="3">
        <v>1</v>
      </c>
      <c r="B31" s="18" t="s">
        <v>402</v>
      </c>
      <c r="C31" s="11" t="s">
        <v>403</v>
      </c>
      <c r="D31" s="11" t="s">
        <v>252</v>
      </c>
      <c r="E31" s="18" t="s">
        <v>465</v>
      </c>
      <c r="F31" s="11" t="s">
        <v>144</v>
      </c>
      <c r="G31" s="11" t="s">
        <v>63</v>
      </c>
      <c r="H31" s="19" t="s">
        <v>19</v>
      </c>
      <c r="I31" s="19"/>
      <c r="J31" s="11" t="s">
        <v>13</v>
      </c>
      <c r="K31" s="11" t="s">
        <v>89</v>
      </c>
      <c r="L31" s="19" t="s">
        <v>123</v>
      </c>
      <c r="M31" s="19"/>
      <c r="N31" s="11" t="s">
        <v>114</v>
      </c>
      <c r="O31" s="11" t="s">
        <v>127</v>
      </c>
      <c r="P31" s="19" t="s">
        <v>404</v>
      </c>
      <c r="Q31" s="19"/>
      <c r="R31" s="20" t="str">
        <f>"650,0"</f>
        <v>650,0</v>
      </c>
      <c r="S31" s="21" t="str">
        <f>"365,9500"</f>
        <v>365,9500</v>
      </c>
      <c r="T31" s="18" t="s">
        <v>124</v>
      </c>
    </row>
    <row r="32" spans="1:20" x14ac:dyDescent="0.2">
      <c r="A32" s="3">
        <v>2</v>
      </c>
      <c r="B32" s="26" t="s">
        <v>405</v>
      </c>
      <c r="C32" s="13" t="s">
        <v>406</v>
      </c>
      <c r="D32" s="13" t="s">
        <v>407</v>
      </c>
      <c r="E32" s="26" t="s">
        <v>465</v>
      </c>
      <c r="F32" s="13" t="s">
        <v>144</v>
      </c>
      <c r="G32" s="13" t="s">
        <v>145</v>
      </c>
      <c r="H32" s="13" t="s">
        <v>19</v>
      </c>
      <c r="I32" s="27"/>
      <c r="J32" s="13" t="s">
        <v>89</v>
      </c>
      <c r="K32" s="13" t="s">
        <v>323</v>
      </c>
      <c r="L32" s="13" t="s">
        <v>253</v>
      </c>
      <c r="M32" s="27"/>
      <c r="N32" s="13" t="s">
        <v>63</v>
      </c>
      <c r="O32" s="13" t="s">
        <v>408</v>
      </c>
      <c r="P32" s="27" t="s">
        <v>20</v>
      </c>
      <c r="Q32" s="27"/>
      <c r="R32" s="28" t="str">
        <f>"650,0"</f>
        <v>650,0</v>
      </c>
      <c r="S32" s="29" t="str">
        <f>"365,4300"</f>
        <v>365,4300</v>
      </c>
      <c r="T32" s="26"/>
    </row>
    <row r="33" spans="1:20" x14ac:dyDescent="0.2">
      <c r="A33" s="3">
        <v>3</v>
      </c>
      <c r="B33" s="26" t="s">
        <v>409</v>
      </c>
      <c r="C33" s="13" t="s">
        <v>410</v>
      </c>
      <c r="D33" s="13" t="s">
        <v>411</v>
      </c>
      <c r="E33" s="26" t="s">
        <v>465</v>
      </c>
      <c r="F33" s="13" t="s">
        <v>30</v>
      </c>
      <c r="G33" s="13" t="s">
        <v>144</v>
      </c>
      <c r="H33" s="13" t="s">
        <v>145</v>
      </c>
      <c r="I33" s="27"/>
      <c r="J33" s="13" t="s">
        <v>100</v>
      </c>
      <c r="K33" s="27" t="s">
        <v>129</v>
      </c>
      <c r="L33" s="13" t="s">
        <v>129</v>
      </c>
      <c r="M33" s="27"/>
      <c r="N33" s="13" t="s">
        <v>30</v>
      </c>
      <c r="O33" s="13" t="s">
        <v>199</v>
      </c>
      <c r="P33" s="27" t="s">
        <v>19</v>
      </c>
      <c r="Q33" s="27"/>
      <c r="R33" s="28" t="str">
        <f>"637,5"</f>
        <v>637,5</v>
      </c>
      <c r="S33" s="29" t="str">
        <f>"367,7100"</f>
        <v>367,7100</v>
      </c>
      <c r="T33" s="26" t="s">
        <v>412</v>
      </c>
    </row>
    <row r="34" spans="1:20" x14ac:dyDescent="0.2">
      <c r="A34" s="3">
        <v>4</v>
      </c>
      <c r="B34" s="26" t="s">
        <v>344</v>
      </c>
      <c r="C34" s="13" t="s">
        <v>345</v>
      </c>
      <c r="D34" s="13" t="s">
        <v>346</v>
      </c>
      <c r="E34" s="26" t="s">
        <v>465</v>
      </c>
      <c r="F34" s="13" t="s">
        <v>30</v>
      </c>
      <c r="G34" s="13" t="s">
        <v>144</v>
      </c>
      <c r="H34" s="13" t="s">
        <v>145</v>
      </c>
      <c r="I34" s="27"/>
      <c r="J34" s="13" t="s">
        <v>14</v>
      </c>
      <c r="K34" s="13" t="s">
        <v>123</v>
      </c>
      <c r="L34" s="27" t="s">
        <v>253</v>
      </c>
      <c r="M34" s="27"/>
      <c r="N34" s="13" t="s">
        <v>24</v>
      </c>
      <c r="O34" s="13" t="s">
        <v>25</v>
      </c>
      <c r="P34" s="13" t="s">
        <v>18</v>
      </c>
      <c r="Q34" s="27"/>
      <c r="R34" s="28" t="str">
        <f>"610,0"</f>
        <v>610,0</v>
      </c>
      <c r="S34" s="29" t="str">
        <f>"340,5630"</f>
        <v>340,5630</v>
      </c>
      <c r="T34" s="26" t="s">
        <v>340</v>
      </c>
    </row>
    <row r="35" spans="1:20" x14ac:dyDescent="0.2">
      <c r="B35" s="22" t="s">
        <v>491</v>
      </c>
      <c r="C35" s="12" t="s">
        <v>413</v>
      </c>
      <c r="D35" s="12" t="s">
        <v>348</v>
      </c>
      <c r="E35" s="22" t="s">
        <v>473</v>
      </c>
      <c r="F35" s="23" t="s">
        <v>114</v>
      </c>
      <c r="G35" s="12" t="s">
        <v>114</v>
      </c>
      <c r="H35" s="23" t="s">
        <v>462</v>
      </c>
      <c r="I35" s="23"/>
      <c r="J35" s="23" t="s">
        <v>23</v>
      </c>
      <c r="K35" s="23" t="s">
        <v>23</v>
      </c>
      <c r="L35" s="23" t="s">
        <v>23</v>
      </c>
      <c r="M35" s="23"/>
      <c r="N35" s="23" t="s">
        <v>114</v>
      </c>
      <c r="O35" s="23" t="s">
        <v>462</v>
      </c>
      <c r="P35" s="23" t="s">
        <v>462</v>
      </c>
      <c r="Q35" s="23"/>
      <c r="R35" s="24" t="s">
        <v>462</v>
      </c>
      <c r="S35" s="25" t="s">
        <v>462</v>
      </c>
      <c r="T35" s="22"/>
    </row>
  </sheetData>
  <mergeCells count="20">
    <mergeCell ref="B26:Q26"/>
    <mergeCell ref="B30:Q30"/>
    <mergeCell ref="B7:Q7"/>
    <mergeCell ref="B12:Q12"/>
    <mergeCell ref="B14:Q14"/>
    <mergeCell ref="B16:Q16"/>
    <mergeCell ref="B19:Q19"/>
    <mergeCell ref="B21:Q21"/>
    <mergeCell ref="R3:R4"/>
    <mergeCell ref="S3:S4"/>
    <mergeCell ref="T3:T4"/>
    <mergeCell ref="B5:Q5"/>
    <mergeCell ref="B1:T2"/>
    <mergeCell ref="B3:B4"/>
    <mergeCell ref="C3:C4"/>
    <mergeCell ref="D3:D4"/>
    <mergeCell ref="E3:E4"/>
    <mergeCell ref="F3:I3"/>
    <mergeCell ref="J3:M3"/>
    <mergeCell ref="N3:Q3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7"/>
  <sheetViews>
    <sheetView workbookViewId="0">
      <selection activeCell="A2" sqref="A2"/>
    </sheetView>
  </sheetViews>
  <sheetFormatPr defaultRowHeight="12.75" x14ac:dyDescent="0.2"/>
  <cols>
    <col min="1" max="1" width="9.140625" style="3"/>
    <col min="2" max="2" width="27" style="4" bestFit="1" customWidth="1"/>
    <col min="3" max="3" width="26" style="5" bestFit="1" customWidth="1"/>
    <col min="4" max="4" width="7.7109375" style="5" bestFit="1" customWidth="1"/>
    <col min="5" max="5" width="14.5703125" style="4" bestFit="1" customWidth="1"/>
    <col min="6" max="8" width="5.5703125" style="5" customWidth="1"/>
    <col min="9" max="9" width="5" style="5" customWidth="1"/>
    <col min="10" max="12" width="5.5703125" style="5" customWidth="1"/>
    <col min="13" max="13" width="5" style="5" customWidth="1"/>
    <col min="14" max="16" width="5.5703125" style="5" customWidth="1"/>
    <col min="17" max="17" width="5" style="5" customWidth="1"/>
    <col min="18" max="18" width="6.5703125" style="14" bestFit="1" customWidth="1"/>
    <col min="19" max="19" width="8.5703125" style="15" bestFit="1" customWidth="1"/>
    <col min="20" max="20" width="17.28515625" style="4" bestFit="1" customWidth="1"/>
    <col min="21" max="16384" width="9.140625" style="3"/>
  </cols>
  <sheetData>
    <row r="1" spans="1:20" s="2" customFormat="1" ht="29.1" customHeight="1" x14ac:dyDescent="0.2">
      <c r="B1" s="50" t="s">
        <v>452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</row>
    <row r="2" spans="1:20" s="2" customFormat="1" ht="62.1" customHeight="1" thickBo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5"/>
    </row>
    <row r="3" spans="1:20" s="1" customFormat="1" ht="12.75" customHeight="1" x14ac:dyDescent="0.2">
      <c r="B3" s="35" t="s">
        <v>0</v>
      </c>
      <c r="C3" s="37" t="s">
        <v>6</v>
      </c>
      <c r="D3" s="37" t="s">
        <v>4</v>
      </c>
      <c r="E3" s="39" t="s">
        <v>7</v>
      </c>
      <c r="F3" s="39" t="s">
        <v>117</v>
      </c>
      <c r="G3" s="39"/>
      <c r="H3" s="39"/>
      <c r="I3" s="39"/>
      <c r="J3" s="39" t="s">
        <v>71</v>
      </c>
      <c r="K3" s="39"/>
      <c r="L3" s="39"/>
      <c r="M3" s="39"/>
      <c r="N3" s="39" t="s">
        <v>8</v>
      </c>
      <c r="O3" s="39"/>
      <c r="P3" s="39"/>
      <c r="Q3" s="39"/>
      <c r="R3" s="39" t="s">
        <v>5</v>
      </c>
      <c r="S3" s="39" t="s">
        <v>2</v>
      </c>
      <c r="T3" s="40" t="s">
        <v>1</v>
      </c>
    </row>
    <row r="4" spans="1:20" s="1" customFormat="1" ht="23.25" customHeight="1" thickBot="1" x14ac:dyDescent="0.25">
      <c r="A4" s="1" t="s">
        <v>489</v>
      </c>
      <c r="B4" s="36"/>
      <c r="C4" s="38"/>
      <c r="D4" s="38"/>
      <c r="E4" s="38"/>
      <c r="F4" s="6">
        <v>1</v>
      </c>
      <c r="G4" s="6">
        <v>2</v>
      </c>
      <c r="H4" s="6">
        <v>3</v>
      </c>
      <c r="I4" s="6" t="s">
        <v>3</v>
      </c>
      <c r="J4" s="6">
        <v>1</v>
      </c>
      <c r="K4" s="6">
        <v>2</v>
      </c>
      <c r="L4" s="6">
        <v>3</v>
      </c>
      <c r="M4" s="6" t="s">
        <v>3</v>
      </c>
      <c r="N4" s="6">
        <v>1</v>
      </c>
      <c r="O4" s="6">
        <v>2</v>
      </c>
      <c r="P4" s="6">
        <v>3</v>
      </c>
      <c r="Q4" s="6" t="s">
        <v>3</v>
      </c>
      <c r="R4" s="38"/>
      <c r="S4" s="38"/>
      <c r="T4" s="41"/>
    </row>
    <row r="5" spans="1:20" s="5" customFormat="1" ht="15" x14ac:dyDescent="0.2">
      <c r="B5" s="31" t="s">
        <v>64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4"/>
      <c r="S5" s="15"/>
      <c r="T5" s="4"/>
    </row>
    <row r="6" spans="1:20" s="5" customFormat="1" x14ac:dyDescent="0.2">
      <c r="A6" s="5" t="s">
        <v>486</v>
      </c>
      <c r="B6" s="8" t="s">
        <v>65</v>
      </c>
      <c r="C6" s="9" t="s">
        <v>66</v>
      </c>
      <c r="D6" s="9" t="s">
        <v>67</v>
      </c>
      <c r="E6" s="8" t="s">
        <v>474</v>
      </c>
      <c r="F6" s="9" t="s">
        <v>152</v>
      </c>
      <c r="G6" s="9" t="s">
        <v>149</v>
      </c>
      <c r="H6" s="10" t="s">
        <v>154</v>
      </c>
      <c r="I6" s="10"/>
      <c r="J6" s="9" t="s">
        <v>114</v>
      </c>
      <c r="K6" s="9" t="s">
        <v>115</v>
      </c>
      <c r="L6" s="9" t="s">
        <v>116</v>
      </c>
      <c r="M6" s="10"/>
      <c r="N6" s="9" t="s">
        <v>68</v>
      </c>
      <c r="O6" s="9" t="s">
        <v>69</v>
      </c>
      <c r="P6" s="10" t="s">
        <v>70</v>
      </c>
      <c r="Q6" s="10"/>
      <c r="R6" s="16" t="str">
        <f>"1000,0"</f>
        <v>1000,0</v>
      </c>
      <c r="S6" s="17" t="str">
        <f>"531,4000"</f>
        <v>531,4000</v>
      </c>
      <c r="T6" s="8" t="s">
        <v>31</v>
      </c>
    </row>
    <row r="7" spans="1:20" s="5" customFormat="1" x14ac:dyDescent="0.2">
      <c r="B7" s="4"/>
      <c r="E7" s="4"/>
      <c r="R7" s="14"/>
      <c r="S7" s="15"/>
      <c r="T7" s="4"/>
    </row>
  </sheetData>
  <mergeCells count="12">
    <mergeCell ref="R3:R4"/>
    <mergeCell ref="S3:S4"/>
    <mergeCell ref="T3:T4"/>
    <mergeCell ref="B5:Q5"/>
    <mergeCell ref="B1:T2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17"/>
  <sheetViews>
    <sheetView workbookViewId="0">
      <selection activeCell="A2" sqref="A2"/>
    </sheetView>
  </sheetViews>
  <sheetFormatPr defaultRowHeight="12.75" x14ac:dyDescent="0.2"/>
  <cols>
    <col min="1" max="1" width="9.140625" style="3"/>
    <col min="2" max="2" width="27" style="4" bestFit="1" customWidth="1"/>
    <col min="3" max="3" width="26.85546875" style="5" bestFit="1" customWidth="1"/>
    <col min="4" max="4" width="7.7109375" style="5" bestFit="1" customWidth="1"/>
    <col min="5" max="5" width="14.5703125" style="4" bestFit="1" customWidth="1"/>
    <col min="6" max="8" width="5.5703125" style="5" customWidth="1"/>
    <col min="9" max="9" width="5" style="5" customWidth="1"/>
    <col min="10" max="12" width="5.5703125" style="5" customWidth="1"/>
    <col min="13" max="13" width="5" style="5" customWidth="1"/>
    <col min="14" max="16" width="5.5703125" style="5" customWidth="1"/>
    <col min="17" max="17" width="5" style="5" customWidth="1"/>
    <col min="18" max="18" width="6.140625" style="14" bestFit="1" customWidth="1"/>
    <col min="19" max="19" width="8.5703125" style="15" bestFit="1" customWidth="1"/>
    <col min="20" max="20" width="18.140625" style="4" bestFit="1" customWidth="1"/>
    <col min="21" max="16384" width="9.140625" style="3"/>
  </cols>
  <sheetData>
    <row r="1" spans="1:20" s="2" customFormat="1" ht="29.1" customHeight="1" x14ac:dyDescent="0.2">
      <c r="B1" s="50" t="s">
        <v>451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</row>
    <row r="2" spans="1:20" s="2" customFormat="1" ht="62.1" customHeight="1" thickBo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5"/>
    </row>
    <row r="3" spans="1:20" s="1" customFormat="1" ht="12.75" customHeight="1" x14ac:dyDescent="0.2">
      <c r="B3" s="35" t="s">
        <v>0</v>
      </c>
      <c r="C3" s="37" t="s">
        <v>6</v>
      </c>
      <c r="D3" s="37" t="s">
        <v>4</v>
      </c>
      <c r="E3" s="39" t="s">
        <v>7</v>
      </c>
      <c r="F3" s="39" t="s">
        <v>117</v>
      </c>
      <c r="G3" s="39"/>
      <c r="H3" s="39"/>
      <c r="I3" s="39"/>
      <c r="J3" s="39" t="s">
        <v>71</v>
      </c>
      <c r="K3" s="39"/>
      <c r="L3" s="39"/>
      <c r="M3" s="39"/>
      <c r="N3" s="39" t="s">
        <v>8</v>
      </c>
      <c r="O3" s="39"/>
      <c r="P3" s="39"/>
      <c r="Q3" s="39"/>
      <c r="R3" s="39" t="s">
        <v>5</v>
      </c>
      <c r="S3" s="39" t="s">
        <v>2</v>
      </c>
      <c r="T3" s="40" t="s">
        <v>1</v>
      </c>
    </row>
    <row r="4" spans="1:20" s="1" customFormat="1" ht="23.25" customHeight="1" thickBot="1" x14ac:dyDescent="0.25">
      <c r="A4" s="1" t="s">
        <v>489</v>
      </c>
      <c r="B4" s="36"/>
      <c r="C4" s="38"/>
      <c r="D4" s="38"/>
      <c r="E4" s="38"/>
      <c r="F4" s="6">
        <v>1</v>
      </c>
      <c r="G4" s="6">
        <v>2</v>
      </c>
      <c r="H4" s="6">
        <v>3</v>
      </c>
      <c r="I4" s="6" t="s">
        <v>3</v>
      </c>
      <c r="J4" s="6">
        <v>1</v>
      </c>
      <c r="K4" s="6">
        <v>2</v>
      </c>
      <c r="L4" s="6">
        <v>3</v>
      </c>
      <c r="M4" s="6" t="s">
        <v>3</v>
      </c>
      <c r="N4" s="6">
        <v>1</v>
      </c>
      <c r="O4" s="6">
        <v>2</v>
      </c>
      <c r="P4" s="6">
        <v>3</v>
      </c>
      <c r="Q4" s="6" t="s">
        <v>3</v>
      </c>
      <c r="R4" s="38"/>
      <c r="S4" s="38"/>
      <c r="T4" s="41"/>
    </row>
    <row r="5" spans="1:20" s="5" customFormat="1" ht="15" x14ac:dyDescent="0.2">
      <c r="B5" s="31" t="s">
        <v>15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4"/>
      <c r="S5" s="15"/>
      <c r="T5" s="4"/>
    </row>
    <row r="6" spans="1:20" s="5" customFormat="1" x14ac:dyDescent="0.2">
      <c r="A6" s="5" t="s">
        <v>486</v>
      </c>
      <c r="B6" s="18" t="s">
        <v>493</v>
      </c>
      <c r="C6" s="11" t="s">
        <v>118</v>
      </c>
      <c r="D6" s="11" t="s">
        <v>119</v>
      </c>
      <c r="E6" s="18" t="s">
        <v>465</v>
      </c>
      <c r="F6" s="11" t="s">
        <v>13</v>
      </c>
      <c r="G6" s="11" t="s">
        <v>89</v>
      </c>
      <c r="H6" s="11" t="s">
        <v>39</v>
      </c>
      <c r="I6" s="19"/>
      <c r="J6" s="19" t="s">
        <v>120</v>
      </c>
      <c r="K6" s="11" t="s">
        <v>121</v>
      </c>
      <c r="L6" s="19" t="s">
        <v>122</v>
      </c>
      <c r="M6" s="19"/>
      <c r="N6" s="11" t="s">
        <v>13</v>
      </c>
      <c r="O6" s="11" t="s">
        <v>123</v>
      </c>
      <c r="P6" s="19" t="s">
        <v>90</v>
      </c>
      <c r="Q6" s="19"/>
      <c r="R6" s="20" t="str">
        <f>"410,0"</f>
        <v>410,0</v>
      </c>
      <c r="S6" s="21" t="str">
        <f>"266,9510"</f>
        <v>266,9510</v>
      </c>
      <c r="T6" s="18" t="s">
        <v>124</v>
      </c>
    </row>
    <row r="7" spans="1:20" s="5" customFormat="1" x14ac:dyDescent="0.2">
      <c r="A7" s="5" t="s">
        <v>486</v>
      </c>
      <c r="B7" s="22" t="s">
        <v>494</v>
      </c>
      <c r="C7" s="12" t="s">
        <v>125</v>
      </c>
      <c r="D7" s="12" t="s">
        <v>126</v>
      </c>
      <c r="E7" s="22" t="s">
        <v>467</v>
      </c>
      <c r="F7" s="12" t="s">
        <v>114</v>
      </c>
      <c r="G7" s="12" t="s">
        <v>127</v>
      </c>
      <c r="H7" s="12" t="s">
        <v>128</v>
      </c>
      <c r="I7" s="23"/>
      <c r="J7" s="12" t="s">
        <v>100</v>
      </c>
      <c r="K7" s="12" t="s">
        <v>129</v>
      </c>
      <c r="L7" s="23" t="s">
        <v>23</v>
      </c>
      <c r="M7" s="23"/>
      <c r="N7" s="12" t="s">
        <v>130</v>
      </c>
      <c r="O7" s="23" t="s">
        <v>131</v>
      </c>
      <c r="P7" s="23" t="s">
        <v>131</v>
      </c>
      <c r="Q7" s="23"/>
      <c r="R7" s="24" t="str">
        <f>"715,0"</f>
        <v>715,0</v>
      </c>
      <c r="S7" s="25" t="str">
        <f>"445,0160"</f>
        <v>445,0160</v>
      </c>
      <c r="T7" s="22"/>
    </row>
    <row r="8" spans="1:20" ht="15" x14ac:dyDescent="0.2">
      <c r="B8" s="33" t="s">
        <v>26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20" x14ac:dyDescent="0.2">
      <c r="A9" s="3">
        <v>1</v>
      </c>
      <c r="B9" s="18" t="s">
        <v>495</v>
      </c>
      <c r="C9" s="11" t="s">
        <v>132</v>
      </c>
      <c r="D9" s="11" t="s">
        <v>133</v>
      </c>
      <c r="E9" s="18" t="s">
        <v>465</v>
      </c>
      <c r="F9" s="11" t="s">
        <v>82</v>
      </c>
      <c r="G9" s="11" t="s">
        <v>13</v>
      </c>
      <c r="H9" s="11" t="s">
        <v>89</v>
      </c>
      <c r="I9" s="19"/>
      <c r="J9" s="11" t="s">
        <v>48</v>
      </c>
      <c r="K9" s="11" t="s">
        <v>49</v>
      </c>
      <c r="L9" s="19" t="s">
        <v>50</v>
      </c>
      <c r="M9" s="19"/>
      <c r="N9" s="11" t="s">
        <v>82</v>
      </c>
      <c r="O9" s="19" t="s">
        <v>14</v>
      </c>
      <c r="P9" s="11" t="s">
        <v>14</v>
      </c>
      <c r="Q9" s="19"/>
      <c r="R9" s="20" t="str">
        <f>"405,0"</f>
        <v>405,0</v>
      </c>
      <c r="S9" s="21" t="str">
        <f>"233,8875"</f>
        <v>233,8875</v>
      </c>
      <c r="T9" s="18" t="s">
        <v>124</v>
      </c>
    </row>
    <row r="10" spans="1:20" x14ac:dyDescent="0.2">
      <c r="A10" s="3">
        <v>1</v>
      </c>
      <c r="B10" s="26" t="s">
        <v>496</v>
      </c>
      <c r="C10" s="13" t="s">
        <v>134</v>
      </c>
      <c r="D10" s="13" t="s">
        <v>135</v>
      </c>
      <c r="E10" s="26" t="s">
        <v>465</v>
      </c>
      <c r="F10" s="13" t="s">
        <v>39</v>
      </c>
      <c r="G10" s="13" t="s">
        <v>136</v>
      </c>
      <c r="H10" s="13" t="s">
        <v>23</v>
      </c>
      <c r="I10" s="27"/>
      <c r="J10" s="13" t="s">
        <v>76</v>
      </c>
      <c r="K10" s="13" t="s">
        <v>12</v>
      </c>
      <c r="L10" s="27" t="s">
        <v>13</v>
      </c>
      <c r="M10" s="27"/>
      <c r="N10" s="13" t="s">
        <v>39</v>
      </c>
      <c r="O10" s="13" t="s">
        <v>129</v>
      </c>
      <c r="P10" s="13" t="s">
        <v>23</v>
      </c>
      <c r="Q10" s="27"/>
      <c r="R10" s="28" t="str">
        <f>"515,0"</f>
        <v>515,0</v>
      </c>
      <c r="S10" s="29" t="str">
        <f>"286,4945"</f>
        <v>286,4945</v>
      </c>
      <c r="T10" s="26" t="s">
        <v>124</v>
      </c>
    </row>
    <row r="11" spans="1:20" x14ac:dyDescent="0.2">
      <c r="A11" s="3">
        <v>1</v>
      </c>
      <c r="B11" s="22" t="s">
        <v>497</v>
      </c>
      <c r="C11" s="12" t="s">
        <v>37</v>
      </c>
      <c r="D11" s="12" t="s">
        <v>38</v>
      </c>
      <c r="E11" s="22" t="s">
        <v>465</v>
      </c>
      <c r="F11" s="23" t="s">
        <v>137</v>
      </c>
      <c r="G11" s="12" t="s">
        <v>137</v>
      </c>
      <c r="H11" s="12" t="s">
        <v>13</v>
      </c>
      <c r="I11" s="23"/>
      <c r="J11" s="12" t="s">
        <v>102</v>
      </c>
      <c r="K11" s="12" t="s">
        <v>75</v>
      </c>
      <c r="L11" s="12" t="s">
        <v>103</v>
      </c>
      <c r="M11" s="23"/>
      <c r="N11" s="12" t="s">
        <v>39</v>
      </c>
      <c r="O11" s="12" t="s">
        <v>138</v>
      </c>
      <c r="P11" s="23" t="s">
        <v>41</v>
      </c>
      <c r="Q11" s="23"/>
      <c r="R11" s="24" t="str">
        <f>"427,5"</f>
        <v>427,5</v>
      </c>
      <c r="S11" s="25" t="str">
        <f>"493,7728"</f>
        <v>493,7728</v>
      </c>
      <c r="T11" s="22" t="s">
        <v>42</v>
      </c>
    </row>
    <row r="12" spans="1:20" ht="15" x14ac:dyDescent="0.2">
      <c r="B12" s="33" t="s">
        <v>60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20" x14ac:dyDescent="0.2">
      <c r="A13" s="3">
        <v>1</v>
      </c>
      <c r="B13" s="18" t="s">
        <v>498</v>
      </c>
      <c r="C13" s="11" t="s">
        <v>139</v>
      </c>
      <c r="D13" s="11" t="s">
        <v>140</v>
      </c>
      <c r="E13" s="18" t="s">
        <v>465</v>
      </c>
      <c r="F13" s="11" t="s">
        <v>129</v>
      </c>
      <c r="G13" s="11" t="s">
        <v>141</v>
      </c>
      <c r="H13" s="11" t="s">
        <v>24</v>
      </c>
      <c r="I13" s="19"/>
      <c r="J13" s="11" t="s">
        <v>14</v>
      </c>
      <c r="K13" s="11" t="s">
        <v>123</v>
      </c>
      <c r="L13" s="19" t="s">
        <v>39</v>
      </c>
      <c r="M13" s="19"/>
      <c r="N13" s="11" t="s">
        <v>100</v>
      </c>
      <c r="O13" s="11" t="s">
        <v>23</v>
      </c>
      <c r="P13" s="19" t="s">
        <v>142</v>
      </c>
      <c r="Q13" s="19"/>
      <c r="R13" s="20" t="str">
        <f>"550,0"</f>
        <v>550,0</v>
      </c>
      <c r="S13" s="21" t="str">
        <f>"298,0450"</f>
        <v>298,0450</v>
      </c>
      <c r="T13" s="18" t="s">
        <v>124</v>
      </c>
    </row>
    <row r="14" spans="1:20" x14ac:dyDescent="0.2">
      <c r="A14" s="3">
        <v>1</v>
      </c>
      <c r="B14" s="26" t="s">
        <v>499</v>
      </c>
      <c r="C14" s="13" t="s">
        <v>143</v>
      </c>
      <c r="D14" s="13" t="s">
        <v>62</v>
      </c>
      <c r="E14" s="26" t="s">
        <v>469</v>
      </c>
      <c r="F14" s="13" t="s">
        <v>144</v>
      </c>
      <c r="G14" s="13" t="s">
        <v>18</v>
      </c>
      <c r="H14" s="13" t="s">
        <v>145</v>
      </c>
      <c r="I14" s="27"/>
      <c r="J14" s="13" t="s">
        <v>14</v>
      </c>
      <c r="K14" s="13" t="s">
        <v>89</v>
      </c>
      <c r="L14" s="13" t="s">
        <v>123</v>
      </c>
      <c r="M14" s="27"/>
      <c r="N14" s="13" t="s">
        <v>144</v>
      </c>
      <c r="O14" s="13" t="s">
        <v>18</v>
      </c>
      <c r="P14" s="13" t="s">
        <v>146</v>
      </c>
      <c r="Q14" s="27"/>
      <c r="R14" s="28" t="str">
        <f>"617,5"</f>
        <v>617,5</v>
      </c>
      <c r="S14" s="29" t="str">
        <f>"332,2150"</f>
        <v>332,2150</v>
      </c>
      <c r="T14" s="26"/>
    </row>
    <row r="15" spans="1:20" x14ac:dyDescent="0.2">
      <c r="A15" s="3">
        <v>1</v>
      </c>
      <c r="B15" s="22" t="s">
        <v>499</v>
      </c>
      <c r="C15" s="12" t="s">
        <v>61</v>
      </c>
      <c r="D15" s="12" t="s">
        <v>62</v>
      </c>
      <c r="E15" s="22" t="s">
        <v>469</v>
      </c>
      <c r="F15" s="12" t="s">
        <v>144</v>
      </c>
      <c r="G15" s="12" t="s">
        <v>18</v>
      </c>
      <c r="H15" s="12" t="s">
        <v>145</v>
      </c>
      <c r="I15" s="23"/>
      <c r="J15" s="12" t="s">
        <v>14</v>
      </c>
      <c r="K15" s="12" t="s">
        <v>89</v>
      </c>
      <c r="L15" s="12" t="s">
        <v>123</v>
      </c>
      <c r="M15" s="23"/>
      <c r="N15" s="12" t="s">
        <v>144</v>
      </c>
      <c r="O15" s="12" t="s">
        <v>18</v>
      </c>
      <c r="P15" s="12" t="s">
        <v>146</v>
      </c>
      <c r="Q15" s="23"/>
      <c r="R15" s="24" t="str">
        <f>"617,5"</f>
        <v>617,5</v>
      </c>
      <c r="S15" s="25" t="str">
        <f>"491,6782"</f>
        <v>491,6782</v>
      </c>
      <c r="T15" s="22"/>
    </row>
    <row r="16" spans="1:20" ht="15" x14ac:dyDescent="0.2">
      <c r="B16" s="33" t="s">
        <v>64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20" x14ac:dyDescent="0.2">
      <c r="A17" s="3">
        <v>1</v>
      </c>
      <c r="B17" s="8" t="s">
        <v>500</v>
      </c>
      <c r="C17" s="9" t="s">
        <v>147</v>
      </c>
      <c r="D17" s="9" t="s">
        <v>148</v>
      </c>
      <c r="E17" s="8" t="s">
        <v>469</v>
      </c>
      <c r="F17" s="9" t="s">
        <v>149</v>
      </c>
      <c r="G17" s="10" t="s">
        <v>150</v>
      </c>
      <c r="H17" s="10" t="s">
        <v>151</v>
      </c>
      <c r="I17" s="10"/>
      <c r="J17" s="9" t="s">
        <v>30</v>
      </c>
      <c r="K17" s="10" t="s">
        <v>144</v>
      </c>
      <c r="L17" s="10" t="s">
        <v>144</v>
      </c>
      <c r="M17" s="10"/>
      <c r="N17" s="9" t="s">
        <v>152</v>
      </c>
      <c r="O17" s="10" t="s">
        <v>153</v>
      </c>
      <c r="P17" s="10" t="s">
        <v>153</v>
      </c>
      <c r="Q17" s="10"/>
      <c r="R17" s="16" t="str">
        <f>"940,0"</f>
        <v>940,0</v>
      </c>
      <c r="S17" s="17" t="str">
        <f>"499,6100"</f>
        <v>499,6100</v>
      </c>
      <c r="T17" s="8"/>
    </row>
  </sheetData>
  <mergeCells count="15">
    <mergeCell ref="B8:Q8"/>
    <mergeCell ref="B12:Q12"/>
    <mergeCell ref="B16:Q16"/>
    <mergeCell ref="R3:R4"/>
    <mergeCell ref="S3:S4"/>
    <mergeCell ref="T3:T4"/>
    <mergeCell ref="B5:Q5"/>
    <mergeCell ref="B1:T2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4"/>
  <sheetViews>
    <sheetView workbookViewId="0">
      <selection activeCell="A3" sqref="A3"/>
    </sheetView>
  </sheetViews>
  <sheetFormatPr defaultRowHeight="12.75" x14ac:dyDescent="0.2"/>
  <cols>
    <col min="1" max="1" width="9.140625" style="3"/>
    <col min="2" max="2" width="27" style="4" bestFit="1" customWidth="1"/>
    <col min="3" max="3" width="26.85546875" style="5" bestFit="1" customWidth="1"/>
    <col min="4" max="4" width="7.7109375" style="5" bestFit="1" customWidth="1"/>
    <col min="5" max="5" width="21.7109375" style="4" bestFit="1" customWidth="1"/>
    <col min="6" max="8" width="5.5703125" style="5" customWidth="1"/>
    <col min="9" max="9" width="5" style="5" customWidth="1"/>
    <col min="10" max="10" width="6.140625" style="14" bestFit="1" customWidth="1"/>
    <col min="11" max="11" width="8.5703125" style="15" bestFit="1" customWidth="1"/>
    <col min="12" max="12" width="17.28515625" style="4" bestFit="1" customWidth="1"/>
    <col min="13" max="16384" width="9.140625" style="3"/>
  </cols>
  <sheetData>
    <row r="1" spans="1:12" s="2" customFormat="1" ht="29.1" customHeight="1" x14ac:dyDescent="0.2">
      <c r="B1" s="50" t="s">
        <v>444</v>
      </c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s="2" customFormat="1" ht="62.1" customHeight="1" thickBo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2" s="1" customFormat="1" ht="12.75" customHeight="1" x14ac:dyDescent="0.2">
      <c r="B3" s="35" t="s">
        <v>0</v>
      </c>
      <c r="C3" s="37" t="s">
        <v>6</v>
      </c>
      <c r="D3" s="37" t="s">
        <v>4</v>
      </c>
      <c r="E3" s="39" t="s">
        <v>7</v>
      </c>
      <c r="F3" s="39" t="s">
        <v>71</v>
      </c>
      <c r="G3" s="39"/>
      <c r="H3" s="39"/>
      <c r="I3" s="39"/>
      <c r="J3" s="39" t="s">
        <v>43</v>
      </c>
      <c r="K3" s="39" t="s">
        <v>2</v>
      </c>
      <c r="L3" s="40" t="s">
        <v>1</v>
      </c>
    </row>
    <row r="4" spans="1:12" s="1" customFormat="1" ht="23.25" customHeight="1" thickBot="1" x14ac:dyDescent="0.25">
      <c r="A4" s="1" t="s">
        <v>489</v>
      </c>
      <c r="B4" s="63"/>
      <c r="C4" s="64"/>
      <c r="D4" s="64"/>
      <c r="E4" s="64"/>
      <c r="F4" s="65">
        <v>1</v>
      </c>
      <c r="G4" s="65">
        <v>2</v>
      </c>
      <c r="H4" s="65">
        <v>3</v>
      </c>
      <c r="I4" s="65" t="s">
        <v>3</v>
      </c>
      <c r="J4" s="38"/>
      <c r="K4" s="38"/>
      <c r="L4" s="41"/>
    </row>
    <row r="5" spans="1:12" s="5" customFormat="1" ht="15" x14ac:dyDescent="0.2">
      <c r="A5" s="9"/>
      <c r="B5" s="47" t="s">
        <v>44</v>
      </c>
      <c r="C5" s="48"/>
      <c r="D5" s="48"/>
      <c r="E5" s="48"/>
      <c r="F5" s="48"/>
      <c r="G5" s="48"/>
      <c r="H5" s="48"/>
      <c r="I5" s="48"/>
      <c r="J5" s="14"/>
      <c r="K5" s="15"/>
      <c r="L5" s="4"/>
    </row>
    <row r="6" spans="1:12" s="5" customFormat="1" x14ac:dyDescent="0.2">
      <c r="A6" s="9" t="s">
        <v>486</v>
      </c>
      <c r="B6" s="8" t="s">
        <v>45</v>
      </c>
      <c r="C6" s="9" t="s">
        <v>52</v>
      </c>
      <c r="D6" s="9" t="s">
        <v>47</v>
      </c>
      <c r="E6" s="8" t="s">
        <v>474</v>
      </c>
      <c r="F6" s="10" t="s">
        <v>12</v>
      </c>
      <c r="G6" s="9" t="s">
        <v>12</v>
      </c>
      <c r="H6" s="9" t="s">
        <v>14</v>
      </c>
      <c r="I6" s="10"/>
      <c r="J6" s="59" t="str">
        <f>"145,0"</f>
        <v>145,0</v>
      </c>
      <c r="K6" s="17" t="str">
        <f>"125,6470"</f>
        <v>125,6470</v>
      </c>
      <c r="L6" s="8"/>
    </row>
    <row r="7" spans="1:12" s="5" customFormat="1" x14ac:dyDescent="0.2">
      <c r="A7" s="9"/>
      <c r="B7" s="8"/>
      <c r="C7" s="9"/>
      <c r="D7" s="9"/>
      <c r="E7" s="8"/>
      <c r="F7" s="9"/>
      <c r="G7" s="9"/>
      <c r="H7" s="9"/>
      <c r="I7" s="9"/>
      <c r="J7" s="14"/>
      <c r="K7" s="15"/>
      <c r="L7" s="4"/>
    </row>
    <row r="8" spans="1:12" ht="15" x14ac:dyDescent="0.2">
      <c r="A8" s="49"/>
      <c r="B8" s="47" t="s">
        <v>26</v>
      </c>
      <c r="C8" s="48"/>
      <c r="D8" s="48"/>
      <c r="E8" s="48"/>
      <c r="F8" s="48"/>
      <c r="G8" s="48"/>
      <c r="H8" s="48"/>
      <c r="I8" s="48"/>
    </row>
    <row r="9" spans="1:12" x14ac:dyDescent="0.2">
      <c r="A9" s="49">
        <v>1</v>
      </c>
      <c r="B9" s="8" t="s">
        <v>27</v>
      </c>
      <c r="C9" s="9" t="s">
        <v>28</v>
      </c>
      <c r="D9" s="9" t="s">
        <v>29</v>
      </c>
      <c r="E9" s="8" t="s">
        <v>474</v>
      </c>
      <c r="F9" s="10" t="s">
        <v>127</v>
      </c>
      <c r="G9" s="9" t="s">
        <v>131</v>
      </c>
      <c r="H9" s="10" t="s">
        <v>56</v>
      </c>
      <c r="I9" s="10"/>
      <c r="J9" s="60" t="str">
        <f>"270,0"</f>
        <v>270,0</v>
      </c>
      <c r="K9" s="21" t="str">
        <f>"156,9510"</f>
        <v>156,9510</v>
      </c>
      <c r="L9" s="18" t="s">
        <v>31</v>
      </c>
    </row>
    <row r="10" spans="1:12" x14ac:dyDescent="0.2">
      <c r="A10" s="49">
        <v>1</v>
      </c>
      <c r="B10" s="8" t="s">
        <v>436</v>
      </c>
      <c r="C10" s="9" t="s">
        <v>443</v>
      </c>
      <c r="D10" s="9" t="s">
        <v>442</v>
      </c>
      <c r="E10" s="8" t="s">
        <v>469</v>
      </c>
      <c r="F10" s="9" t="s">
        <v>114</v>
      </c>
      <c r="G10" s="10" t="s">
        <v>131</v>
      </c>
      <c r="H10" s="9" t="s">
        <v>131</v>
      </c>
      <c r="I10" s="10"/>
      <c r="J10" s="61" t="str">
        <f>"270,0"</f>
        <v>270,0</v>
      </c>
      <c r="K10" s="29" t="str">
        <f>"157,2210"</f>
        <v>157,2210</v>
      </c>
      <c r="L10" s="26" t="s">
        <v>36</v>
      </c>
    </row>
    <row r="11" spans="1:12" x14ac:dyDescent="0.2">
      <c r="A11" s="49">
        <v>2</v>
      </c>
      <c r="B11" s="8" t="s">
        <v>27</v>
      </c>
      <c r="C11" s="9" t="s">
        <v>32</v>
      </c>
      <c r="D11" s="9" t="s">
        <v>29</v>
      </c>
      <c r="E11" s="8" t="s">
        <v>474</v>
      </c>
      <c r="F11" s="10" t="s">
        <v>127</v>
      </c>
      <c r="G11" s="9" t="s">
        <v>131</v>
      </c>
      <c r="H11" s="10" t="s">
        <v>56</v>
      </c>
      <c r="I11" s="10"/>
      <c r="J11" s="62" t="str">
        <f>"270,0"</f>
        <v>270,0</v>
      </c>
      <c r="K11" s="25" t="str">
        <f>"156,9510"</f>
        <v>156,9510</v>
      </c>
      <c r="L11" s="22" t="s">
        <v>31</v>
      </c>
    </row>
    <row r="12" spans="1:12" x14ac:dyDescent="0.2">
      <c r="A12" s="49"/>
      <c r="B12" s="8"/>
      <c r="C12" s="9"/>
      <c r="D12" s="9"/>
      <c r="E12" s="8"/>
      <c r="F12" s="9"/>
      <c r="G12" s="9"/>
      <c r="H12" s="9"/>
      <c r="I12" s="9"/>
    </row>
    <row r="13" spans="1:12" ht="15" x14ac:dyDescent="0.2">
      <c r="A13" s="49"/>
      <c r="B13" s="47" t="s">
        <v>64</v>
      </c>
      <c r="C13" s="48"/>
      <c r="D13" s="48"/>
      <c r="E13" s="48"/>
      <c r="F13" s="48"/>
      <c r="G13" s="48"/>
      <c r="H13" s="48"/>
      <c r="I13" s="48"/>
    </row>
    <row r="14" spans="1:12" x14ac:dyDescent="0.2">
      <c r="A14" s="49">
        <v>1</v>
      </c>
      <c r="B14" s="8" t="s">
        <v>438</v>
      </c>
      <c r="C14" s="9" t="s">
        <v>441</v>
      </c>
      <c r="D14" s="9" t="s">
        <v>440</v>
      </c>
      <c r="E14" s="8" t="s">
        <v>475</v>
      </c>
      <c r="F14" s="10" t="s">
        <v>437</v>
      </c>
      <c r="G14" s="9" t="s">
        <v>437</v>
      </c>
      <c r="H14" s="10" t="s">
        <v>439</v>
      </c>
      <c r="I14" s="10"/>
      <c r="J14" s="59" t="str">
        <f>"325,0"</f>
        <v>325,0</v>
      </c>
      <c r="K14" s="17" t="str">
        <f>"180,4888"</f>
        <v>180,4888</v>
      </c>
      <c r="L14" s="8"/>
    </row>
  </sheetData>
  <mergeCells count="12">
    <mergeCell ref="K3:K4"/>
    <mergeCell ref="B1:L2"/>
    <mergeCell ref="F3:I3"/>
    <mergeCell ref="B3:B4"/>
    <mergeCell ref="C3:C4"/>
    <mergeCell ref="D3:D4"/>
    <mergeCell ref="L3:L4"/>
    <mergeCell ref="E3:E4"/>
    <mergeCell ref="B5:I5"/>
    <mergeCell ref="B8:I8"/>
    <mergeCell ref="B13:I13"/>
    <mergeCell ref="J3:J4"/>
  </mergeCells>
  <pageMargins left="0.19685039370078741" right="0.47244094488188981" top="0.43307086614173229" bottom="0.47244094488188981" header="0.51181102362204722" footer="0.51181102362204722"/>
  <pageSetup scale="65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"/>
  <sheetViews>
    <sheetView workbookViewId="0">
      <selection activeCell="A2" sqref="A2"/>
    </sheetView>
  </sheetViews>
  <sheetFormatPr defaultRowHeight="12.75" x14ac:dyDescent="0.2"/>
  <cols>
    <col min="1" max="1" width="9.140625" style="3"/>
    <col min="2" max="2" width="27" style="4" bestFit="1" customWidth="1"/>
    <col min="3" max="3" width="26.85546875" style="5" bestFit="1" customWidth="1"/>
    <col min="4" max="4" width="7.7109375" style="5" bestFit="1" customWidth="1"/>
    <col min="5" max="5" width="14.5703125" style="4" bestFit="1" customWidth="1"/>
    <col min="6" max="8" width="5.5703125" style="5" customWidth="1"/>
    <col min="9" max="9" width="5" style="5" customWidth="1"/>
    <col min="10" max="10" width="6.140625" style="14" bestFit="1" customWidth="1"/>
    <col min="11" max="11" width="8.5703125" style="15" bestFit="1" customWidth="1"/>
    <col min="12" max="12" width="9.42578125" style="4" bestFit="1" customWidth="1"/>
    <col min="13" max="16384" width="9.140625" style="3"/>
  </cols>
  <sheetData>
    <row r="1" spans="1:12" s="2" customFormat="1" ht="29.1" customHeight="1" x14ac:dyDescent="0.2">
      <c r="B1" s="50" t="s">
        <v>445</v>
      </c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s="2" customFormat="1" ht="62.1" customHeight="1" thickBo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2" s="1" customFormat="1" ht="12.75" customHeight="1" x14ac:dyDescent="0.2">
      <c r="B3" s="35" t="s">
        <v>0</v>
      </c>
      <c r="C3" s="37" t="s">
        <v>6</v>
      </c>
      <c r="D3" s="37" t="s">
        <v>4</v>
      </c>
      <c r="E3" s="39" t="s">
        <v>7</v>
      </c>
      <c r="F3" s="39" t="s">
        <v>71</v>
      </c>
      <c r="G3" s="39"/>
      <c r="H3" s="39"/>
      <c r="I3" s="39"/>
      <c r="J3" s="39" t="s">
        <v>43</v>
      </c>
      <c r="K3" s="39" t="s">
        <v>2</v>
      </c>
      <c r="L3" s="40" t="s">
        <v>1</v>
      </c>
    </row>
    <row r="4" spans="1:12" s="1" customFormat="1" ht="23.25" customHeight="1" thickBot="1" x14ac:dyDescent="0.25">
      <c r="A4" s="1" t="s">
        <v>489</v>
      </c>
      <c r="B4" s="36"/>
      <c r="C4" s="38"/>
      <c r="D4" s="38"/>
      <c r="E4" s="38"/>
      <c r="F4" s="7">
        <v>1</v>
      </c>
      <c r="G4" s="7">
        <v>2</v>
      </c>
      <c r="H4" s="7">
        <v>3</v>
      </c>
      <c r="I4" s="7" t="s">
        <v>3</v>
      </c>
      <c r="J4" s="38"/>
      <c r="K4" s="38"/>
      <c r="L4" s="41"/>
    </row>
    <row r="5" spans="1:12" s="5" customFormat="1" ht="15" x14ac:dyDescent="0.2">
      <c r="B5" s="31" t="s">
        <v>26</v>
      </c>
      <c r="C5" s="32"/>
      <c r="D5" s="32"/>
      <c r="E5" s="32"/>
      <c r="F5" s="32"/>
      <c r="G5" s="32"/>
      <c r="H5" s="32"/>
      <c r="I5" s="32"/>
      <c r="J5" s="14"/>
      <c r="K5" s="15"/>
      <c r="L5" s="4"/>
    </row>
    <row r="6" spans="1:12" s="5" customFormat="1" x14ac:dyDescent="0.2">
      <c r="A6" s="5" t="s">
        <v>486</v>
      </c>
      <c r="B6" s="8" t="s">
        <v>430</v>
      </c>
      <c r="C6" s="9" t="s">
        <v>435</v>
      </c>
      <c r="D6" s="9" t="s">
        <v>434</v>
      </c>
      <c r="E6" s="8" t="s">
        <v>465</v>
      </c>
      <c r="F6" s="9" t="s">
        <v>144</v>
      </c>
      <c r="G6" s="9" t="s">
        <v>19</v>
      </c>
      <c r="H6" s="10" t="s">
        <v>115</v>
      </c>
      <c r="I6" s="10"/>
      <c r="J6" s="16" t="str">
        <f>"240,0"</f>
        <v>240,0</v>
      </c>
      <c r="K6" s="17" t="str">
        <f>"139,6920"</f>
        <v>139,6920</v>
      </c>
      <c r="L6" s="8"/>
    </row>
    <row r="7" spans="1:12" ht="15" x14ac:dyDescent="0.2">
      <c r="B7" s="33" t="s">
        <v>60</v>
      </c>
      <c r="C7" s="34"/>
      <c r="D7" s="34"/>
      <c r="E7" s="34"/>
      <c r="F7" s="34"/>
      <c r="G7" s="34"/>
      <c r="H7" s="34"/>
      <c r="I7" s="34"/>
    </row>
    <row r="8" spans="1:12" x14ac:dyDescent="0.2">
      <c r="A8" s="3">
        <v>1</v>
      </c>
      <c r="B8" s="8" t="s">
        <v>501</v>
      </c>
      <c r="C8" s="9" t="s">
        <v>433</v>
      </c>
      <c r="D8" s="9" t="s">
        <v>432</v>
      </c>
      <c r="E8" s="8" t="s">
        <v>465</v>
      </c>
      <c r="F8" s="9" t="s">
        <v>114</v>
      </c>
      <c r="G8" s="9" t="s">
        <v>131</v>
      </c>
      <c r="H8" s="10" t="s">
        <v>57</v>
      </c>
      <c r="I8" s="10"/>
      <c r="J8" s="16" t="str">
        <f>"270,0"</f>
        <v>270,0</v>
      </c>
      <c r="K8" s="17" t="str">
        <f>"155,9520"</f>
        <v>155,9520</v>
      </c>
      <c r="L8" s="8" t="s">
        <v>431</v>
      </c>
    </row>
  </sheetData>
  <mergeCells count="11">
    <mergeCell ref="B1:L2"/>
    <mergeCell ref="B3:B4"/>
    <mergeCell ref="C3:C4"/>
    <mergeCell ref="D3:D4"/>
    <mergeCell ref="E3:E4"/>
    <mergeCell ref="F3:I3"/>
    <mergeCell ref="B7:I7"/>
    <mergeCell ref="J3:J4"/>
    <mergeCell ref="K3:K4"/>
    <mergeCell ref="L3:L4"/>
    <mergeCell ref="B5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5"/>
  <sheetViews>
    <sheetView workbookViewId="0">
      <selection activeCell="A2" sqref="A2"/>
    </sheetView>
  </sheetViews>
  <sheetFormatPr defaultRowHeight="12.75" x14ac:dyDescent="0.2"/>
  <cols>
    <col min="1" max="1" width="9.140625" style="3"/>
    <col min="2" max="2" width="27" style="4" bestFit="1" customWidth="1"/>
    <col min="3" max="3" width="26.85546875" style="5" bestFit="1" customWidth="1"/>
    <col min="4" max="4" width="7.7109375" style="5" bestFit="1" customWidth="1"/>
    <col min="5" max="5" width="14.5703125" style="4" bestFit="1" customWidth="1"/>
    <col min="6" max="8" width="5.5703125" style="5" customWidth="1"/>
    <col min="9" max="9" width="5" style="5" customWidth="1"/>
    <col min="10" max="10" width="6.140625" style="14" bestFit="1" customWidth="1"/>
    <col min="11" max="11" width="8.5703125" style="15" bestFit="1" customWidth="1"/>
    <col min="12" max="12" width="13.140625" style="4" bestFit="1" customWidth="1"/>
    <col min="13" max="16384" width="9.140625" style="3"/>
  </cols>
  <sheetData>
    <row r="1" spans="1:12" s="2" customFormat="1" ht="29.1" customHeight="1" x14ac:dyDescent="0.2">
      <c r="B1" s="50" t="s">
        <v>446</v>
      </c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s="2" customFormat="1" ht="62.1" customHeight="1" thickBo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2" s="1" customFormat="1" ht="12.75" customHeight="1" x14ac:dyDescent="0.2">
      <c r="B3" s="35" t="s">
        <v>0</v>
      </c>
      <c r="C3" s="37" t="s">
        <v>6</v>
      </c>
      <c r="D3" s="37" t="s">
        <v>4</v>
      </c>
      <c r="E3" s="39" t="s">
        <v>7</v>
      </c>
      <c r="F3" s="39" t="s">
        <v>71</v>
      </c>
      <c r="G3" s="39"/>
      <c r="H3" s="39"/>
      <c r="I3" s="39"/>
      <c r="J3" s="39" t="s">
        <v>43</v>
      </c>
      <c r="K3" s="39" t="s">
        <v>2</v>
      </c>
      <c r="L3" s="40" t="s">
        <v>1</v>
      </c>
    </row>
    <row r="4" spans="1:12" s="1" customFormat="1" ht="23.25" customHeight="1" thickBot="1" x14ac:dyDescent="0.25">
      <c r="A4" s="1" t="s">
        <v>489</v>
      </c>
      <c r="B4" s="36"/>
      <c r="C4" s="38"/>
      <c r="D4" s="38"/>
      <c r="E4" s="38"/>
      <c r="F4" s="7">
        <v>1</v>
      </c>
      <c r="G4" s="7">
        <v>2</v>
      </c>
      <c r="H4" s="7">
        <v>3</v>
      </c>
      <c r="I4" s="7" t="s">
        <v>3</v>
      </c>
      <c r="J4" s="38"/>
      <c r="K4" s="38"/>
      <c r="L4" s="41"/>
    </row>
    <row r="5" spans="1:12" s="5" customFormat="1" ht="15" x14ac:dyDescent="0.2">
      <c r="B5" s="31" t="s">
        <v>15</v>
      </c>
      <c r="C5" s="32"/>
      <c r="D5" s="32"/>
      <c r="E5" s="32"/>
      <c r="F5" s="32"/>
      <c r="G5" s="32"/>
      <c r="H5" s="32"/>
      <c r="I5" s="32"/>
      <c r="J5" s="14"/>
      <c r="K5" s="15"/>
      <c r="L5" s="4"/>
    </row>
    <row r="6" spans="1:12" s="5" customFormat="1" x14ac:dyDescent="0.2">
      <c r="B6" s="18" t="s">
        <v>220</v>
      </c>
      <c r="C6" s="11" t="s">
        <v>221</v>
      </c>
      <c r="D6" s="11" t="s">
        <v>222</v>
      </c>
      <c r="E6" s="18" t="s">
        <v>467</v>
      </c>
      <c r="F6" s="19" t="s">
        <v>25</v>
      </c>
      <c r="G6" s="19" t="s">
        <v>25</v>
      </c>
      <c r="H6" s="19" t="s">
        <v>25</v>
      </c>
      <c r="I6" s="19"/>
      <c r="J6" s="20" t="s">
        <v>462</v>
      </c>
      <c r="K6" s="21"/>
      <c r="L6" s="18"/>
    </row>
    <row r="7" spans="1:12" s="5" customFormat="1" x14ac:dyDescent="0.2">
      <c r="A7" s="5" t="s">
        <v>486</v>
      </c>
      <c r="B7" s="22" t="s">
        <v>418</v>
      </c>
      <c r="C7" s="12" t="s">
        <v>429</v>
      </c>
      <c r="D7" s="12" t="s">
        <v>215</v>
      </c>
      <c r="E7" s="22" t="s">
        <v>469</v>
      </c>
      <c r="F7" s="12" t="s">
        <v>145</v>
      </c>
      <c r="G7" s="12" t="s">
        <v>19</v>
      </c>
      <c r="H7" s="12" t="s">
        <v>417</v>
      </c>
      <c r="I7" s="23"/>
      <c r="J7" s="24" t="str">
        <f>"252,5"</f>
        <v>252,5</v>
      </c>
      <c r="K7" s="25" t="str">
        <f>"178,2253"</f>
        <v>178,2253</v>
      </c>
      <c r="L7" s="22" t="s">
        <v>428</v>
      </c>
    </row>
    <row r="8" spans="1:12" ht="15" x14ac:dyDescent="0.2">
      <c r="B8" s="33" t="s">
        <v>92</v>
      </c>
      <c r="C8" s="34"/>
      <c r="D8" s="34"/>
      <c r="E8" s="34"/>
      <c r="F8" s="34"/>
      <c r="G8" s="34"/>
      <c r="H8" s="34"/>
      <c r="I8" s="34"/>
    </row>
    <row r="9" spans="1:12" x14ac:dyDescent="0.2">
      <c r="A9" s="3">
        <v>1</v>
      </c>
      <c r="B9" s="8" t="s">
        <v>502</v>
      </c>
      <c r="C9" s="9" t="s">
        <v>427</v>
      </c>
      <c r="D9" s="9" t="s">
        <v>426</v>
      </c>
      <c r="E9" s="8" t="s">
        <v>469</v>
      </c>
      <c r="F9" s="9" t="s">
        <v>253</v>
      </c>
      <c r="G9" s="10" t="s">
        <v>41</v>
      </c>
      <c r="H9" s="9" t="s">
        <v>41</v>
      </c>
      <c r="I9" s="10"/>
      <c r="J9" s="16" t="str">
        <f>"172,5"</f>
        <v>172,5</v>
      </c>
      <c r="K9" s="17" t="str">
        <f>"107,6831"</f>
        <v>107,6831</v>
      </c>
      <c r="L9" s="8" t="s">
        <v>200</v>
      </c>
    </row>
    <row r="10" spans="1:12" ht="15" x14ac:dyDescent="0.2">
      <c r="B10" s="33" t="s">
        <v>26</v>
      </c>
      <c r="C10" s="34"/>
      <c r="D10" s="34"/>
      <c r="E10" s="34"/>
      <c r="F10" s="34"/>
      <c r="G10" s="34"/>
      <c r="H10" s="34"/>
      <c r="I10" s="34"/>
    </row>
    <row r="11" spans="1:12" x14ac:dyDescent="0.2">
      <c r="A11" s="3">
        <v>1</v>
      </c>
      <c r="B11" s="8" t="s">
        <v>503</v>
      </c>
      <c r="C11" s="9" t="s">
        <v>425</v>
      </c>
      <c r="D11" s="9" t="s">
        <v>346</v>
      </c>
      <c r="E11" s="8" t="s">
        <v>467</v>
      </c>
      <c r="F11" s="10" t="s">
        <v>142</v>
      </c>
      <c r="G11" s="9" t="s">
        <v>142</v>
      </c>
      <c r="H11" s="10" t="s">
        <v>24</v>
      </c>
      <c r="I11" s="10"/>
      <c r="J11" s="16" t="str">
        <f>"200,0"</f>
        <v>200,0</v>
      </c>
      <c r="K11" s="17" t="str">
        <f>"120,7507"</f>
        <v>120,7507</v>
      </c>
      <c r="L11" s="8"/>
    </row>
    <row r="12" spans="1:12" ht="15" x14ac:dyDescent="0.2">
      <c r="B12" s="33" t="s">
        <v>60</v>
      </c>
      <c r="C12" s="34"/>
      <c r="D12" s="34"/>
      <c r="E12" s="34"/>
      <c r="F12" s="34"/>
      <c r="G12" s="34"/>
      <c r="H12" s="34"/>
      <c r="I12" s="34"/>
    </row>
    <row r="13" spans="1:12" x14ac:dyDescent="0.2">
      <c r="A13" s="3">
        <v>1</v>
      </c>
      <c r="B13" s="8" t="s">
        <v>416</v>
      </c>
      <c r="C13" s="9" t="s">
        <v>424</v>
      </c>
      <c r="D13" s="9" t="s">
        <v>423</v>
      </c>
      <c r="E13" s="8" t="s">
        <v>467</v>
      </c>
      <c r="F13" s="9" t="s">
        <v>422</v>
      </c>
      <c r="G13" s="9" t="s">
        <v>114</v>
      </c>
      <c r="H13" s="10" t="s">
        <v>130</v>
      </c>
      <c r="I13" s="10"/>
      <c r="J13" s="16" t="str">
        <f>"250,0"</f>
        <v>250,0</v>
      </c>
      <c r="K13" s="17" t="str">
        <f>"143,6543"</f>
        <v>143,6543</v>
      </c>
      <c r="L13" s="8" t="s">
        <v>59</v>
      </c>
    </row>
    <row r="14" spans="1:12" ht="15" x14ac:dyDescent="0.2">
      <c r="B14" s="33" t="s">
        <v>109</v>
      </c>
      <c r="C14" s="34"/>
      <c r="D14" s="34"/>
      <c r="E14" s="34"/>
      <c r="F14" s="34"/>
      <c r="G14" s="34"/>
      <c r="H14" s="34"/>
      <c r="I14" s="34"/>
    </row>
    <row r="15" spans="1:12" x14ac:dyDescent="0.2">
      <c r="A15" s="3">
        <v>1</v>
      </c>
      <c r="B15" s="8" t="s">
        <v>504</v>
      </c>
      <c r="C15" s="9" t="s">
        <v>421</v>
      </c>
      <c r="D15" s="9" t="s">
        <v>420</v>
      </c>
      <c r="E15" s="8" t="s">
        <v>469</v>
      </c>
      <c r="F15" s="9" t="s">
        <v>419</v>
      </c>
      <c r="G15" s="10" t="s">
        <v>414</v>
      </c>
      <c r="H15" s="9" t="s">
        <v>414</v>
      </c>
      <c r="I15" s="10"/>
      <c r="J15" s="16" t="str">
        <f>"312,5"</f>
        <v>312,5</v>
      </c>
      <c r="K15" s="17" t="str">
        <f>"167,3500"</f>
        <v>167,3500</v>
      </c>
      <c r="L15" s="8" t="s">
        <v>200</v>
      </c>
    </row>
  </sheetData>
  <mergeCells count="14">
    <mergeCell ref="K3:K4"/>
    <mergeCell ref="L3:L4"/>
    <mergeCell ref="B5:I5"/>
    <mergeCell ref="B1:L2"/>
    <mergeCell ref="B3:B4"/>
    <mergeCell ref="C3:C4"/>
    <mergeCell ref="D3:D4"/>
    <mergeCell ref="E3:E4"/>
    <mergeCell ref="F3:I3"/>
    <mergeCell ref="B8:I8"/>
    <mergeCell ref="B10:I10"/>
    <mergeCell ref="B12:I12"/>
    <mergeCell ref="B14:I14"/>
    <mergeCell ref="J3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"/>
  <sheetViews>
    <sheetView workbookViewId="0">
      <selection activeCell="A2" sqref="A2"/>
    </sheetView>
  </sheetViews>
  <sheetFormatPr defaultRowHeight="12.75" x14ac:dyDescent="0.2"/>
  <cols>
    <col min="1" max="1" width="27" style="4" bestFit="1" customWidth="1"/>
    <col min="2" max="2" width="19.140625" style="5" bestFit="1" customWidth="1"/>
    <col min="3" max="3" width="7.7109375" style="5" bestFit="1" customWidth="1"/>
    <col min="4" max="4" width="14.5703125" style="4" bestFit="1" customWidth="1"/>
    <col min="5" max="5" width="5.5703125" style="5" customWidth="1"/>
    <col min="6" max="7" width="2.140625" style="5" customWidth="1"/>
    <col min="8" max="8" width="5" style="5" customWidth="1"/>
    <col min="9" max="9" width="6.140625" style="14" bestFit="1" customWidth="1"/>
    <col min="10" max="10" width="6.5703125" style="15" bestFit="1" customWidth="1"/>
    <col min="11" max="11" width="14" style="4" bestFit="1" customWidth="1"/>
    <col min="12" max="16384" width="9.140625" style="3"/>
  </cols>
  <sheetData>
    <row r="1" spans="1:11" s="2" customFormat="1" ht="29.1" customHeight="1" x14ac:dyDescent="0.2">
      <c r="A1" s="50" t="s">
        <v>447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s="1" customFormat="1" ht="12.75" customHeight="1" x14ac:dyDescent="0.2">
      <c r="A3" s="35" t="s">
        <v>0</v>
      </c>
      <c r="B3" s="37" t="s">
        <v>6</v>
      </c>
      <c r="C3" s="37" t="s">
        <v>4</v>
      </c>
      <c r="D3" s="39" t="s">
        <v>7</v>
      </c>
      <c r="E3" s="39" t="s">
        <v>71</v>
      </c>
      <c r="F3" s="39"/>
      <c r="G3" s="39"/>
      <c r="H3" s="39"/>
      <c r="I3" s="39" t="s">
        <v>43</v>
      </c>
      <c r="J3" s="39" t="s">
        <v>2</v>
      </c>
      <c r="K3" s="40" t="s">
        <v>1</v>
      </c>
    </row>
    <row r="4" spans="1:11" s="1" customFormat="1" ht="23.25" customHeight="1" thickBot="1" x14ac:dyDescent="0.25">
      <c r="A4" s="36"/>
      <c r="B4" s="38"/>
      <c r="C4" s="38"/>
      <c r="D4" s="38"/>
      <c r="E4" s="7">
        <v>1</v>
      </c>
      <c r="F4" s="7">
        <v>2</v>
      </c>
      <c r="G4" s="7">
        <v>3</v>
      </c>
      <c r="H4" s="7" t="s">
        <v>3</v>
      </c>
      <c r="I4" s="38"/>
      <c r="J4" s="38"/>
      <c r="K4" s="41"/>
    </row>
    <row r="5" spans="1:11" s="5" customFormat="1" ht="15" x14ac:dyDescent="0.2">
      <c r="A5" s="31" t="s">
        <v>44</v>
      </c>
      <c r="B5" s="32"/>
      <c r="C5" s="32"/>
      <c r="D5" s="32"/>
      <c r="E5" s="32"/>
      <c r="F5" s="32"/>
      <c r="G5" s="32"/>
      <c r="H5" s="32"/>
      <c r="I5" s="14"/>
      <c r="J5" s="15"/>
      <c r="K5" s="4"/>
    </row>
    <row r="6" spans="1:11" s="5" customFormat="1" x14ac:dyDescent="0.2">
      <c r="A6" s="8" t="s">
        <v>505</v>
      </c>
      <c r="B6" s="9" t="s">
        <v>415</v>
      </c>
      <c r="C6" s="9" t="s">
        <v>314</v>
      </c>
      <c r="D6" s="8" t="s">
        <v>465</v>
      </c>
      <c r="E6" s="10" t="s">
        <v>89</v>
      </c>
      <c r="F6" s="10" t="s">
        <v>462</v>
      </c>
      <c r="G6" s="10" t="s">
        <v>462</v>
      </c>
      <c r="H6" s="10"/>
      <c r="I6" s="16" t="s">
        <v>462</v>
      </c>
      <c r="J6" s="17"/>
      <c r="K6" s="8" t="s">
        <v>72</v>
      </c>
    </row>
    <row r="7" spans="1:11" s="5" customFormat="1" x14ac:dyDescent="0.2">
      <c r="A7" s="4"/>
      <c r="D7" s="4"/>
      <c r="I7" s="14"/>
      <c r="J7" s="15"/>
      <c r="K7" s="4"/>
    </row>
  </sheetData>
  <mergeCells count="10">
    <mergeCell ref="A5:H5"/>
    <mergeCell ref="A1:K2"/>
    <mergeCell ref="A3:A4"/>
    <mergeCell ref="B3:B4"/>
    <mergeCell ref="C3:C4"/>
    <mergeCell ref="D3:D4"/>
    <mergeCell ref="E3:H3"/>
    <mergeCell ref="I3:I4"/>
    <mergeCell ref="J3:J4"/>
    <mergeCell ref="K3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"/>
  <sheetViews>
    <sheetView workbookViewId="0">
      <selection activeCell="A2" sqref="A2"/>
    </sheetView>
  </sheetViews>
  <sheetFormatPr defaultRowHeight="12.75" x14ac:dyDescent="0.2"/>
  <cols>
    <col min="1" max="1" width="9.140625" style="3"/>
    <col min="2" max="2" width="27" style="4" bestFit="1" customWidth="1"/>
    <col min="3" max="3" width="26.85546875" style="5" bestFit="1" customWidth="1"/>
    <col min="4" max="4" width="7.7109375" style="5" bestFit="1" customWidth="1"/>
    <col min="5" max="5" width="14.5703125" style="4" bestFit="1" customWidth="1"/>
    <col min="6" max="8" width="5.5703125" style="5" customWidth="1"/>
    <col min="9" max="9" width="5" style="5" customWidth="1"/>
    <col min="10" max="10" width="6.140625" style="14" bestFit="1" customWidth="1"/>
    <col min="11" max="11" width="7.5703125" style="15" bestFit="1" customWidth="1"/>
    <col min="12" max="12" width="12.7109375" style="4" bestFit="1" customWidth="1"/>
    <col min="13" max="16384" width="9.140625" style="3"/>
  </cols>
  <sheetData>
    <row r="1" spans="1:12" s="2" customFormat="1" ht="29.1" customHeight="1" x14ac:dyDescent="0.2">
      <c r="B1" s="50" t="s">
        <v>458</v>
      </c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s="2" customFormat="1" ht="90" customHeight="1" thickBo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2" s="1" customFormat="1" ht="12.75" customHeight="1" x14ac:dyDescent="0.2">
      <c r="B3" s="35" t="s">
        <v>0</v>
      </c>
      <c r="C3" s="37" t="s">
        <v>6</v>
      </c>
      <c r="D3" s="37" t="s">
        <v>4</v>
      </c>
      <c r="E3" s="39" t="s">
        <v>7</v>
      </c>
      <c r="F3" s="39" t="s">
        <v>71</v>
      </c>
      <c r="G3" s="39"/>
      <c r="H3" s="39"/>
      <c r="I3" s="39"/>
      <c r="J3" s="39" t="s">
        <v>43</v>
      </c>
      <c r="K3" s="39" t="s">
        <v>2</v>
      </c>
      <c r="L3" s="40" t="s">
        <v>1</v>
      </c>
    </row>
    <row r="4" spans="1:12" s="1" customFormat="1" ht="23.25" customHeight="1" thickBot="1" x14ac:dyDescent="0.25">
      <c r="A4" s="1" t="s">
        <v>489</v>
      </c>
      <c r="B4" s="36"/>
      <c r="C4" s="38"/>
      <c r="D4" s="38"/>
      <c r="E4" s="38"/>
      <c r="F4" s="6">
        <v>1</v>
      </c>
      <c r="G4" s="6">
        <v>2</v>
      </c>
      <c r="H4" s="6">
        <v>3</v>
      </c>
      <c r="I4" s="6" t="s">
        <v>3</v>
      </c>
      <c r="J4" s="38"/>
      <c r="K4" s="38"/>
      <c r="L4" s="41"/>
    </row>
    <row r="5" spans="1:12" s="5" customFormat="1" ht="15" x14ac:dyDescent="0.2">
      <c r="B5" s="31" t="s">
        <v>60</v>
      </c>
      <c r="C5" s="32"/>
      <c r="D5" s="32"/>
      <c r="E5" s="32"/>
      <c r="F5" s="32"/>
      <c r="G5" s="32"/>
      <c r="H5" s="32"/>
      <c r="I5" s="32"/>
      <c r="J5" s="14"/>
      <c r="K5" s="15"/>
      <c r="L5" s="4"/>
    </row>
    <row r="6" spans="1:12" s="5" customFormat="1" x14ac:dyDescent="0.2">
      <c r="A6" s="5" t="s">
        <v>486</v>
      </c>
      <c r="B6" s="8" t="s">
        <v>506</v>
      </c>
      <c r="C6" s="9" t="s">
        <v>271</v>
      </c>
      <c r="D6" s="9" t="s">
        <v>272</v>
      </c>
      <c r="E6" s="8" t="s">
        <v>465</v>
      </c>
      <c r="F6" s="9" t="s">
        <v>13</v>
      </c>
      <c r="G6" s="9" t="s">
        <v>14</v>
      </c>
      <c r="H6" s="10" t="s">
        <v>89</v>
      </c>
      <c r="I6" s="10"/>
      <c r="J6" s="16" t="str">
        <f>"145,0"</f>
        <v>145,0</v>
      </c>
      <c r="K6" s="17" t="str">
        <f>"79,6356"</f>
        <v>79,6356</v>
      </c>
      <c r="L6" s="8" t="s">
        <v>206</v>
      </c>
    </row>
    <row r="7" spans="1:12" ht="15" x14ac:dyDescent="0.2">
      <c r="B7" s="33" t="s">
        <v>64</v>
      </c>
      <c r="C7" s="34"/>
      <c r="D7" s="34"/>
      <c r="E7" s="34"/>
      <c r="F7" s="34"/>
      <c r="G7" s="34"/>
      <c r="H7" s="34"/>
      <c r="I7" s="34"/>
    </row>
    <row r="8" spans="1:12" x14ac:dyDescent="0.2">
      <c r="A8" s="3">
        <v>1</v>
      </c>
      <c r="B8" s="8" t="s">
        <v>507</v>
      </c>
      <c r="C8" s="9" t="s">
        <v>264</v>
      </c>
      <c r="D8" s="9" t="s">
        <v>265</v>
      </c>
      <c r="E8" s="8" t="s">
        <v>465</v>
      </c>
      <c r="F8" s="9" t="s">
        <v>50</v>
      </c>
      <c r="G8" s="10" t="s">
        <v>462</v>
      </c>
      <c r="H8" s="10" t="s">
        <v>462</v>
      </c>
      <c r="I8" s="10"/>
      <c r="J8" s="16" t="str">
        <f>"115,0"</f>
        <v>115,0</v>
      </c>
      <c r="K8" s="17" t="str">
        <f>"75,5313"</f>
        <v>75,5313</v>
      </c>
      <c r="L8" s="8" t="s">
        <v>266</v>
      </c>
    </row>
  </sheetData>
  <mergeCells count="11">
    <mergeCell ref="B7:I7"/>
    <mergeCell ref="J3:J4"/>
    <mergeCell ref="K3:K4"/>
    <mergeCell ref="L3:L4"/>
    <mergeCell ref="B5:I5"/>
    <mergeCell ref="B1:L2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AWPA m.ply PL</vt:lpstr>
      <vt:lpstr>AWPA raw PL</vt:lpstr>
      <vt:lpstr>WPA PL SP</vt:lpstr>
      <vt:lpstr>WPA raw PL</vt:lpstr>
      <vt:lpstr>WPC BP softstd</vt:lpstr>
      <vt:lpstr>WPC BP softmp</vt:lpstr>
      <vt:lpstr>AWPC BP softstd</vt:lpstr>
      <vt:lpstr>AWPC BP softmp </vt:lpstr>
      <vt:lpstr>AWPA BP</vt:lpstr>
      <vt:lpstr>AWPA BP sp</vt:lpstr>
      <vt:lpstr>AWPA raw BP</vt:lpstr>
      <vt:lpstr>AWPA DL</vt:lpstr>
      <vt:lpstr>AWPA DL sp</vt:lpstr>
      <vt:lpstr>AWPA raw DL</vt:lpstr>
      <vt:lpstr>WPA BP sp</vt:lpstr>
      <vt:lpstr>WPA raw BP</vt:lpstr>
      <vt:lpstr>WPA DL sp</vt:lpstr>
      <vt:lpstr>WPA raw 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Pete Kravtsov</cp:lastModifiedBy>
  <cp:lastPrinted>2008-02-22T21:19:54Z</cp:lastPrinted>
  <dcterms:created xsi:type="dcterms:W3CDTF">2002-06-16T13:36:44Z</dcterms:created>
  <dcterms:modified xsi:type="dcterms:W3CDTF">2021-03-09T16:00:30Z</dcterms:modified>
</cp:coreProperties>
</file>