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Март/"/>
    </mc:Choice>
  </mc:AlternateContent>
  <xr:revisionPtr revIDLastSave="0" documentId="13_ncr:1_{F34D8851-3357-CC4F-A096-08C5E6AE67F1}" xr6:coauthVersionLast="45" xr6:coauthVersionMax="45" xr10:uidLastSave="{00000000-0000-0000-0000-000000000000}"/>
  <bookViews>
    <workbookView xWindow="480" yWindow="460" windowWidth="28320" windowHeight="16100" firstSheet="8" activeTab="12" xr2:uid="{00000000-000D-0000-FFFF-FFFF00000000}"/>
  </bookViews>
  <sheets>
    <sheet name="WRPF ПЛ без экипировки ДК" sheetId="13" r:id="rId1"/>
    <sheet name="WRPF ПЛ без экипировки" sheetId="12" r:id="rId2"/>
    <sheet name="WRPF ПЛ в бинтах ДК" sheetId="11" r:id="rId3"/>
    <sheet name="WRPF ПЛ в бинтах" sheetId="10" r:id="rId4"/>
    <sheet name="WRPF Двоеборье без экип ДК" sheetId="23" r:id="rId5"/>
    <sheet name="WRPF Двоеборье без экип" sheetId="22" r:id="rId6"/>
    <sheet name="WRPF Жим лежа без экип ДК" sheetId="16" r:id="rId7"/>
    <sheet name="WRPF Жим лежа без экип" sheetId="15" r:id="rId8"/>
    <sheet name="WEPF Жим софт однопетельная" sheetId="14" r:id="rId9"/>
    <sheet name="WEPF Жим софт многопетельная" sheetId="18" r:id="rId10"/>
    <sheet name="WRPF Тяга без экипировки ДК" sheetId="21" r:id="rId11"/>
    <sheet name="WRPF Тяга без экипировки" sheetId="20" r:id="rId12"/>
    <sheet name="WRPF Подъем на бицепс" sheetId="24" r:id="rId13"/>
  </sheets>
  <calcPr calcId="191029" refMode="R1C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3" i="16" l="1"/>
  <c r="L25" i="24" l="1"/>
  <c r="K25" i="24"/>
  <c r="L24" i="24"/>
  <c r="K24" i="24"/>
  <c r="L21" i="24"/>
  <c r="K21" i="24"/>
  <c r="L20" i="24"/>
  <c r="K20" i="24"/>
  <c r="L17" i="24"/>
  <c r="K17" i="24"/>
  <c r="L16" i="24"/>
  <c r="K16" i="24"/>
  <c r="L13" i="24"/>
  <c r="K13" i="24"/>
  <c r="L12" i="24"/>
  <c r="K12" i="24"/>
  <c r="L11" i="24"/>
  <c r="K11" i="24"/>
  <c r="L10" i="24"/>
  <c r="K10" i="24"/>
  <c r="L9" i="24"/>
  <c r="K9" i="24"/>
  <c r="L6" i="24"/>
  <c r="K6" i="24"/>
  <c r="P27" i="23"/>
  <c r="O27" i="23"/>
  <c r="P26" i="23"/>
  <c r="O26" i="23"/>
  <c r="P23" i="23"/>
  <c r="O23" i="23"/>
  <c r="P20" i="23"/>
  <c r="O20" i="23"/>
  <c r="P17" i="23"/>
  <c r="O17" i="23"/>
  <c r="P14" i="23"/>
  <c r="O14" i="23"/>
  <c r="P13" i="23"/>
  <c r="O13" i="23"/>
  <c r="P10" i="23"/>
  <c r="O10" i="23"/>
  <c r="P9" i="23"/>
  <c r="O9" i="23"/>
  <c r="P6" i="23"/>
  <c r="O6" i="23"/>
  <c r="P20" i="22"/>
  <c r="O20" i="22"/>
  <c r="P19" i="22"/>
  <c r="O19" i="22"/>
  <c r="P16" i="22"/>
  <c r="O16" i="22"/>
  <c r="P15" i="22"/>
  <c r="O15" i="22"/>
  <c r="P14" i="22"/>
  <c r="O14" i="22"/>
  <c r="P11" i="22"/>
  <c r="O11" i="22"/>
  <c r="P10" i="22"/>
  <c r="O10" i="22"/>
  <c r="P7" i="22"/>
  <c r="O7" i="22"/>
  <c r="P6" i="22"/>
  <c r="O6" i="22"/>
  <c r="L51" i="21"/>
  <c r="K51" i="21"/>
  <c r="L50" i="21"/>
  <c r="K50" i="21"/>
  <c r="L47" i="21"/>
  <c r="K47" i="21"/>
  <c r="L46" i="21"/>
  <c r="K46" i="21"/>
  <c r="L43" i="21"/>
  <c r="K43" i="21"/>
  <c r="L42" i="21"/>
  <c r="K42" i="21"/>
  <c r="L39" i="21"/>
  <c r="K39" i="21"/>
  <c r="L38" i="21"/>
  <c r="K38" i="21"/>
  <c r="L37" i="21"/>
  <c r="K37" i="21"/>
  <c r="L34" i="21"/>
  <c r="K34" i="21"/>
  <c r="L33" i="21"/>
  <c r="K33" i="21"/>
  <c r="L32" i="21"/>
  <c r="K32" i="21"/>
  <c r="L31" i="21"/>
  <c r="K31" i="21"/>
  <c r="L30" i="21"/>
  <c r="K30" i="21"/>
  <c r="L29" i="21"/>
  <c r="K29" i="21"/>
  <c r="L26" i="21"/>
  <c r="K26" i="21"/>
  <c r="L25" i="21"/>
  <c r="K25" i="21"/>
  <c r="L22" i="21"/>
  <c r="K22" i="21"/>
  <c r="L19" i="21"/>
  <c r="K19" i="21"/>
  <c r="L16" i="21"/>
  <c r="K16" i="21"/>
  <c r="L15" i="21"/>
  <c r="K15" i="21"/>
  <c r="L12" i="21"/>
  <c r="K12" i="21"/>
  <c r="L9" i="21"/>
  <c r="K9" i="21"/>
  <c r="L6" i="21"/>
  <c r="K6" i="21"/>
  <c r="L30" i="20"/>
  <c r="K30" i="20"/>
  <c r="L27" i="20"/>
  <c r="K27" i="20"/>
  <c r="L24" i="20"/>
  <c r="K24" i="20"/>
  <c r="L23" i="20"/>
  <c r="K23" i="20"/>
  <c r="L22" i="20"/>
  <c r="K22" i="20"/>
  <c r="L21" i="20"/>
  <c r="K21" i="20"/>
  <c r="L20" i="20"/>
  <c r="K20" i="20"/>
  <c r="L17" i="20"/>
  <c r="K17" i="20"/>
  <c r="L16" i="20"/>
  <c r="K16" i="20"/>
  <c r="L13" i="20"/>
  <c r="K13" i="20"/>
  <c r="L12" i="20"/>
  <c r="K12" i="20"/>
  <c r="L9" i="20"/>
  <c r="K9" i="20"/>
  <c r="L6" i="20"/>
  <c r="K6" i="20"/>
  <c r="L6" i="18"/>
  <c r="K6" i="18"/>
  <c r="L69" i="16"/>
  <c r="K69" i="16"/>
  <c r="L66" i="16"/>
  <c r="K66" i="16"/>
  <c r="L65" i="16"/>
  <c r="K65" i="16"/>
  <c r="L64" i="16"/>
  <c r="L63" i="16"/>
  <c r="K63" i="16"/>
  <c r="L62" i="16"/>
  <c r="K62" i="16"/>
  <c r="L61" i="16"/>
  <c r="K61" i="16"/>
  <c r="L58" i="16"/>
  <c r="K58" i="16"/>
  <c r="L57" i="16"/>
  <c r="K57" i="16"/>
  <c r="L56" i="16"/>
  <c r="K56" i="16"/>
  <c r="L55" i="16"/>
  <c r="K55" i="16"/>
  <c r="L54" i="16"/>
  <c r="K54" i="16"/>
  <c r="L53" i="16"/>
  <c r="K53" i="16"/>
  <c r="L52" i="16"/>
  <c r="K52" i="16"/>
  <c r="L49" i="16"/>
  <c r="K49" i="16"/>
  <c r="L48" i="16"/>
  <c r="L47" i="16"/>
  <c r="K47" i="16"/>
  <c r="L46" i="16"/>
  <c r="K46" i="16"/>
  <c r="L45" i="16"/>
  <c r="K45" i="16"/>
  <c r="L44" i="16"/>
  <c r="K44" i="16"/>
  <c r="L43" i="16"/>
  <c r="L42" i="16"/>
  <c r="L39" i="16"/>
  <c r="L38" i="16"/>
  <c r="K38" i="16"/>
  <c r="L37" i="16"/>
  <c r="K37" i="16"/>
  <c r="L36" i="16"/>
  <c r="K36" i="16"/>
  <c r="L33" i="16"/>
  <c r="K33" i="16"/>
  <c r="L32" i="16"/>
  <c r="K32" i="16"/>
  <c r="L31" i="16"/>
  <c r="K31" i="16"/>
  <c r="L30" i="16"/>
  <c r="K30" i="16"/>
  <c r="L29" i="16"/>
  <c r="K29" i="16"/>
  <c r="L26" i="16"/>
  <c r="K26" i="16"/>
  <c r="L25" i="16"/>
  <c r="K25" i="16"/>
  <c r="L22" i="16"/>
  <c r="K22" i="16"/>
  <c r="L19" i="16"/>
  <c r="K19" i="16"/>
  <c r="L16" i="16"/>
  <c r="K16" i="16"/>
  <c r="L15" i="16"/>
  <c r="K15" i="16"/>
  <c r="L12" i="16"/>
  <c r="K12" i="16"/>
  <c r="L9" i="16"/>
  <c r="K9" i="16"/>
  <c r="L6" i="16"/>
  <c r="K6" i="16"/>
  <c r="L34" i="15"/>
  <c r="K34" i="15"/>
  <c r="L33" i="15"/>
  <c r="K33" i="15"/>
  <c r="L32" i="15"/>
  <c r="K32" i="15"/>
  <c r="L29" i="15"/>
  <c r="K29" i="15"/>
  <c r="L28" i="15"/>
  <c r="K28" i="15"/>
  <c r="L27" i="15"/>
  <c r="K27" i="15"/>
  <c r="L26" i="15"/>
  <c r="K26" i="15"/>
  <c r="L25" i="15"/>
  <c r="K25" i="15"/>
  <c r="L22" i="15"/>
  <c r="K22" i="15"/>
  <c r="L21" i="15"/>
  <c r="K21" i="15"/>
  <c r="L20" i="15"/>
  <c r="K20" i="15"/>
  <c r="L19" i="15"/>
  <c r="K19" i="15"/>
  <c r="L16" i="15"/>
  <c r="K16" i="15"/>
  <c r="L13" i="15"/>
  <c r="K13" i="15"/>
  <c r="L12" i="15"/>
  <c r="K12" i="15"/>
  <c r="L9" i="15"/>
  <c r="K9" i="15"/>
  <c r="L6" i="15"/>
  <c r="K6" i="15"/>
  <c r="L6" i="14"/>
  <c r="T52" i="13"/>
  <c r="S52" i="13"/>
  <c r="T51" i="13"/>
  <c r="S51" i="13"/>
  <c r="T48" i="13"/>
  <c r="T45" i="13"/>
  <c r="S45" i="13"/>
  <c r="T44" i="13"/>
  <c r="S44" i="13"/>
  <c r="T41" i="13"/>
  <c r="S41" i="13"/>
  <c r="T40" i="13"/>
  <c r="S40" i="13"/>
  <c r="T39" i="13"/>
  <c r="S39" i="13"/>
  <c r="T38" i="13"/>
  <c r="S38" i="13"/>
  <c r="T37" i="13"/>
  <c r="S37" i="13"/>
  <c r="T36" i="13"/>
  <c r="S36" i="13"/>
  <c r="T35" i="13"/>
  <c r="S35" i="13"/>
  <c r="T34" i="13"/>
  <c r="T31" i="13"/>
  <c r="S31" i="13"/>
  <c r="T30" i="13"/>
  <c r="S30" i="13"/>
  <c r="T27" i="13"/>
  <c r="S27" i="13"/>
  <c r="T26" i="13"/>
  <c r="S26" i="13"/>
  <c r="T25" i="13"/>
  <c r="S25" i="13"/>
  <c r="T22" i="13"/>
  <c r="S22" i="13"/>
  <c r="T19" i="13"/>
  <c r="S19" i="13"/>
  <c r="T16" i="13"/>
  <c r="S16" i="13"/>
  <c r="T13" i="13"/>
  <c r="T12" i="13"/>
  <c r="T9" i="13"/>
  <c r="S9" i="13"/>
  <c r="T6" i="13"/>
  <c r="S6" i="13"/>
  <c r="T41" i="12"/>
  <c r="S41" i="12"/>
  <c r="T38" i="12"/>
  <c r="S38" i="12"/>
  <c r="T35" i="12"/>
  <c r="S35" i="12"/>
  <c r="T34" i="12"/>
  <c r="S34" i="12"/>
  <c r="T33" i="12"/>
  <c r="S33" i="12"/>
  <c r="T32" i="12"/>
  <c r="S32" i="12"/>
  <c r="T29" i="12"/>
  <c r="S29" i="12"/>
  <c r="T28" i="12"/>
  <c r="S28" i="12"/>
  <c r="T27" i="12"/>
  <c r="S27" i="12"/>
  <c r="T26" i="12"/>
  <c r="S26" i="12"/>
  <c r="T23" i="12"/>
  <c r="S23" i="12"/>
  <c r="T22" i="12"/>
  <c r="S22" i="12"/>
  <c r="T21" i="12"/>
  <c r="S21" i="12"/>
  <c r="T20" i="12"/>
  <c r="S20" i="12"/>
  <c r="T17" i="12"/>
  <c r="S17" i="12"/>
  <c r="T14" i="12"/>
  <c r="S14" i="12"/>
  <c r="T13" i="12"/>
  <c r="S13" i="12"/>
  <c r="T10" i="12"/>
  <c r="S10" i="12"/>
  <c r="T9" i="12"/>
  <c r="S9" i="12"/>
  <c r="T6" i="12"/>
  <c r="S6" i="12"/>
  <c r="T13" i="11"/>
  <c r="S13" i="11"/>
  <c r="T12" i="11"/>
  <c r="S12" i="11"/>
  <c r="T9" i="11"/>
  <c r="S9" i="11"/>
  <c r="T6" i="11"/>
  <c r="S6" i="11"/>
  <c r="T6" i="10"/>
  <c r="S6" i="10"/>
</calcChain>
</file>

<file path=xl/sharedStrings.xml><?xml version="1.0" encoding="utf-8"?>
<sst xmlns="http://schemas.openxmlformats.org/spreadsheetml/2006/main" count="2554" uniqueCount="593">
  <si>
    <t>ФИО</t>
  </si>
  <si>
    <t>Сумма</t>
  </si>
  <si>
    <t>Тренер</t>
  </si>
  <si>
    <t>Очки</t>
  </si>
  <si>
    <t>Рек</t>
  </si>
  <si>
    <t>Возрастная группа
Дата рождения/Возраст</t>
  </si>
  <si>
    <t>Город/Область</t>
  </si>
  <si>
    <t>Собственный 
вес</t>
  </si>
  <si>
    <t>ВЕСОВАЯ КАТЕГОРИЯ   110</t>
  </si>
  <si>
    <t>Касимов Феликс</t>
  </si>
  <si>
    <t>Открытая (29.03.1993)/27</t>
  </si>
  <si>
    <t>104,30</t>
  </si>
  <si>
    <t>ВЕСОВАЯ КАТЕГОРИЯ   125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</si>
  <si>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</si>
  <si>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</si>
  <si>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</si>
  <si>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</si>
  <si>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</si>
  <si>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</si>
  <si>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</si>
  <si>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Результат </t>
  </si>
  <si>
    <t>110</t>
  </si>
  <si>
    <t xml:space="preserve">Мастера </t>
  </si>
  <si>
    <t>125</t>
  </si>
  <si>
    <t>Результат</t>
  </si>
  <si>
    <t>1</t>
  </si>
  <si>
    <t/>
  </si>
  <si>
    <t>120,0</t>
  </si>
  <si>
    <t>150,0</t>
  </si>
  <si>
    <t>155,0</t>
  </si>
  <si>
    <t>165,0</t>
  </si>
  <si>
    <t>170,0</t>
  </si>
  <si>
    <t>ВЕСОВАЯ КАТЕГОРИЯ   100</t>
  </si>
  <si>
    <t xml:space="preserve">Ставрополь/Ставропольский край </t>
  </si>
  <si>
    <t>-</t>
  </si>
  <si>
    <t>100,0</t>
  </si>
  <si>
    <t>105,0</t>
  </si>
  <si>
    <t>70,0</t>
  </si>
  <si>
    <t>80,0</t>
  </si>
  <si>
    <t>90,0</t>
  </si>
  <si>
    <t>100</t>
  </si>
  <si>
    <t>Wilks</t>
  </si>
  <si>
    <t>Приседание</t>
  </si>
  <si>
    <t>Жим лёжа</t>
  </si>
  <si>
    <t>Становая тяга</t>
  </si>
  <si>
    <t>Исабеков Руслан</t>
  </si>
  <si>
    <t>Мастера 40-49 (15.11.1978)/42</t>
  </si>
  <si>
    <t>107,00</t>
  </si>
  <si>
    <t>220,0</t>
  </si>
  <si>
    <t>235,0</t>
  </si>
  <si>
    <t>240,0</t>
  </si>
  <si>
    <t>172,5</t>
  </si>
  <si>
    <t>230,0</t>
  </si>
  <si>
    <t>250,0</t>
  </si>
  <si>
    <t>255,0</t>
  </si>
  <si>
    <t xml:space="preserve">Wilks </t>
  </si>
  <si>
    <t xml:space="preserve">Мастера 40-49 </t>
  </si>
  <si>
    <t>ВЕСОВАЯ КАТЕГОРИЯ   56</t>
  </si>
  <si>
    <t>Ильченко Анна</t>
  </si>
  <si>
    <t>Юниорки (23.01.2000)/21</t>
  </si>
  <si>
    <t>55,70</t>
  </si>
  <si>
    <t>112,5</t>
  </si>
  <si>
    <t>115,0</t>
  </si>
  <si>
    <t>55,0</t>
  </si>
  <si>
    <t>57,5</t>
  </si>
  <si>
    <t>60,0</t>
  </si>
  <si>
    <t>107,5</t>
  </si>
  <si>
    <t>ВЕСОВАЯ КАТЕГОРИЯ   90</t>
  </si>
  <si>
    <t>Селимсултанов Альви</t>
  </si>
  <si>
    <t>Открытая (18.11.1981)/39</t>
  </si>
  <si>
    <t>90,00</t>
  </si>
  <si>
    <t>160,0</t>
  </si>
  <si>
    <t>185,0</t>
  </si>
  <si>
    <t>135,0</t>
  </si>
  <si>
    <t>140,0</t>
  </si>
  <si>
    <t>190,0</t>
  </si>
  <si>
    <t>205,0</t>
  </si>
  <si>
    <t>Алиев Исамудин</t>
  </si>
  <si>
    <t>Открытая (06.08.1978)/42</t>
  </si>
  <si>
    <t>124,00</t>
  </si>
  <si>
    <t>260,0</t>
  </si>
  <si>
    <t>270,0</t>
  </si>
  <si>
    <t>180,0</t>
  </si>
  <si>
    <t>280,0</t>
  </si>
  <si>
    <t>Мастера 40-49 (06.08.1978)/42</t>
  </si>
  <si>
    <t>290,0</t>
  </si>
  <si>
    <t>90</t>
  </si>
  <si>
    <t>Мартынова Елена</t>
  </si>
  <si>
    <t>Открытая (27.02.1989)/32</t>
  </si>
  <si>
    <t>54,00</t>
  </si>
  <si>
    <t>65,0</t>
  </si>
  <si>
    <t>32,5</t>
  </si>
  <si>
    <t>35,0</t>
  </si>
  <si>
    <t>82,5</t>
  </si>
  <si>
    <t>85,0</t>
  </si>
  <si>
    <t xml:space="preserve">Снигирев В. </t>
  </si>
  <si>
    <t>ВЕСОВАЯ КАТЕГОРИЯ   60</t>
  </si>
  <si>
    <t>Казанатова Сабина</t>
  </si>
  <si>
    <t>Открытая (02.01.1980)/41</t>
  </si>
  <si>
    <t>59,00</t>
  </si>
  <si>
    <t>45,0</t>
  </si>
  <si>
    <t>50,0</t>
  </si>
  <si>
    <t>Мастера 40-49 (02.01.1980)/41</t>
  </si>
  <si>
    <t>ВЕСОВАЯ КАТЕГОРИЯ   75</t>
  </si>
  <si>
    <t>Косенко Екатерина</t>
  </si>
  <si>
    <t>Открытая (24.02.1978)/43</t>
  </si>
  <si>
    <t>74,50</t>
  </si>
  <si>
    <t xml:space="preserve">Армавир/Краснодарский край </t>
  </si>
  <si>
    <t>145,0</t>
  </si>
  <si>
    <t>157,5</t>
  </si>
  <si>
    <t>92,5</t>
  </si>
  <si>
    <t>175,0</t>
  </si>
  <si>
    <t>187,5</t>
  </si>
  <si>
    <t xml:space="preserve">Кашпаров Д. </t>
  </si>
  <si>
    <t>Мастера 40-49 (24.02.1978)/43</t>
  </si>
  <si>
    <t>ВЕСОВАЯ КАТЕГОРИЯ   82.5</t>
  </si>
  <si>
    <t>Пойда Роман</t>
  </si>
  <si>
    <t>Открытая (28.12.1981)/39</t>
  </si>
  <si>
    <t>81,70</t>
  </si>
  <si>
    <t>200,0</t>
  </si>
  <si>
    <t>210,0</t>
  </si>
  <si>
    <t>215,0</t>
  </si>
  <si>
    <t>245,0</t>
  </si>
  <si>
    <t>265,0</t>
  </si>
  <si>
    <t>Хмара Артур</t>
  </si>
  <si>
    <t>Открытая (27.12.1983)/37</t>
  </si>
  <si>
    <t xml:space="preserve">Краснодар/Краснодарский край </t>
  </si>
  <si>
    <t>225,0</t>
  </si>
  <si>
    <t>Логвинов Артем</t>
  </si>
  <si>
    <t>Открытая (03.09.1995)/25</t>
  </si>
  <si>
    <t>89,50</t>
  </si>
  <si>
    <t>195,0</t>
  </si>
  <si>
    <t>207,5</t>
  </si>
  <si>
    <t>152,5</t>
  </si>
  <si>
    <t xml:space="preserve">Арестов М. </t>
  </si>
  <si>
    <t>Асриян Виталий</t>
  </si>
  <si>
    <t>Открытая (26.11.1988)/32</t>
  </si>
  <si>
    <t>88,90</t>
  </si>
  <si>
    <t xml:space="preserve">Ессентуки/Ставропольский край </t>
  </si>
  <si>
    <t>Новиков Николай</t>
  </si>
  <si>
    <t>Мастера 70-79 (21.05.1947)/73</t>
  </si>
  <si>
    <t>85,00</t>
  </si>
  <si>
    <t>Рамазанов Ислам</t>
  </si>
  <si>
    <t>Открытая (01.05.1991)/29</t>
  </si>
  <si>
    <t>94,00</t>
  </si>
  <si>
    <t>272,5</t>
  </si>
  <si>
    <t>305,0</t>
  </si>
  <si>
    <t>320,0</t>
  </si>
  <si>
    <t xml:space="preserve">Тултаров Ш. </t>
  </si>
  <si>
    <t>Николайчук Сергей</t>
  </si>
  <si>
    <t>Открытая (26.05.1985)/35</t>
  </si>
  <si>
    <t>99,70</t>
  </si>
  <si>
    <t>237,5</t>
  </si>
  <si>
    <t>242,5</t>
  </si>
  <si>
    <t>285,0</t>
  </si>
  <si>
    <t xml:space="preserve">Ступников Р. </t>
  </si>
  <si>
    <t>Коротких Александр</t>
  </si>
  <si>
    <t>Открытая (12.08.1990)/30</t>
  </si>
  <si>
    <t>177,5</t>
  </si>
  <si>
    <t>192,5</t>
  </si>
  <si>
    <t xml:space="preserve">Шалоха А. </t>
  </si>
  <si>
    <t>Аносенко Алексей</t>
  </si>
  <si>
    <t>Открытая (19.03.1991)/30</t>
  </si>
  <si>
    <t>93,40</t>
  </si>
  <si>
    <t>197,5</t>
  </si>
  <si>
    <t>147,5</t>
  </si>
  <si>
    <t xml:space="preserve">Ильченко А. </t>
  </si>
  <si>
    <t>Иригов Аскер</t>
  </si>
  <si>
    <t>Открытая (07.06.1989)/31</t>
  </si>
  <si>
    <t>109,50</t>
  </si>
  <si>
    <t>300,0</t>
  </si>
  <si>
    <t>345,0</t>
  </si>
  <si>
    <t>355,0</t>
  </si>
  <si>
    <t>360,0</t>
  </si>
  <si>
    <t xml:space="preserve">Тхамитлоков К. </t>
  </si>
  <si>
    <t>Казачков Вадим</t>
  </si>
  <si>
    <t>Открытая (26.01.1990)/31</t>
  </si>
  <si>
    <t>110,00</t>
  </si>
  <si>
    <t>322,5</t>
  </si>
  <si>
    <t>Исрапилов Магомедамин</t>
  </si>
  <si>
    <t>Открытая (03.05.1975)/45</t>
  </si>
  <si>
    <t>108,00</t>
  </si>
  <si>
    <t>Мастера 40-49 (03.05.1975)/45</t>
  </si>
  <si>
    <t>Туманов Андрей</t>
  </si>
  <si>
    <t>Открытая (02.04.1995)/25</t>
  </si>
  <si>
    <t>116,70</t>
  </si>
  <si>
    <t>252,5</t>
  </si>
  <si>
    <t>130,0</t>
  </si>
  <si>
    <t>ВЕСОВАЯ КАТЕГОРИЯ   140</t>
  </si>
  <si>
    <t>Бобряшов Владимир</t>
  </si>
  <si>
    <t>Открытая (22.12.1988)/32</t>
  </si>
  <si>
    <t>140,00</t>
  </si>
  <si>
    <t xml:space="preserve">Будённовск/Ставропольский край </t>
  </si>
  <si>
    <t>297,5</t>
  </si>
  <si>
    <t>75</t>
  </si>
  <si>
    <t>60</t>
  </si>
  <si>
    <t>792,5</t>
  </si>
  <si>
    <t>495,3125</t>
  </si>
  <si>
    <t>820,0</t>
  </si>
  <si>
    <t>483,2260</t>
  </si>
  <si>
    <t>712,5</t>
  </si>
  <si>
    <t>434,1263</t>
  </si>
  <si>
    <t>2</t>
  </si>
  <si>
    <t>3</t>
  </si>
  <si>
    <t>4</t>
  </si>
  <si>
    <t>ВЕСОВАЯ КАТЕГОРИЯ   52</t>
  </si>
  <si>
    <t>Абазова Алина</t>
  </si>
  <si>
    <t>Открытая (22.05.1990)/30</t>
  </si>
  <si>
    <t>49,40</t>
  </si>
  <si>
    <t>30,0</t>
  </si>
  <si>
    <t>40,0</t>
  </si>
  <si>
    <t xml:space="preserve">Касимов Ф. </t>
  </si>
  <si>
    <t>Голуб Виктория</t>
  </si>
  <si>
    <t>Открытая (08.02.1997)/24</t>
  </si>
  <si>
    <t>55,10</t>
  </si>
  <si>
    <t>52,5</t>
  </si>
  <si>
    <t>122,5</t>
  </si>
  <si>
    <t>127,5</t>
  </si>
  <si>
    <t>75,0</t>
  </si>
  <si>
    <t>ВЕСОВАЯ КАТЕГОРИЯ   67.5</t>
  </si>
  <si>
    <t>Алиферова Анна</t>
  </si>
  <si>
    <t>Открытая (21.06.1987)/33</t>
  </si>
  <si>
    <t>66,60</t>
  </si>
  <si>
    <t>62,5</t>
  </si>
  <si>
    <t>110,0</t>
  </si>
  <si>
    <t>Османов Амир</t>
  </si>
  <si>
    <t>Юноши 14-16 (31.12.2005)/15</t>
  </si>
  <si>
    <t>51,70</t>
  </si>
  <si>
    <t xml:space="preserve">Рамазанов </t>
  </si>
  <si>
    <t>Ерижоков Каплан</t>
  </si>
  <si>
    <t>Юноши 14-16 (23.06.2005)/15</t>
  </si>
  <si>
    <t>60,00</t>
  </si>
  <si>
    <t>125,0</t>
  </si>
  <si>
    <t>77,5</t>
  </si>
  <si>
    <t>Чеченов Темирлан</t>
  </si>
  <si>
    <t>Юноши 14-16 (27.05.2005)/15</t>
  </si>
  <si>
    <t>67,30</t>
  </si>
  <si>
    <t>137,5</t>
  </si>
  <si>
    <t>Османов Умар</t>
  </si>
  <si>
    <t>Юноши 14-16 (31.07.2006)/14</t>
  </si>
  <si>
    <t>64,50</t>
  </si>
  <si>
    <t>Демин Данил</t>
  </si>
  <si>
    <t>Открытая (29.08.2004)/16</t>
  </si>
  <si>
    <t>66,70</t>
  </si>
  <si>
    <t>95,0</t>
  </si>
  <si>
    <t>Проценко Никита</t>
  </si>
  <si>
    <t>Юноши 17-19 (12.08.2003)/17</t>
  </si>
  <si>
    <t>73,00</t>
  </si>
  <si>
    <t xml:space="preserve">Шрамко И. </t>
  </si>
  <si>
    <t>Тагибеков Асхаб</t>
  </si>
  <si>
    <t>Открытая (03.10.1990)/30</t>
  </si>
  <si>
    <t>75,00</t>
  </si>
  <si>
    <t>132,5</t>
  </si>
  <si>
    <t xml:space="preserve">Рамазанов И. </t>
  </si>
  <si>
    <t>Зеленский Иван</t>
  </si>
  <si>
    <t>Юноши 14-16 (11.02.2006)/15</t>
  </si>
  <si>
    <t>82,50</t>
  </si>
  <si>
    <t xml:space="preserve">Минеральные Воды/Ставропольски </t>
  </si>
  <si>
    <t xml:space="preserve">Костенко Р. </t>
  </si>
  <si>
    <t>Артюхов Владислав</t>
  </si>
  <si>
    <t>Юноши 17-19 (11.08.2003)/17</t>
  </si>
  <si>
    <t>78,00</t>
  </si>
  <si>
    <t>Магомедов Али</t>
  </si>
  <si>
    <t>Юноши 17-19 (14.05.2002)/18</t>
  </si>
  <si>
    <t>81,50</t>
  </si>
  <si>
    <t>Мызников Артем</t>
  </si>
  <si>
    <t>Юноши 17-19 (20.05.2003)/17</t>
  </si>
  <si>
    <t>79,80</t>
  </si>
  <si>
    <t>Ильченко Андрей</t>
  </si>
  <si>
    <t>Юниоры (06.01.1998)/23</t>
  </si>
  <si>
    <t>79,70</t>
  </si>
  <si>
    <t>162,5</t>
  </si>
  <si>
    <t>Открытая (06.01.1998)/23</t>
  </si>
  <si>
    <t>Андрюнькин Владимир</t>
  </si>
  <si>
    <t>Открытая (04.09.1981)/39</t>
  </si>
  <si>
    <t xml:space="preserve">Светлоград/Ставропольский край </t>
  </si>
  <si>
    <t>Османов Рамиз</t>
  </si>
  <si>
    <t>Мастера 40-49 (15.06.1976)/44</t>
  </si>
  <si>
    <t>Лопырев Владимир</t>
  </si>
  <si>
    <t>Открытая (05.08.1972)/48</t>
  </si>
  <si>
    <t>87,80</t>
  </si>
  <si>
    <t xml:space="preserve">Астрахань/Астраханская область </t>
  </si>
  <si>
    <t>167,5</t>
  </si>
  <si>
    <t>227,5</t>
  </si>
  <si>
    <t>Мастера 40-49 (05.08.1972)/48</t>
  </si>
  <si>
    <t>Горб Максим</t>
  </si>
  <si>
    <t>Открытая (23.05.1990)/30</t>
  </si>
  <si>
    <t>98,50</t>
  </si>
  <si>
    <t>287,5</t>
  </si>
  <si>
    <t xml:space="preserve">Юноши </t>
  </si>
  <si>
    <t xml:space="preserve">Юноши 17-19 </t>
  </si>
  <si>
    <t>435,0</t>
  </si>
  <si>
    <t>315,9840</t>
  </si>
  <si>
    <t>82.5</t>
  </si>
  <si>
    <t>440,0</t>
  </si>
  <si>
    <t>305,3160</t>
  </si>
  <si>
    <t xml:space="preserve">Юноши 14-16 </t>
  </si>
  <si>
    <t>357,5</t>
  </si>
  <si>
    <t>304,9118</t>
  </si>
  <si>
    <t>Тюнин Данил</t>
  </si>
  <si>
    <t>Юноши 17-19 (22.06.2001)/19</t>
  </si>
  <si>
    <t xml:space="preserve">Тарасов А. </t>
  </si>
  <si>
    <t>Макарова Яна</t>
  </si>
  <si>
    <t>Открытая (31.03.1990)/30</t>
  </si>
  <si>
    <t>82,40</t>
  </si>
  <si>
    <t xml:space="preserve">Пятигорск/Ставропольский край </t>
  </si>
  <si>
    <t>Цоколов Артём</t>
  </si>
  <si>
    <t>Юноши 14-16 (09.10.2007)/13</t>
  </si>
  <si>
    <t>55,60</t>
  </si>
  <si>
    <t>Сукасян Арсен</t>
  </si>
  <si>
    <t>Открытая (28.12.1993)/27</t>
  </si>
  <si>
    <t>Меркулов Максим</t>
  </si>
  <si>
    <t>Открытая (07.07.1995)/25</t>
  </si>
  <si>
    <t>74,10</t>
  </si>
  <si>
    <t xml:space="preserve">Георгиевск/Ставропольский край </t>
  </si>
  <si>
    <t>Сатаев Анзор</t>
  </si>
  <si>
    <t>Открытая (27.05.1989)/31</t>
  </si>
  <si>
    <t>89,10</t>
  </si>
  <si>
    <t>232,5</t>
  </si>
  <si>
    <t xml:space="preserve">Саиев М. </t>
  </si>
  <si>
    <t>Серкин Илья</t>
  </si>
  <si>
    <t>Открытая (14.05.1995)/25</t>
  </si>
  <si>
    <t>98,70</t>
  </si>
  <si>
    <t xml:space="preserve">Сухоруков З. </t>
  </si>
  <si>
    <t>Войков Александр</t>
  </si>
  <si>
    <t>Мастера 40-49 (30.06.1971)/49</t>
  </si>
  <si>
    <t>Саиев Мухтар</t>
  </si>
  <si>
    <t>Открытая (06.05.1991)/29</t>
  </si>
  <si>
    <t>109,40</t>
  </si>
  <si>
    <t>Бушнев Игорь</t>
  </si>
  <si>
    <t>Открытая (22.02.1987)/34</t>
  </si>
  <si>
    <t>101,10</t>
  </si>
  <si>
    <t>Баша Нур</t>
  </si>
  <si>
    <t>Открытая (01.06.1995)/25</t>
  </si>
  <si>
    <t>107,90</t>
  </si>
  <si>
    <t>Печняков Артем</t>
  </si>
  <si>
    <t>Открытая (16.03.1988)/33</t>
  </si>
  <si>
    <t>111,00</t>
  </si>
  <si>
    <t xml:space="preserve">Красногорск/Московская область </t>
  </si>
  <si>
    <t>Галстян Самвел</t>
  </si>
  <si>
    <t>Открытая (05.12.1987)/33</t>
  </si>
  <si>
    <t>115,90</t>
  </si>
  <si>
    <t>Сатуев Ислам</t>
  </si>
  <si>
    <t>Открытая (14.08.1984)/36</t>
  </si>
  <si>
    <t>115,40</t>
  </si>
  <si>
    <t xml:space="preserve">Демильханов Д. </t>
  </si>
  <si>
    <t>147,5910</t>
  </si>
  <si>
    <t>144,4275</t>
  </si>
  <si>
    <t>117,5790</t>
  </si>
  <si>
    <t>ВЕСОВАЯ КАТЕГОРИЯ   48</t>
  </si>
  <si>
    <t>Зайцева Арина</t>
  </si>
  <si>
    <t>Юниорки (20.01.1998)/23</t>
  </si>
  <si>
    <t>47,50</t>
  </si>
  <si>
    <t>Емельяненко Нина</t>
  </si>
  <si>
    <t>Открытая (05.05.1986)/34</t>
  </si>
  <si>
    <t>56,00</t>
  </si>
  <si>
    <t xml:space="preserve">Сальск/Ростовская область </t>
  </si>
  <si>
    <t>67,5</t>
  </si>
  <si>
    <t>Сидорович Маргарита</t>
  </si>
  <si>
    <t>Открытая (17.07.1991)/29</t>
  </si>
  <si>
    <t>65,40</t>
  </si>
  <si>
    <t>47,5</t>
  </si>
  <si>
    <t>Богинская Мария</t>
  </si>
  <si>
    <t>Девушки 14-16 (20.09.2004)/16</t>
  </si>
  <si>
    <t>70,00</t>
  </si>
  <si>
    <t>37,5</t>
  </si>
  <si>
    <t>Чунчуров Ахьяд</t>
  </si>
  <si>
    <t>Юноши 17-19 (22.03.2002)/18</t>
  </si>
  <si>
    <t>59,80</t>
  </si>
  <si>
    <t xml:space="preserve">Алиев И. </t>
  </si>
  <si>
    <t>Харламов Максим</t>
  </si>
  <si>
    <t>Юноши 17-19 (02.11.2003)/17</t>
  </si>
  <si>
    <t>58,00</t>
  </si>
  <si>
    <t>87,5</t>
  </si>
  <si>
    <t>Аксельрод Богдан</t>
  </si>
  <si>
    <t>Юноши 14-16 (13.10.2005)/15</t>
  </si>
  <si>
    <t>Эскиев Муса</t>
  </si>
  <si>
    <t>Юниоры (14.03.1999)/22</t>
  </si>
  <si>
    <t>Назаренко Валерий</t>
  </si>
  <si>
    <t>Юниоры (19.08.1999)/21</t>
  </si>
  <si>
    <t>117,5</t>
  </si>
  <si>
    <t>Миронов Владимир</t>
  </si>
  <si>
    <t>Открытая (30.09.1993)/27</t>
  </si>
  <si>
    <t>Салаев Усман</t>
  </si>
  <si>
    <t>Открытая (13.01.1984)/37</t>
  </si>
  <si>
    <t xml:space="preserve">Нахаев Н. </t>
  </si>
  <si>
    <t>Сагателян Армен</t>
  </si>
  <si>
    <t>Открытая (17.10.1998)/22</t>
  </si>
  <si>
    <t>80,30</t>
  </si>
  <si>
    <t>Катола Максим</t>
  </si>
  <si>
    <t>Открытая (25.04.1996)/24</t>
  </si>
  <si>
    <t>81,30</t>
  </si>
  <si>
    <t xml:space="preserve">Кисловодск/Ставропольский край </t>
  </si>
  <si>
    <t xml:space="preserve">Казакбиев Т. </t>
  </si>
  <si>
    <t>Алоев Анзор</t>
  </si>
  <si>
    <t>Открытая (10.08.1996)/24</t>
  </si>
  <si>
    <t>202,5</t>
  </si>
  <si>
    <t>Евдокимов Игорь</t>
  </si>
  <si>
    <t>Открытая (22.12.1992)/28</t>
  </si>
  <si>
    <t>82,00</t>
  </si>
  <si>
    <t>Латышев Данил</t>
  </si>
  <si>
    <t>Юниоры (01.05.1998)/22</t>
  </si>
  <si>
    <t>87,30</t>
  </si>
  <si>
    <t>142,5</t>
  </si>
  <si>
    <t xml:space="preserve">Сукасян А. </t>
  </si>
  <si>
    <t>Алисханов Руслан</t>
  </si>
  <si>
    <t>Открытая (19.09.1988)/32</t>
  </si>
  <si>
    <t>89,90</t>
  </si>
  <si>
    <t>Юсупов Рамзан</t>
  </si>
  <si>
    <t>Открытая (21.05.1987)/33</t>
  </si>
  <si>
    <t>Юзбашев Гаджимухаммад</t>
  </si>
  <si>
    <t>Открытая (08.08.1995)/25</t>
  </si>
  <si>
    <t>88,30</t>
  </si>
  <si>
    <t>Стаценко Иван</t>
  </si>
  <si>
    <t>Открытая (29.01.1995)/26</t>
  </si>
  <si>
    <t xml:space="preserve">Железноводск/Ставропольский край </t>
  </si>
  <si>
    <t>Чучхаджиев Денильбек</t>
  </si>
  <si>
    <t>Открытая (08.12.1989)/31</t>
  </si>
  <si>
    <t>89,70</t>
  </si>
  <si>
    <t>Висуров Альберт</t>
  </si>
  <si>
    <t>Юниоры (01.04.1997)/23</t>
  </si>
  <si>
    <t>94,70</t>
  </si>
  <si>
    <t>Салтамурадов Адам</t>
  </si>
  <si>
    <t>Открытая (04.04.1986)/34</t>
  </si>
  <si>
    <t>98,90</t>
  </si>
  <si>
    <t>Чараев Муса</t>
  </si>
  <si>
    <t>Открытая (29.05.1990)/30</t>
  </si>
  <si>
    <t>100,00</t>
  </si>
  <si>
    <t>Черкасский Сергей</t>
  </si>
  <si>
    <t>Мастера 40-49 (25.11.1973)/47</t>
  </si>
  <si>
    <t>98,30</t>
  </si>
  <si>
    <t>Таскаев Андрей</t>
  </si>
  <si>
    <t>Мастера 40-49 (01.04.1977)/43</t>
  </si>
  <si>
    <t>94,20</t>
  </si>
  <si>
    <t>Мараев Николай</t>
  </si>
  <si>
    <t>Мастера 40-49 (17.08.1980)/40</t>
  </si>
  <si>
    <t>Курбанов Рамазан</t>
  </si>
  <si>
    <t>Мастера 60-69 (09.05.1958)/62</t>
  </si>
  <si>
    <t>97,30</t>
  </si>
  <si>
    <t>Докукин Корней</t>
  </si>
  <si>
    <t>Открытая (04.09.1984)/36</t>
  </si>
  <si>
    <t>212,5</t>
  </si>
  <si>
    <t>222,5</t>
  </si>
  <si>
    <t>Хортиев Руслан</t>
  </si>
  <si>
    <t>Открытая (07.05.1987)/33</t>
  </si>
  <si>
    <t>102,00</t>
  </si>
  <si>
    <t>Махожев Азнаур</t>
  </si>
  <si>
    <t>Открытая (12.10.1991)/29</t>
  </si>
  <si>
    <t>109,00</t>
  </si>
  <si>
    <t xml:space="preserve">Коркин.В. </t>
  </si>
  <si>
    <t>Костенко Роман</t>
  </si>
  <si>
    <t>Мастера 40-49 (10.01.1975)/46</t>
  </si>
  <si>
    <t>109,70</t>
  </si>
  <si>
    <t>Каримов Магомед</t>
  </si>
  <si>
    <t>Открытая (29.04.1991)/29</t>
  </si>
  <si>
    <t>116,00</t>
  </si>
  <si>
    <t>131,6977</t>
  </si>
  <si>
    <t>119,2035</t>
  </si>
  <si>
    <t>113,3870</t>
  </si>
  <si>
    <t xml:space="preserve">Мастера 60-69 </t>
  </si>
  <si>
    <t>135,1638</t>
  </si>
  <si>
    <t>115,2678</t>
  </si>
  <si>
    <t>109,1575</t>
  </si>
  <si>
    <t>5</t>
  </si>
  <si>
    <t>Бороздин Андрей</t>
  </si>
  <si>
    <t>Мастера 40-49 (02.06.1979)/41</t>
  </si>
  <si>
    <t>121,60</t>
  </si>
  <si>
    <t>275,0</t>
  </si>
  <si>
    <t>Махмаев Ибрагим</t>
  </si>
  <si>
    <t>Открытая (07.09.1993)/27</t>
  </si>
  <si>
    <t>72,70</t>
  </si>
  <si>
    <t>Гусаков Максим</t>
  </si>
  <si>
    <t>Открытая (17.03.1990)/31</t>
  </si>
  <si>
    <t xml:space="preserve">Перепелицын И. </t>
  </si>
  <si>
    <t>Нахаев Нариман</t>
  </si>
  <si>
    <t>Открытая (20.08.1994)/26</t>
  </si>
  <si>
    <t>310,0</t>
  </si>
  <si>
    <t>330,0</t>
  </si>
  <si>
    <t xml:space="preserve">Алсултанов А. </t>
  </si>
  <si>
    <t>204,2880</t>
  </si>
  <si>
    <t>187,5720</t>
  </si>
  <si>
    <t>176,5500</t>
  </si>
  <si>
    <t>ВЕСОВАЯ КАТЕГОРИЯ   44</t>
  </si>
  <si>
    <t>Лопырева Дарья</t>
  </si>
  <si>
    <t>Девушки 14-16 (28.10.2004)/16</t>
  </si>
  <si>
    <t>41,80</t>
  </si>
  <si>
    <t xml:space="preserve">Лопырев В. </t>
  </si>
  <si>
    <t>Михайленко Анастасия</t>
  </si>
  <si>
    <t>Девушки 14-16 (22.06.2004)/16</t>
  </si>
  <si>
    <t>55,90</t>
  </si>
  <si>
    <t>Юноши 14-16 (29.08.2004)/16</t>
  </si>
  <si>
    <t>Эрсибиев Асхаб</t>
  </si>
  <si>
    <t>Открытая (20.07.1988)/32</t>
  </si>
  <si>
    <t>74,90</t>
  </si>
  <si>
    <t>Вытришко Никита</t>
  </si>
  <si>
    <t>Юноши 14-16 (21.09.2004)/16</t>
  </si>
  <si>
    <t>78,70</t>
  </si>
  <si>
    <t xml:space="preserve">Спицын П. </t>
  </si>
  <si>
    <t>Гончаров Фёдор</t>
  </si>
  <si>
    <t>Юноши 17-19 (11.01.2003)/18</t>
  </si>
  <si>
    <t>80,50</t>
  </si>
  <si>
    <t xml:space="preserve">Родионов В. </t>
  </si>
  <si>
    <t>Ковалев Иван</t>
  </si>
  <si>
    <t>Юноши 17-19 (29.04.2003)/17</t>
  </si>
  <si>
    <t>Мафедзов Хасанби</t>
  </si>
  <si>
    <t>Открытая (30.10.1990)/30</t>
  </si>
  <si>
    <t>Балкизов Руслан</t>
  </si>
  <si>
    <t>Открытая (26.05.1990)/30</t>
  </si>
  <si>
    <t>93,00</t>
  </si>
  <si>
    <t>Чистяков Богдан</t>
  </si>
  <si>
    <t>Открытая (30.03.1995)/25</t>
  </si>
  <si>
    <t xml:space="preserve">Айвазов А. </t>
  </si>
  <si>
    <t>167,6535</t>
  </si>
  <si>
    <t>159,8240</t>
  </si>
  <si>
    <t>156,9040</t>
  </si>
  <si>
    <t>Яндарбиев Адам</t>
  </si>
  <si>
    <t>Открытая (08.10.1988)/32</t>
  </si>
  <si>
    <t>113,10</t>
  </si>
  <si>
    <t>460,0</t>
  </si>
  <si>
    <t>293,6640</t>
  </si>
  <si>
    <t>470,0</t>
  </si>
  <si>
    <t>286,3710</t>
  </si>
  <si>
    <t>457,5</t>
  </si>
  <si>
    <t>278,7548</t>
  </si>
  <si>
    <t>Черкасова Мария</t>
  </si>
  <si>
    <t>Открытая (19.05.1986)/34</t>
  </si>
  <si>
    <t xml:space="preserve">Докукин К. </t>
  </si>
  <si>
    <t>Добриков Даниил</t>
  </si>
  <si>
    <t>Юноши 14-16 (17.04.2005)/15</t>
  </si>
  <si>
    <t>89,20</t>
  </si>
  <si>
    <t>Открытая (25.11.1973)/47</t>
  </si>
  <si>
    <t>Валиванский Владимир</t>
  </si>
  <si>
    <t>59,60</t>
  </si>
  <si>
    <t xml:space="preserve">Моздок/Северная Осетия - Алания </t>
  </si>
  <si>
    <t xml:space="preserve">Пойда Р. </t>
  </si>
  <si>
    <t>Осадчий Евгений</t>
  </si>
  <si>
    <t>72,5</t>
  </si>
  <si>
    <t>Шахбанов Раджабали</t>
  </si>
  <si>
    <t>Открытая (29.08.1986)/34</t>
  </si>
  <si>
    <t>74,30</t>
  </si>
  <si>
    <t>Демильханов Дени</t>
  </si>
  <si>
    <t>Всероссийский мастерский турнир "Кубок Георгия Победоносца"
WRPF Строгий подъем штанги на бицепс
Ставрополь/Ставропольский край, 20 - 21 марта 2021 года</t>
  </si>
  <si>
    <t>Всероссийский мастерский турнир "Кубок Георгия Победоносца"
WRPF любители Силовое двоеборье без экипировки ДК
Ставрополь/Ставропольский край, 20 - 21 марта 2021 года</t>
  </si>
  <si>
    <t>Всероссийский мастерский турнир "Кубок Георгия Победоносца"
WRPF любители Силовое двоеборье без экипировки
Ставрополь/Ставропольский край, 20 - 21 марта 2021 года</t>
  </si>
  <si>
    <t>Всероссийский мастерский турнир "Кубок Георгия Победоносца"
WRPF любители Становая тяга без экипировки ДК
Ставрополь/Ставропольский край, 20 - 21 марта 2021 года</t>
  </si>
  <si>
    <t>Всероссийский мастерский турнир "Кубок Георгия Победоносца"
WRPF любители Становая тяга без экипировки
Ставрополь/Ставропольский край, 20 - 21 марта 2021 года</t>
  </si>
  <si>
    <t>Всероссийский мастерский турнир "Кубок Георгия Победоносца"
WEPF Жим лежа в многопетельной софт экипировке
Ставрополь/Ставропольский край, 20 - 21 марта 2021 года</t>
  </si>
  <si>
    <t>Всероссийский мастерский турнир "Кубок Георгия Победоносца"
WRPF любители Жим лежа без экипировки ДК
Ставрополь/Ставропольский край, 20 - 21 марта 2021 года</t>
  </si>
  <si>
    <t>Всероссийский мастерский турнир "Кубок Георгия Победоносца"
WRPF любители Жим лежа без экипировки
Ставрополь/Ставропольский край, 20 - 21 марта 2021 года</t>
  </si>
  <si>
    <t>Всероссийский мастерский турнир "Кубок Георгия Победоносца"
WEPF Жим лежа в однопетельной софт экипировке
Ставрополь/Ставропольский край, 20 - 21 марта 2021 года</t>
  </si>
  <si>
    <t>Всероссийский мастерский турнир "Кубок Георгия Победоносца"
WRPF любители Пауэрлифтинг без экипировки ДК
Ставрополь/Ставропольский край, 20 - 21 марта 2021 года</t>
  </si>
  <si>
    <t>Всероссийский мастерский турнир "Кубок Георгия Победоносца"
WRPF любители Пауэрлифтинг без экипировки
Ставрополь/Ставропольский край, 20 - 21 марта 2021 года</t>
  </si>
  <si>
    <t>Всероссийский мастерский турнир "Кубок Георгия Победоносца"
WRPF любители Пауэрлифтинг классический в бинтах ДК
Ставрополь/Ставропольский край, 20 - 21 марта 2021 года</t>
  </si>
  <si>
    <t>Всероссийский мастерский турнир "Кубок Георгия Победоносца"
WRPF любители Пауэрлифтинг классический в бинтах
Ставрополь/Ставропольский край, 20 - 21 марта 2021 года</t>
  </si>
  <si>
    <t xml:space="preserve">Нальчик/Республика Кабардино-Балкария </t>
  </si>
  <si>
    <t xml:space="preserve">Грозный/Чеченская Республика </t>
  </si>
  <si>
    <t>Самостоятельно</t>
  </si>
  <si>
    <t xml:space="preserve">Карагашев П. </t>
  </si>
  <si>
    <t xml:space="preserve">Махачкала/Республика Дагестан </t>
  </si>
  <si>
    <t>Моздок/Северная Осетия - Алания</t>
  </si>
  <si>
    <t xml:space="preserve">Дербент/Республика Дагестан </t>
  </si>
  <si>
    <t xml:space="preserve">Баксан/Республика Кабардино-Балкария </t>
  </si>
  <si>
    <t>Волгоград/Волгоградская область</t>
  </si>
  <si>
    <t>Минеральные Воды/Ставропольский край</t>
  </si>
  <si>
    <t>Железноводск/Ставропольский край</t>
  </si>
  <si>
    <t>Ступников Р.</t>
  </si>
  <si>
    <t>Весовая категория</t>
  </si>
  <si>
    <t xml:space="preserve">Воркута/Республика Коми </t>
  </si>
  <si>
    <t>Серкин И.</t>
  </si>
  <si>
    <t>Казаков А.</t>
  </si>
  <si>
    <t xml:space="preserve">Минеральные Воды/Ставропольский край </t>
  </si>
  <si>
    <t xml:space="preserve">Буденновск /Ставропольский край </t>
  </si>
  <si>
    <t xml:space="preserve">Гудермес/Чеченская Республика </t>
  </si>
  <si>
    <t xml:space="preserve">Черкесск/Ресрублика Карачаево-Черкесия </t>
  </si>
  <si>
    <t>Карагашев П.</t>
  </si>
  <si>
    <t xml:space="preserve">Волгоград/Волгоградская область </t>
  </si>
  <si>
    <t>Юноши 13-19 (23.06.2003)/17</t>
  </si>
  <si>
    <t>Юноши 13-19 (07.03.2002)/19</t>
  </si>
  <si>
    <t>Юниоры 20-23 (14.03.1999)/22</t>
  </si>
  <si>
    <t>Юниоры 20-23 (01.04.1997)/23</t>
  </si>
  <si>
    <t>Мастера 40-49 (28.03.1979)/41</t>
  </si>
  <si>
    <t>Жим</t>
  </si>
  <si>
    <t>№</t>
  </si>
  <si>
    <t xml:space="preserve">
Дата рождения/Возраст</t>
  </si>
  <si>
    <t>Возрастная группа</t>
  </si>
  <si>
    <t>O</t>
  </si>
  <si>
    <t>M1</t>
  </si>
  <si>
    <t>T</t>
  </si>
  <si>
    <t>T1</t>
  </si>
  <si>
    <t>T2</t>
  </si>
  <si>
    <t>J</t>
  </si>
  <si>
    <t>M4</t>
  </si>
  <si>
    <t>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</si>
</sst>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U62"/>
  <sheetViews>
    <sheetView topLeftCell="A16" workbookViewId="0">
      <selection activeCell="E53" sqref="E53"/>
    </sheetView>
  </sheetViews>
  <sheetFormatPr baseColWidth="10" defaultColWidth="9.1640625" defaultRowHeight="13"/>
  <cols>
    <col min="1" max="1" width="7.5" style="5" bestFit="1" customWidth="1"/>
    <col min="2" max="2" width="23.332031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35.332031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28" bestFit="1" customWidth="1"/>
    <col min="20" max="20" width="8.5" style="6" bestFit="1" customWidth="1"/>
    <col min="21" max="21" width="17.5" style="5" bestFit="1" customWidth="1"/>
    <col min="22" max="16384" width="9.1640625" style="3"/>
  </cols>
  <sheetData>
    <row r="1" spans="1:21" s="2" customFormat="1" ht="29" customHeight="1">
      <c r="A1" s="44" t="s">
        <v>550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7"/>
    </row>
    <row r="2" spans="1:21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1"/>
    </row>
    <row r="3" spans="1:21" s="1" customFormat="1" ht="12.75" customHeight="1">
      <c r="A3" s="52" t="s">
        <v>582</v>
      </c>
      <c r="B3" s="42" t="s">
        <v>0</v>
      </c>
      <c r="C3" s="54" t="s">
        <v>583</v>
      </c>
      <c r="D3" s="54" t="s">
        <v>7</v>
      </c>
      <c r="E3" s="36" t="s">
        <v>584</v>
      </c>
      <c r="F3" s="36" t="s">
        <v>6</v>
      </c>
      <c r="G3" s="36" t="s">
        <v>42</v>
      </c>
      <c r="H3" s="36"/>
      <c r="I3" s="36"/>
      <c r="J3" s="36"/>
      <c r="K3" s="36" t="s">
        <v>43</v>
      </c>
      <c r="L3" s="36"/>
      <c r="M3" s="36"/>
      <c r="N3" s="36"/>
      <c r="O3" s="36" t="s">
        <v>44</v>
      </c>
      <c r="P3" s="36"/>
      <c r="Q3" s="36"/>
      <c r="R3" s="36"/>
      <c r="S3" s="34" t="s">
        <v>1</v>
      </c>
      <c r="T3" s="36" t="s">
        <v>3</v>
      </c>
      <c r="U3" s="38" t="s">
        <v>2</v>
      </c>
    </row>
    <row r="4" spans="1:21" s="1" customFormat="1" ht="21" customHeight="1" thickBot="1">
      <c r="A4" s="53"/>
      <c r="B4" s="43"/>
      <c r="C4" s="37"/>
      <c r="D4" s="37"/>
      <c r="E4" s="37"/>
      <c r="F4" s="3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5"/>
      <c r="T4" s="37"/>
      <c r="U4" s="39"/>
    </row>
    <row r="5" spans="1:21" ht="16">
      <c r="A5" s="40" t="s">
        <v>205</v>
      </c>
      <c r="B5" s="40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21">
      <c r="A6" s="8" t="s">
        <v>25</v>
      </c>
      <c r="B6" s="7" t="s">
        <v>206</v>
      </c>
      <c r="C6" s="7" t="s">
        <v>207</v>
      </c>
      <c r="D6" s="7" t="s">
        <v>208</v>
      </c>
      <c r="E6" s="7" t="s">
        <v>585</v>
      </c>
      <c r="F6" s="7" t="s">
        <v>554</v>
      </c>
      <c r="G6" s="14" t="s">
        <v>101</v>
      </c>
      <c r="H6" s="15" t="s">
        <v>63</v>
      </c>
      <c r="I6" s="14" t="s">
        <v>63</v>
      </c>
      <c r="J6" s="8"/>
      <c r="K6" s="14" t="s">
        <v>209</v>
      </c>
      <c r="L6" s="14" t="s">
        <v>92</v>
      </c>
      <c r="M6" s="15" t="s">
        <v>210</v>
      </c>
      <c r="N6" s="8"/>
      <c r="O6" s="14" t="s">
        <v>65</v>
      </c>
      <c r="P6" s="14" t="s">
        <v>37</v>
      </c>
      <c r="Q6" s="14" t="s">
        <v>38</v>
      </c>
      <c r="R6" s="8"/>
      <c r="S6" s="29" t="str">
        <f>"170,0"</f>
        <v>170,0</v>
      </c>
      <c r="T6" s="8" t="str">
        <f>"220,3880"</f>
        <v>220,3880</v>
      </c>
      <c r="U6" s="7" t="s">
        <v>211</v>
      </c>
    </row>
    <row r="7" spans="1:21">
      <c r="B7" s="5" t="s">
        <v>26</v>
      </c>
    </row>
    <row r="8" spans="1:21" ht="16">
      <c r="A8" s="33" t="s">
        <v>57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21">
      <c r="A9" s="8" t="s">
        <v>25</v>
      </c>
      <c r="B9" s="7" t="s">
        <v>212</v>
      </c>
      <c r="C9" s="7" t="s">
        <v>213</v>
      </c>
      <c r="D9" s="7" t="s">
        <v>214</v>
      </c>
      <c r="E9" s="7" t="s">
        <v>585</v>
      </c>
      <c r="F9" s="7" t="s">
        <v>126</v>
      </c>
      <c r="G9" s="15" t="s">
        <v>36</v>
      </c>
      <c r="H9" s="14" t="s">
        <v>36</v>
      </c>
      <c r="I9" s="14" t="s">
        <v>66</v>
      </c>
      <c r="J9" s="8"/>
      <c r="K9" s="14" t="s">
        <v>101</v>
      </c>
      <c r="L9" s="14" t="s">
        <v>215</v>
      </c>
      <c r="M9" s="15" t="s">
        <v>63</v>
      </c>
      <c r="N9" s="8"/>
      <c r="O9" s="14" t="s">
        <v>216</v>
      </c>
      <c r="P9" s="14" t="s">
        <v>217</v>
      </c>
      <c r="Q9" s="15" t="s">
        <v>187</v>
      </c>
      <c r="R9" s="8"/>
      <c r="S9" s="29" t="str">
        <f>"287,5"</f>
        <v>287,5</v>
      </c>
      <c r="T9" s="8" t="str">
        <f>"342,5850"</f>
        <v>342,5850</v>
      </c>
      <c r="U9" s="7"/>
    </row>
    <row r="10" spans="1:21">
      <c r="B10" s="5" t="s">
        <v>26</v>
      </c>
    </row>
    <row r="11" spans="1:21" ht="16">
      <c r="A11" s="33" t="s">
        <v>96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spans="1:21">
      <c r="A12" s="17" t="s">
        <v>34</v>
      </c>
      <c r="B12" s="16" t="s">
        <v>97</v>
      </c>
      <c r="C12" s="16" t="s">
        <v>98</v>
      </c>
      <c r="D12" s="16" t="s">
        <v>99</v>
      </c>
      <c r="E12" s="16" t="s">
        <v>585</v>
      </c>
      <c r="F12" s="16" t="s">
        <v>558</v>
      </c>
      <c r="G12" s="21" t="s">
        <v>218</v>
      </c>
      <c r="H12" s="21" t="s">
        <v>218</v>
      </c>
      <c r="I12" s="21" t="s">
        <v>218</v>
      </c>
      <c r="J12" s="17"/>
      <c r="K12" s="21"/>
      <c r="L12" s="17"/>
      <c r="M12" s="21"/>
      <c r="N12" s="17"/>
      <c r="O12" s="21"/>
      <c r="P12" s="17"/>
      <c r="Q12" s="17"/>
      <c r="R12" s="17"/>
      <c r="S12" s="30">
        <v>0</v>
      </c>
      <c r="T12" s="17" t="str">
        <f>"0,0000"</f>
        <v>0,0000</v>
      </c>
      <c r="U12" s="16"/>
    </row>
    <row r="13" spans="1:21">
      <c r="A13" s="19" t="s">
        <v>34</v>
      </c>
      <c r="B13" s="18" t="s">
        <v>97</v>
      </c>
      <c r="C13" s="18" t="s">
        <v>102</v>
      </c>
      <c r="D13" s="18" t="s">
        <v>99</v>
      </c>
      <c r="E13" s="18" t="s">
        <v>586</v>
      </c>
      <c r="F13" s="18" t="s">
        <v>558</v>
      </c>
      <c r="G13" s="23" t="s">
        <v>218</v>
      </c>
      <c r="H13" s="23" t="s">
        <v>218</v>
      </c>
      <c r="I13" s="23" t="s">
        <v>218</v>
      </c>
      <c r="J13" s="19"/>
      <c r="K13" s="23"/>
      <c r="L13" s="19"/>
      <c r="M13" s="23"/>
      <c r="N13" s="19"/>
      <c r="O13" s="23"/>
      <c r="P13" s="19"/>
      <c r="Q13" s="19"/>
      <c r="R13" s="19"/>
      <c r="S13" s="31">
        <v>0</v>
      </c>
      <c r="T13" s="19" t="str">
        <f>"0,0000"</f>
        <v>0,0000</v>
      </c>
      <c r="U13" s="18"/>
    </row>
    <row r="14" spans="1:21">
      <c r="B14" s="5" t="s">
        <v>26</v>
      </c>
    </row>
    <row r="15" spans="1:21" ht="16">
      <c r="A15" s="33" t="s">
        <v>219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</row>
    <row r="16" spans="1:21">
      <c r="A16" s="8" t="s">
        <v>25</v>
      </c>
      <c r="B16" s="7" t="s">
        <v>220</v>
      </c>
      <c r="C16" s="7" t="s">
        <v>221</v>
      </c>
      <c r="D16" s="7" t="s">
        <v>222</v>
      </c>
      <c r="E16" s="7" t="s">
        <v>585</v>
      </c>
      <c r="F16" s="7" t="s">
        <v>573</v>
      </c>
      <c r="G16" s="14" t="s">
        <v>94</v>
      </c>
      <c r="H16" s="15" t="s">
        <v>110</v>
      </c>
      <c r="I16" s="14" t="s">
        <v>110</v>
      </c>
      <c r="J16" s="8"/>
      <c r="K16" s="14" t="s">
        <v>65</v>
      </c>
      <c r="L16" s="14" t="s">
        <v>223</v>
      </c>
      <c r="M16" s="14" t="s">
        <v>90</v>
      </c>
      <c r="N16" s="8"/>
      <c r="O16" s="14" t="s">
        <v>224</v>
      </c>
      <c r="P16" s="15" t="s">
        <v>27</v>
      </c>
      <c r="Q16" s="8"/>
      <c r="R16" s="8"/>
      <c r="S16" s="29" t="str">
        <f>"267,5"</f>
        <v>267,5</v>
      </c>
      <c r="T16" s="8" t="str">
        <f>"275,6855"</f>
        <v>275,6855</v>
      </c>
      <c r="U16" s="7" t="s">
        <v>166</v>
      </c>
    </row>
    <row r="17" spans="1:21">
      <c r="B17" s="5" t="s">
        <v>26</v>
      </c>
    </row>
    <row r="18" spans="1:21" ht="16">
      <c r="A18" s="33" t="s">
        <v>205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</row>
    <row r="19" spans="1:21">
      <c r="A19" s="8" t="s">
        <v>25</v>
      </c>
      <c r="B19" s="7" t="s">
        <v>225</v>
      </c>
      <c r="C19" s="7" t="s">
        <v>226</v>
      </c>
      <c r="D19" s="7" t="s">
        <v>227</v>
      </c>
      <c r="E19" s="7" t="s">
        <v>588</v>
      </c>
      <c r="F19" s="7" t="s">
        <v>560</v>
      </c>
      <c r="G19" s="14" t="s">
        <v>90</v>
      </c>
      <c r="H19" s="15" t="s">
        <v>218</v>
      </c>
      <c r="I19" s="14" t="s">
        <v>218</v>
      </c>
      <c r="J19" s="8"/>
      <c r="K19" s="14" t="s">
        <v>92</v>
      </c>
      <c r="L19" s="14" t="s">
        <v>100</v>
      </c>
      <c r="M19" s="14" t="s">
        <v>63</v>
      </c>
      <c r="N19" s="8"/>
      <c r="O19" s="14" t="s">
        <v>39</v>
      </c>
      <c r="P19" s="14" t="s">
        <v>224</v>
      </c>
      <c r="Q19" s="14" t="s">
        <v>27</v>
      </c>
      <c r="R19" s="8"/>
      <c r="S19" s="29" t="str">
        <f>"250,0"</f>
        <v>250,0</v>
      </c>
      <c r="T19" s="8" t="str">
        <f>"246,8250"</f>
        <v>246,8250</v>
      </c>
      <c r="U19" s="7" t="s">
        <v>228</v>
      </c>
    </row>
    <row r="20" spans="1:21">
      <c r="B20" s="5" t="s">
        <v>26</v>
      </c>
    </row>
    <row r="21" spans="1:21" ht="16">
      <c r="A21" s="33" t="s">
        <v>96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</row>
    <row r="22" spans="1:21">
      <c r="A22" s="8" t="s">
        <v>25</v>
      </c>
      <c r="B22" s="7" t="s">
        <v>229</v>
      </c>
      <c r="C22" s="7" t="s">
        <v>230</v>
      </c>
      <c r="D22" s="7" t="s">
        <v>231</v>
      </c>
      <c r="E22" s="7" t="s">
        <v>588</v>
      </c>
      <c r="F22" s="7" t="s">
        <v>561</v>
      </c>
      <c r="G22" s="14" t="s">
        <v>27</v>
      </c>
      <c r="H22" s="14" t="s">
        <v>232</v>
      </c>
      <c r="I22" s="14" t="s">
        <v>187</v>
      </c>
      <c r="J22" s="8"/>
      <c r="K22" s="14" t="s">
        <v>90</v>
      </c>
      <c r="L22" s="14" t="s">
        <v>37</v>
      </c>
      <c r="M22" s="14" t="s">
        <v>233</v>
      </c>
      <c r="N22" s="8"/>
      <c r="O22" s="14" t="s">
        <v>187</v>
      </c>
      <c r="P22" s="14" t="s">
        <v>28</v>
      </c>
      <c r="Q22" s="15" t="s">
        <v>71</v>
      </c>
      <c r="R22" s="8"/>
      <c r="S22" s="29" t="str">
        <f>"357,5"</f>
        <v>357,5</v>
      </c>
      <c r="T22" s="8" t="str">
        <f>"304,9118"</f>
        <v>304,9118</v>
      </c>
      <c r="U22" s="7" t="s">
        <v>174</v>
      </c>
    </row>
    <row r="23" spans="1:21">
      <c r="B23" s="5" t="s">
        <v>26</v>
      </c>
    </row>
    <row r="24" spans="1:21" ht="16">
      <c r="A24" s="33" t="s">
        <v>219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</row>
    <row r="25" spans="1:21">
      <c r="A25" s="17" t="s">
        <v>25</v>
      </c>
      <c r="B25" s="16" t="s">
        <v>234</v>
      </c>
      <c r="C25" s="16" t="s">
        <v>235</v>
      </c>
      <c r="D25" s="16" t="s">
        <v>236</v>
      </c>
      <c r="E25" s="16" t="s">
        <v>588</v>
      </c>
      <c r="F25" s="16" t="s">
        <v>561</v>
      </c>
      <c r="G25" s="20" t="s">
        <v>27</v>
      </c>
      <c r="H25" s="20" t="s">
        <v>187</v>
      </c>
      <c r="I25" s="20" t="s">
        <v>237</v>
      </c>
      <c r="J25" s="17"/>
      <c r="K25" s="20" t="s">
        <v>90</v>
      </c>
      <c r="L25" s="20" t="s">
        <v>37</v>
      </c>
      <c r="M25" s="21" t="s">
        <v>218</v>
      </c>
      <c r="N25" s="17"/>
      <c r="O25" s="20" t="s">
        <v>187</v>
      </c>
      <c r="P25" s="20" t="s">
        <v>74</v>
      </c>
      <c r="Q25" s="20" t="s">
        <v>28</v>
      </c>
      <c r="R25" s="17"/>
      <c r="S25" s="30" t="str">
        <f>"357,5"</f>
        <v>357,5</v>
      </c>
      <c r="T25" s="17" t="str">
        <f>"276,3117"</f>
        <v>276,3117</v>
      </c>
      <c r="U25" s="16" t="s">
        <v>174</v>
      </c>
    </row>
    <row r="26" spans="1:21">
      <c r="A26" s="25" t="s">
        <v>202</v>
      </c>
      <c r="B26" s="24" t="s">
        <v>238</v>
      </c>
      <c r="C26" s="24" t="s">
        <v>239</v>
      </c>
      <c r="D26" s="24" t="s">
        <v>240</v>
      </c>
      <c r="E26" s="24" t="s">
        <v>588</v>
      </c>
      <c r="F26" s="24" t="s">
        <v>560</v>
      </c>
      <c r="G26" s="26" t="s">
        <v>36</v>
      </c>
      <c r="H26" s="26" t="s">
        <v>62</v>
      </c>
      <c r="I26" s="26" t="s">
        <v>216</v>
      </c>
      <c r="J26" s="25"/>
      <c r="K26" s="26" t="s">
        <v>90</v>
      </c>
      <c r="L26" s="26" t="s">
        <v>218</v>
      </c>
      <c r="M26" s="27" t="s">
        <v>93</v>
      </c>
      <c r="N26" s="25"/>
      <c r="O26" s="26" t="s">
        <v>224</v>
      </c>
      <c r="P26" s="26" t="s">
        <v>232</v>
      </c>
      <c r="Q26" s="26" t="s">
        <v>73</v>
      </c>
      <c r="R26" s="25"/>
      <c r="S26" s="32" t="str">
        <f>"332,5"</f>
        <v>332,5</v>
      </c>
      <c r="T26" s="25" t="str">
        <f>"266,1330"</f>
        <v>266,1330</v>
      </c>
      <c r="U26" s="24" t="s">
        <v>253</v>
      </c>
    </row>
    <row r="27" spans="1:21">
      <c r="A27" s="19" t="s">
        <v>25</v>
      </c>
      <c r="B27" s="18" t="s">
        <v>241</v>
      </c>
      <c r="C27" s="18" t="s">
        <v>242</v>
      </c>
      <c r="D27" s="18" t="s">
        <v>243</v>
      </c>
      <c r="E27" s="18" t="s">
        <v>585</v>
      </c>
      <c r="F27" s="18" t="s">
        <v>561</v>
      </c>
      <c r="G27" s="23" t="s">
        <v>74</v>
      </c>
      <c r="H27" s="22" t="s">
        <v>74</v>
      </c>
      <c r="I27" s="22" t="s">
        <v>29</v>
      </c>
      <c r="J27" s="19"/>
      <c r="K27" s="22" t="s">
        <v>244</v>
      </c>
      <c r="L27" s="22" t="s">
        <v>35</v>
      </c>
      <c r="M27" s="22" t="s">
        <v>36</v>
      </c>
      <c r="N27" s="19"/>
      <c r="O27" s="22" t="s">
        <v>111</v>
      </c>
      <c r="P27" s="22" t="s">
        <v>119</v>
      </c>
      <c r="Q27" s="19"/>
      <c r="R27" s="19"/>
      <c r="S27" s="31" t="str">
        <f>"460,0"</f>
        <v>460,0</v>
      </c>
      <c r="T27" s="19" t="str">
        <f>"358,1100"</f>
        <v>358,1100</v>
      </c>
      <c r="U27" s="18" t="s">
        <v>174</v>
      </c>
    </row>
    <row r="28" spans="1:21">
      <c r="B28" s="5" t="s">
        <v>26</v>
      </c>
    </row>
    <row r="29" spans="1:21" ht="16">
      <c r="A29" s="33" t="s">
        <v>103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</row>
    <row r="30" spans="1:21">
      <c r="A30" s="17" t="s">
        <v>25</v>
      </c>
      <c r="B30" s="16" t="s">
        <v>245</v>
      </c>
      <c r="C30" s="16" t="s">
        <v>246</v>
      </c>
      <c r="D30" s="16" t="s">
        <v>247</v>
      </c>
      <c r="E30" s="16" t="s">
        <v>589</v>
      </c>
      <c r="F30" s="16" t="s">
        <v>192</v>
      </c>
      <c r="G30" s="20" t="s">
        <v>108</v>
      </c>
      <c r="H30" s="20" t="s">
        <v>29</v>
      </c>
      <c r="I30" s="21" t="s">
        <v>109</v>
      </c>
      <c r="J30" s="17"/>
      <c r="K30" s="20" t="s">
        <v>36</v>
      </c>
      <c r="L30" s="20" t="s">
        <v>224</v>
      </c>
      <c r="M30" s="21" t="s">
        <v>61</v>
      </c>
      <c r="N30" s="17"/>
      <c r="O30" s="20" t="s">
        <v>29</v>
      </c>
      <c r="P30" s="20" t="s">
        <v>30</v>
      </c>
      <c r="Q30" s="20" t="s">
        <v>31</v>
      </c>
      <c r="R30" s="17"/>
      <c r="S30" s="30" t="str">
        <f>"435,0"</f>
        <v>435,0</v>
      </c>
      <c r="T30" s="17" t="str">
        <f>"315,9840"</f>
        <v>315,9840</v>
      </c>
      <c r="U30" s="16" t="s">
        <v>248</v>
      </c>
    </row>
    <row r="31" spans="1:21">
      <c r="A31" s="19" t="s">
        <v>25</v>
      </c>
      <c r="B31" s="18" t="s">
        <v>249</v>
      </c>
      <c r="C31" s="18" t="s">
        <v>250</v>
      </c>
      <c r="D31" s="18" t="s">
        <v>251</v>
      </c>
      <c r="E31" s="18" t="s">
        <v>585</v>
      </c>
      <c r="F31" s="18" t="s">
        <v>560</v>
      </c>
      <c r="G31" s="22" t="s">
        <v>111</v>
      </c>
      <c r="H31" s="22" t="s">
        <v>75</v>
      </c>
      <c r="I31" s="23" t="s">
        <v>164</v>
      </c>
      <c r="J31" s="19"/>
      <c r="K31" s="22" t="s">
        <v>27</v>
      </c>
      <c r="L31" s="22" t="s">
        <v>217</v>
      </c>
      <c r="M31" s="22" t="s">
        <v>252</v>
      </c>
      <c r="N31" s="19"/>
      <c r="O31" s="23" t="s">
        <v>82</v>
      </c>
      <c r="P31" s="22" t="s">
        <v>75</v>
      </c>
      <c r="Q31" s="22" t="s">
        <v>119</v>
      </c>
      <c r="R31" s="19"/>
      <c r="S31" s="31" t="str">
        <f>"522,5"</f>
        <v>522,5</v>
      </c>
      <c r="T31" s="19" t="str">
        <f>"372,3335"</f>
        <v>372,3335</v>
      </c>
      <c r="U31" s="18" t="s">
        <v>253</v>
      </c>
    </row>
    <row r="32" spans="1:21">
      <c r="B32" s="5" t="s">
        <v>26</v>
      </c>
    </row>
    <row r="33" spans="1:21" ht="16">
      <c r="A33" s="33" t="s">
        <v>115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</row>
    <row r="34" spans="1:21">
      <c r="A34" s="17" t="s">
        <v>34</v>
      </c>
      <c r="B34" s="16" t="s">
        <v>254</v>
      </c>
      <c r="C34" s="16" t="s">
        <v>255</v>
      </c>
      <c r="D34" s="16" t="s">
        <v>256</v>
      </c>
      <c r="E34" s="16" t="s">
        <v>588</v>
      </c>
      <c r="F34" s="16" t="s">
        <v>563</v>
      </c>
      <c r="G34" s="21" t="s">
        <v>73</v>
      </c>
      <c r="H34" s="21" t="s">
        <v>73</v>
      </c>
      <c r="I34" s="21" t="s">
        <v>73</v>
      </c>
      <c r="J34" s="17"/>
      <c r="K34" s="21"/>
      <c r="L34" s="17"/>
      <c r="M34" s="17"/>
      <c r="N34" s="17"/>
      <c r="O34" s="21"/>
      <c r="P34" s="17"/>
      <c r="Q34" s="17"/>
      <c r="R34" s="17"/>
      <c r="S34" s="30">
        <v>0</v>
      </c>
      <c r="T34" s="17" t="str">
        <f>"0,0000"</f>
        <v>0,0000</v>
      </c>
      <c r="U34" s="16" t="s">
        <v>258</v>
      </c>
    </row>
    <row r="35" spans="1:21">
      <c r="A35" s="25" t="s">
        <v>25</v>
      </c>
      <c r="B35" s="24" t="s">
        <v>259</v>
      </c>
      <c r="C35" s="24" t="s">
        <v>260</v>
      </c>
      <c r="D35" s="24" t="s">
        <v>261</v>
      </c>
      <c r="E35" s="24" t="s">
        <v>589</v>
      </c>
      <c r="F35" s="24" t="s">
        <v>561</v>
      </c>
      <c r="G35" s="26" t="s">
        <v>73</v>
      </c>
      <c r="H35" s="26" t="s">
        <v>74</v>
      </c>
      <c r="I35" s="26" t="s">
        <v>28</v>
      </c>
      <c r="J35" s="25"/>
      <c r="K35" s="26" t="s">
        <v>39</v>
      </c>
      <c r="L35" s="26" t="s">
        <v>244</v>
      </c>
      <c r="M35" s="27" t="s">
        <v>35</v>
      </c>
      <c r="N35" s="25"/>
      <c r="O35" s="26" t="s">
        <v>31</v>
      </c>
      <c r="P35" s="26" t="s">
        <v>75</v>
      </c>
      <c r="Q35" s="26" t="s">
        <v>131</v>
      </c>
      <c r="R35" s="25"/>
      <c r="S35" s="32" t="str">
        <f>"440,0"</f>
        <v>440,0</v>
      </c>
      <c r="T35" s="25" t="str">
        <f>"305,3160"</f>
        <v>305,3160</v>
      </c>
      <c r="U35" s="24" t="s">
        <v>174</v>
      </c>
    </row>
    <row r="36" spans="1:21">
      <c r="A36" s="25" t="s">
        <v>202</v>
      </c>
      <c r="B36" s="24" t="s">
        <v>262</v>
      </c>
      <c r="C36" s="24" t="s">
        <v>263</v>
      </c>
      <c r="D36" s="24" t="s">
        <v>264</v>
      </c>
      <c r="E36" s="24" t="s">
        <v>589</v>
      </c>
      <c r="F36" s="24" t="s">
        <v>561</v>
      </c>
      <c r="G36" s="26" t="s">
        <v>73</v>
      </c>
      <c r="H36" s="26" t="s">
        <v>74</v>
      </c>
      <c r="I36" s="26" t="s">
        <v>28</v>
      </c>
      <c r="J36" s="25"/>
      <c r="K36" s="26" t="s">
        <v>39</v>
      </c>
      <c r="L36" s="26" t="s">
        <v>244</v>
      </c>
      <c r="M36" s="26" t="s">
        <v>35</v>
      </c>
      <c r="N36" s="25"/>
      <c r="O36" s="26" t="s">
        <v>31</v>
      </c>
      <c r="P36" s="26" t="s">
        <v>75</v>
      </c>
      <c r="Q36" s="27" t="s">
        <v>131</v>
      </c>
      <c r="R36" s="25"/>
      <c r="S36" s="32" t="str">
        <f>"440,0"</f>
        <v>440,0</v>
      </c>
      <c r="T36" s="25" t="str">
        <f>"296,9560"</f>
        <v>296,9560</v>
      </c>
      <c r="U36" s="24" t="s">
        <v>174</v>
      </c>
    </row>
    <row r="37" spans="1:21">
      <c r="A37" s="25" t="s">
        <v>203</v>
      </c>
      <c r="B37" s="24" t="s">
        <v>265</v>
      </c>
      <c r="C37" s="24" t="s">
        <v>266</v>
      </c>
      <c r="D37" s="24" t="s">
        <v>267</v>
      </c>
      <c r="E37" s="24" t="s">
        <v>589</v>
      </c>
      <c r="F37" s="24" t="s">
        <v>564</v>
      </c>
      <c r="G37" s="27" t="s">
        <v>187</v>
      </c>
      <c r="H37" s="26" t="s">
        <v>187</v>
      </c>
      <c r="I37" s="26" t="s">
        <v>73</v>
      </c>
      <c r="J37" s="25"/>
      <c r="K37" s="26" t="s">
        <v>38</v>
      </c>
      <c r="L37" s="27" t="s">
        <v>39</v>
      </c>
      <c r="M37" s="26" t="s">
        <v>39</v>
      </c>
      <c r="N37" s="25"/>
      <c r="O37" s="27" t="s">
        <v>187</v>
      </c>
      <c r="P37" s="26" t="s">
        <v>187</v>
      </c>
      <c r="Q37" s="27" t="s">
        <v>74</v>
      </c>
      <c r="R37" s="25"/>
      <c r="S37" s="32" t="str">
        <f>"355,0"</f>
        <v>355,0</v>
      </c>
      <c r="T37" s="25" t="str">
        <f>"242,7490"</f>
        <v>242,7490</v>
      </c>
      <c r="U37" s="24"/>
    </row>
    <row r="38" spans="1:21">
      <c r="A38" s="25" t="s">
        <v>25</v>
      </c>
      <c r="B38" s="24" t="s">
        <v>268</v>
      </c>
      <c r="C38" s="24" t="s">
        <v>269</v>
      </c>
      <c r="D38" s="24" t="s">
        <v>270</v>
      </c>
      <c r="E38" s="24" t="s">
        <v>590</v>
      </c>
      <c r="F38" s="24" t="s">
        <v>33</v>
      </c>
      <c r="G38" s="26" t="s">
        <v>82</v>
      </c>
      <c r="H38" s="26" t="s">
        <v>159</v>
      </c>
      <c r="I38" s="26" t="s">
        <v>119</v>
      </c>
      <c r="J38" s="25"/>
      <c r="K38" s="26" t="s">
        <v>108</v>
      </c>
      <c r="L38" s="26" t="s">
        <v>29</v>
      </c>
      <c r="M38" s="26" t="s">
        <v>271</v>
      </c>
      <c r="N38" s="25"/>
      <c r="O38" s="26" t="s">
        <v>127</v>
      </c>
      <c r="P38" s="26" t="s">
        <v>122</v>
      </c>
      <c r="Q38" s="27" t="s">
        <v>123</v>
      </c>
      <c r="R38" s="25"/>
      <c r="S38" s="32" t="str">
        <f>"607,5"</f>
        <v>607,5</v>
      </c>
      <c r="T38" s="25" t="str">
        <f>"415,7123"</f>
        <v>415,7123</v>
      </c>
      <c r="U38" s="24"/>
    </row>
    <row r="39" spans="1:21">
      <c r="A39" s="25" t="s">
        <v>25</v>
      </c>
      <c r="B39" s="24" t="s">
        <v>268</v>
      </c>
      <c r="C39" s="24" t="s">
        <v>272</v>
      </c>
      <c r="D39" s="24" t="s">
        <v>270</v>
      </c>
      <c r="E39" s="24" t="s">
        <v>585</v>
      </c>
      <c r="F39" s="24" t="s">
        <v>33</v>
      </c>
      <c r="G39" s="26" t="s">
        <v>82</v>
      </c>
      <c r="H39" s="26" t="s">
        <v>159</v>
      </c>
      <c r="I39" s="26" t="s">
        <v>119</v>
      </c>
      <c r="J39" s="25"/>
      <c r="K39" s="26" t="s">
        <v>108</v>
      </c>
      <c r="L39" s="26" t="s">
        <v>29</v>
      </c>
      <c r="M39" s="26" t="s">
        <v>271</v>
      </c>
      <c r="N39" s="25"/>
      <c r="O39" s="26" t="s">
        <v>127</v>
      </c>
      <c r="P39" s="26" t="s">
        <v>122</v>
      </c>
      <c r="Q39" s="27" t="s">
        <v>123</v>
      </c>
      <c r="R39" s="25"/>
      <c r="S39" s="32" t="str">
        <f>"607,5"</f>
        <v>607,5</v>
      </c>
      <c r="T39" s="25" t="str">
        <f>"415,7123"</f>
        <v>415,7123</v>
      </c>
      <c r="U39" s="24"/>
    </row>
    <row r="40" spans="1:21">
      <c r="A40" s="25" t="s">
        <v>202</v>
      </c>
      <c r="B40" s="24" t="s">
        <v>273</v>
      </c>
      <c r="C40" s="24" t="s">
        <v>274</v>
      </c>
      <c r="D40" s="24" t="s">
        <v>118</v>
      </c>
      <c r="E40" s="24" t="s">
        <v>585</v>
      </c>
      <c r="F40" s="24" t="s">
        <v>275</v>
      </c>
      <c r="G40" s="27" t="s">
        <v>75</v>
      </c>
      <c r="H40" s="26" t="s">
        <v>75</v>
      </c>
      <c r="I40" s="27" t="s">
        <v>119</v>
      </c>
      <c r="J40" s="25"/>
      <c r="K40" s="27" t="s">
        <v>73</v>
      </c>
      <c r="L40" s="26" t="s">
        <v>73</v>
      </c>
      <c r="M40" s="27" t="s">
        <v>74</v>
      </c>
      <c r="N40" s="25"/>
      <c r="O40" s="26" t="s">
        <v>127</v>
      </c>
      <c r="P40" s="26" t="s">
        <v>152</v>
      </c>
      <c r="Q40" s="27" t="s">
        <v>186</v>
      </c>
      <c r="R40" s="25"/>
      <c r="S40" s="32" t="str">
        <f>"562,5"</f>
        <v>562,5</v>
      </c>
      <c r="T40" s="25" t="str">
        <f>"379,0688"</f>
        <v>379,0688</v>
      </c>
      <c r="U40" s="24"/>
    </row>
    <row r="41" spans="1:21">
      <c r="A41" s="19" t="s">
        <v>25</v>
      </c>
      <c r="B41" s="18" t="s">
        <v>276</v>
      </c>
      <c r="C41" s="18" t="s">
        <v>277</v>
      </c>
      <c r="D41" s="18" t="s">
        <v>256</v>
      </c>
      <c r="E41" s="18" t="s">
        <v>586</v>
      </c>
      <c r="F41" s="18" t="s">
        <v>560</v>
      </c>
      <c r="G41" s="22" t="s">
        <v>29</v>
      </c>
      <c r="H41" s="22" t="s">
        <v>30</v>
      </c>
      <c r="I41" s="22" t="s">
        <v>82</v>
      </c>
      <c r="J41" s="19"/>
      <c r="K41" s="22" t="s">
        <v>27</v>
      </c>
      <c r="L41" s="22" t="s">
        <v>187</v>
      </c>
      <c r="M41" s="23" t="s">
        <v>74</v>
      </c>
      <c r="N41" s="19"/>
      <c r="O41" s="22" t="s">
        <v>82</v>
      </c>
      <c r="P41" s="22" t="s">
        <v>131</v>
      </c>
      <c r="Q41" s="22" t="s">
        <v>120</v>
      </c>
      <c r="R41" s="19"/>
      <c r="S41" s="31" t="str">
        <f>"520,0"</f>
        <v>520,0</v>
      </c>
      <c r="T41" s="19" t="str">
        <f>"363,6753"</f>
        <v>363,6753</v>
      </c>
      <c r="U41" s="18"/>
    </row>
    <row r="42" spans="1:21">
      <c r="B42" s="5" t="s">
        <v>26</v>
      </c>
    </row>
    <row r="43" spans="1:21" ht="16">
      <c r="A43" s="33" t="s">
        <v>67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</row>
    <row r="44" spans="1:21">
      <c r="A44" s="17" t="s">
        <v>25</v>
      </c>
      <c r="B44" s="16" t="s">
        <v>278</v>
      </c>
      <c r="C44" s="16" t="s">
        <v>279</v>
      </c>
      <c r="D44" s="16" t="s">
        <v>280</v>
      </c>
      <c r="E44" s="16" t="s">
        <v>585</v>
      </c>
      <c r="F44" s="16" t="s">
        <v>281</v>
      </c>
      <c r="G44" s="20" t="s">
        <v>120</v>
      </c>
      <c r="H44" s="21" t="s">
        <v>48</v>
      </c>
      <c r="I44" s="20" t="s">
        <v>48</v>
      </c>
      <c r="J44" s="17"/>
      <c r="K44" s="21" t="s">
        <v>71</v>
      </c>
      <c r="L44" s="20" t="s">
        <v>71</v>
      </c>
      <c r="M44" s="21" t="s">
        <v>282</v>
      </c>
      <c r="N44" s="17"/>
      <c r="O44" s="21" t="s">
        <v>120</v>
      </c>
      <c r="P44" s="21" t="s">
        <v>283</v>
      </c>
      <c r="Q44" s="20" t="s">
        <v>283</v>
      </c>
      <c r="R44" s="17"/>
      <c r="S44" s="30" t="str">
        <f>"607,5"</f>
        <v>607,5</v>
      </c>
      <c r="T44" s="17" t="str">
        <f>"392,8703"</f>
        <v>392,8703</v>
      </c>
      <c r="U44" s="16"/>
    </row>
    <row r="45" spans="1:21">
      <c r="A45" s="19" t="s">
        <v>25</v>
      </c>
      <c r="B45" s="18" t="s">
        <v>278</v>
      </c>
      <c r="C45" s="18" t="s">
        <v>284</v>
      </c>
      <c r="D45" s="18" t="s">
        <v>280</v>
      </c>
      <c r="E45" s="18" t="s">
        <v>586</v>
      </c>
      <c r="F45" s="18" t="s">
        <v>281</v>
      </c>
      <c r="G45" s="22" t="s">
        <v>120</v>
      </c>
      <c r="H45" s="23" t="s">
        <v>48</v>
      </c>
      <c r="I45" s="22" t="s">
        <v>48</v>
      </c>
      <c r="J45" s="19"/>
      <c r="K45" s="23" t="s">
        <v>71</v>
      </c>
      <c r="L45" s="22" t="s">
        <v>71</v>
      </c>
      <c r="M45" s="23" t="s">
        <v>282</v>
      </c>
      <c r="N45" s="19"/>
      <c r="O45" s="23" t="s">
        <v>120</v>
      </c>
      <c r="P45" s="23" t="s">
        <v>283</v>
      </c>
      <c r="Q45" s="22" t="s">
        <v>283</v>
      </c>
      <c r="R45" s="19"/>
      <c r="S45" s="31" t="str">
        <f>"607,5"</f>
        <v>607,5</v>
      </c>
      <c r="T45" s="19" t="str">
        <f>"437,6575"</f>
        <v>437,6575</v>
      </c>
      <c r="U45" s="18"/>
    </row>
    <row r="46" spans="1:21">
      <c r="B46" s="5" t="s">
        <v>26</v>
      </c>
    </row>
    <row r="47" spans="1:21" ht="16">
      <c r="A47" s="33" t="s">
        <v>32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</row>
    <row r="48" spans="1:21">
      <c r="A48" s="8" t="s">
        <v>34</v>
      </c>
      <c r="B48" s="7" t="s">
        <v>285</v>
      </c>
      <c r="C48" s="7" t="s">
        <v>286</v>
      </c>
      <c r="D48" s="7" t="s">
        <v>287</v>
      </c>
      <c r="E48" s="7" t="s">
        <v>585</v>
      </c>
      <c r="F48" s="7" t="s">
        <v>559</v>
      </c>
      <c r="G48" s="15" t="s">
        <v>50</v>
      </c>
      <c r="H48" s="14" t="s">
        <v>53</v>
      </c>
      <c r="I48" s="14" t="s">
        <v>54</v>
      </c>
      <c r="J48" s="8"/>
      <c r="K48" s="15" t="s">
        <v>71</v>
      </c>
      <c r="L48" s="15" t="s">
        <v>71</v>
      </c>
      <c r="M48" s="15" t="s">
        <v>71</v>
      </c>
      <c r="N48" s="8"/>
      <c r="O48" s="15"/>
      <c r="P48" s="8"/>
      <c r="Q48" s="8"/>
      <c r="R48" s="8"/>
      <c r="S48" s="29">
        <v>0</v>
      </c>
      <c r="T48" s="8" t="str">
        <f>"0,0000"</f>
        <v>0,0000</v>
      </c>
      <c r="U48" s="7"/>
    </row>
    <row r="49" spans="1:21">
      <c r="B49" s="5" t="s">
        <v>26</v>
      </c>
    </row>
    <row r="50" spans="1:21" ht="16">
      <c r="A50" s="33" t="s">
        <v>8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</row>
    <row r="51" spans="1:21">
      <c r="A51" s="17" t="s">
        <v>25</v>
      </c>
      <c r="B51" s="16" t="s">
        <v>179</v>
      </c>
      <c r="C51" s="16" t="s">
        <v>180</v>
      </c>
      <c r="D51" s="16" t="s">
        <v>181</v>
      </c>
      <c r="E51" s="16" t="s">
        <v>585</v>
      </c>
      <c r="F51" s="16" t="s">
        <v>558</v>
      </c>
      <c r="G51" s="20" t="s">
        <v>48</v>
      </c>
      <c r="H51" s="20" t="s">
        <v>52</v>
      </c>
      <c r="I51" s="20" t="s">
        <v>50</v>
      </c>
      <c r="J51" s="17"/>
      <c r="K51" s="20" t="s">
        <v>71</v>
      </c>
      <c r="L51" s="21" t="s">
        <v>31</v>
      </c>
      <c r="M51" s="21" t="s">
        <v>31</v>
      </c>
      <c r="N51" s="17"/>
      <c r="O51" s="20" t="s">
        <v>120</v>
      </c>
      <c r="P51" s="21" t="s">
        <v>48</v>
      </c>
      <c r="Q51" s="20" t="s">
        <v>48</v>
      </c>
      <c r="R51" s="17"/>
      <c r="S51" s="30" t="str">
        <f>"620,0"</f>
        <v>620,0</v>
      </c>
      <c r="T51" s="17" t="str">
        <f>"366,9780"</f>
        <v>366,9780</v>
      </c>
      <c r="U51" s="16"/>
    </row>
    <row r="52" spans="1:21">
      <c r="A52" s="19" t="s">
        <v>25</v>
      </c>
      <c r="B52" s="18" t="s">
        <v>179</v>
      </c>
      <c r="C52" s="18" t="s">
        <v>182</v>
      </c>
      <c r="D52" s="18" t="s">
        <v>181</v>
      </c>
      <c r="E52" s="18" t="s">
        <v>586</v>
      </c>
      <c r="F52" s="18" t="s">
        <v>558</v>
      </c>
      <c r="G52" s="22" t="s">
        <v>48</v>
      </c>
      <c r="H52" s="22" t="s">
        <v>52</v>
      </c>
      <c r="I52" s="22" t="s">
        <v>50</v>
      </c>
      <c r="J52" s="19"/>
      <c r="K52" s="22" t="s">
        <v>71</v>
      </c>
      <c r="L52" s="23" t="s">
        <v>31</v>
      </c>
      <c r="M52" s="23" t="s">
        <v>31</v>
      </c>
      <c r="N52" s="19"/>
      <c r="O52" s="22" t="s">
        <v>120</v>
      </c>
      <c r="P52" s="23" t="s">
        <v>48</v>
      </c>
      <c r="Q52" s="22" t="s">
        <v>48</v>
      </c>
      <c r="R52" s="19"/>
      <c r="S52" s="31" t="str">
        <f>"620,0"</f>
        <v>620,0</v>
      </c>
      <c r="T52" s="19" t="str">
        <f>"388,9967"</f>
        <v>388,9967</v>
      </c>
      <c r="U52" s="18"/>
    </row>
    <row r="53" spans="1:21">
      <c r="B53" s="5" t="s">
        <v>26</v>
      </c>
    </row>
    <row r="54" spans="1:21">
      <c r="B54" s="5" t="s">
        <v>26</v>
      </c>
    </row>
    <row r="55" spans="1:21">
      <c r="B55" s="5" t="s">
        <v>26</v>
      </c>
    </row>
    <row r="56" spans="1:21" ht="18">
      <c r="B56" s="9" t="s">
        <v>13</v>
      </c>
      <c r="C56" s="9"/>
      <c r="F56" s="3"/>
    </row>
    <row r="57" spans="1:21" ht="16">
      <c r="B57" s="10" t="s">
        <v>14</v>
      </c>
      <c r="C57" s="10"/>
      <c r="F57" s="3"/>
    </row>
    <row r="58" spans="1:21" ht="14">
      <c r="B58" s="11"/>
      <c r="C58" s="12" t="s">
        <v>289</v>
      </c>
      <c r="F58" s="3"/>
    </row>
    <row r="59" spans="1:21" ht="14">
      <c r="B59" s="13" t="s">
        <v>16</v>
      </c>
      <c r="C59" s="13" t="s">
        <v>17</v>
      </c>
      <c r="D59" s="13" t="s">
        <v>566</v>
      </c>
      <c r="E59" s="13" t="s">
        <v>19</v>
      </c>
      <c r="F59" s="13" t="s">
        <v>55</v>
      </c>
    </row>
    <row r="60" spans="1:21">
      <c r="B60" s="5" t="s">
        <v>245</v>
      </c>
      <c r="C60" s="5" t="s">
        <v>290</v>
      </c>
      <c r="D60" s="6" t="s">
        <v>194</v>
      </c>
      <c r="E60" s="6" t="s">
        <v>291</v>
      </c>
      <c r="F60" s="6" t="s">
        <v>292</v>
      </c>
    </row>
    <row r="61" spans="1:21">
      <c r="B61" s="5" t="s">
        <v>259</v>
      </c>
      <c r="C61" s="5" t="s">
        <v>290</v>
      </c>
      <c r="D61" s="6" t="s">
        <v>293</v>
      </c>
      <c r="E61" s="6" t="s">
        <v>294</v>
      </c>
      <c r="F61" s="6" t="s">
        <v>295</v>
      </c>
    </row>
    <row r="62" spans="1:21">
      <c r="B62" s="5" t="s">
        <v>229</v>
      </c>
      <c r="C62" s="5" t="s">
        <v>296</v>
      </c>
      <c r="D62" s="6" t="s">
        <v>195</v>
      </c>
      <c r="E62" s="6" t="s">
        <v>297</v>
      </c>
      <c r="F62" s="6" t="s">
        <v>298</v>
      </c>
    </row>
  </sheetData>
  <mergeCells count="25"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21:R21"/>
    <mergeCell ref="A24:R24"/>
    <mergeCell ref="S3:S4"/>
    <mergeCell ref="T3:T4"/>
    <mergeCell ref="U3:U4"/>
    <mergeCell ref="A5:R5"/>
    <mergeCell ref="B3:B4"/>
    <mergeCell ref="A8:R8"/>
    <mergeCell ref="A11:R11"/>
    <mergeCell ref="A15:R15"/>
    <mergeCell ref="A18:R18"/>
    <mergeCell ref="A29:R29"/>
    <mergeCell ref="A33:R33"/>
    <mergeCell ref="A43:R43"/>
    <mergeCell ref="A47:R47"/>
    <mergeCell ref="A50:R5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6.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31.16406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5.5" style="5" bestFit="1" customWidth="1"/>
    <col min="14" max="16384" width="9.1640625" style="3"/>
  </cols>
  <sheetData>
    <row r="1" spans="1:13" s="2" customFormat="1" ht="29" customHeight="1">
      <c r="A1" s="44" t="s">
        <v>546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582</v>
      </c>
      <c r="B3" s="42" t="s">
        <v>0</v>
      </c>
      <c r="C3" s="54" t="s">
        <v>583</v>
      </c>
      <c r="D3" s="54" t="s">
        <v>7</v>
      </c>
      <c r="E3" s="36" t="s">
        <v>584</v>
      </c>
      <c r="F3" s="36" t="s">
        <v>6</v>
      </c>
      <c r="G3" s="36" t="s">
        <v>43</v>
      </c>
      <c r="H3" s="36"/>
      <c r="I3" s="36"/>
      <c r="J3" s="36"/>
      <c r="K3" s="36" t="s">
        <v>24</v>
      </c>
      <c r="L3" s="36" t="s">
        <v>3</v>
      </c>
      <c r="M3" s="38" t="s">
        <v>2</v>
      </c>
    </row>
    <row r="4" spans="1:13" s="1" customFormat="1" ht="21" customHeight="1" thickBot="1">
      <c r="A4" s="53"/>
      <c r="B4" s="43"/>
      <c r="C4" s="37"/>
      <c r="D4" s="37"/>
      <c r="E4" s="37"/>
      <c r="F4" s="37"/>
      <c r="G4" s="4">
        <v>1</v>
      </c>
      <c r="H4" s="4">
        <v>2</v>
      </c>
      <c r="I4" s="4">
        <v>3</v>
      </c>
      <c r="J4" s="4" t="s">
        <v>4</v>
      </c>
      <c r="K4" s="37"/>
      <c r="L4" s="37"/>
      <c r="M4" s="39"/>
    </row>
    <row r="5" spans="1:13" ht="16">
      <c r="A5" s="40" t="s">
        <v>12</v>
      </c>
      <c r="B5" s="40"/>
      <c r="C5" s="41"/>
      <c r="D5" s="41"/>
      <c r="E5" s="41"/>
      <c r="F5" s="41"/>
      <c r="G5" s="41"/>
      <c r="H5" s="41"/>
      <c r="I5" s="41"/>
      <c r="J5" s="41"/>
    </row>
    <row r="6" spans="1:13">
      <c r="A6" s="8" t="s">
        <v>25</v>
      </c>
      <c r="B6" s="7" t="s">
        <v>464</v>
      </c>
      <c r="C6" s="7" t="s">
        <v>465</v>
      </c>
      <c r="D6" s="7" t="s">
        <v>466</v>
      </c>
      <c r="E6" s="7" t="s">
        <v>586</v>
      </c>
      <c r="F6" s="7" t="s">
        <v>33</v>
      </c>
      <c r="G6" s="14" t="s">
        <v>80</v>
      </c>
      <c r="H6" s="14" t="s">
        <v>81</v>
      </c>
      <c r="I6" s="14" t="s">
        <v>467</v>
      </c>
      <c r="J6" s="8"/>
      <c r="K6" s="8" t="str">
        <f>"275,0"</f>
        <v>275,0</v>
      </c>
      <c r="L6" s="8" t="str">
        <f>"152,5681"</f>
        <v>152,5681</v>
      </c>
      <c r="M6" s="7"/>
    </row>
    <row r="7" spans="1:13">
      <c r="B7" s="5" t="s">
        <v>26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61"/>
  <sheetViews>
    <sheetView topLeftCell="A14" workbookViewId="0">
      <selection activeCell="E52" sqref="E52"/>
    </sheetView>
  </sheetViews>
  <sheetFormatPr baseColWidth="10" defaultColWidth="9.1640625" defaultRowHeight="13"/>
  <cols>
    <col min="1" max="1" width="7.5" style="5" bestFit="1" customWidth="1"/>
    <col min="2" max="2" width="23.33203125" style="5" bestFit="1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35.33203125" style="5" bestFit="1" customWidth="1"/>
    <col min="7" max="9" width="5.5" style="6" customWidth="1"/>
    <col min="10" max="10" width="4.83203125" style="6" customWidth="1"/>
    <col min="11" max="11" width="7.83203125" style="6" bestFit="1" customWidth="1"/>
    <col min="12" max="12" width="8.5" style="6" bestFit="1" customWidth="1"/>
    <col min="13" max="13" width="19.1640625" style="5" bestFit="1" customWidth="1"/>
    <col min="14" max="16384" width="9.1640625" style="3"/>
  </cols>
  <sheetData>
    <row r="1" spans="1:13" s="2" customFormat="1" ht="29" customHeight="1">
      <c r="A1" s="44" t="s">
        <v>544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582</v>
      </c>
      <c r="B3" s="42" t="s">
        <v>0</v>
      </c>
      <c r="C3" s="54" t="s">
        <v>583</v>
      </c>
      <c r="D3" s="54" t="s">
        <v>7</v>
      </c>
      <c r="E3" s="36" t="s">
        <v>584</v>
      </c>
      <c r="F3" s="36" t="s">
        <v>6</v>
      </c>
      <c r="G3" s="36" t="s">
        <v>44</v>
      </c>
      <c r="H3" s="36"/>
      <c r="I3" s="36"/>
      <c r="J3" s="36"/>
      <c r="K3" s="36" t="s">
        <v>24</v>
      </c>
      <c r="L3" s="36" t="s">
        <v>3</v>
      </c>
      <c r="M3" s="38" t="s">
        <v>2</v>
      </c>
    </row>
    <row r="4" spans="1:13" s="1" customFormat="1" ht="21" customHeight="1" thickBot="1">
      <c r="A4" s="53"/>
      <c r="B4" s="43"/>
      <c r="C4" s="37"/>
      <c r="D4" s="37"/>
      <c r="E4" s="37"/>
      <c r="F4" s="37"/>
      <c r="G4" s="4">
        <v>1</v>
      </c>
      <c r="H4" s="4">
        <v>2</v>
      </c>
      <c r="I4" s="4">
        <v>3</v>
      </c>
      <c r="J4" s="4" t="s">
        <v>4</v>
      </c>
      <c r="K4" s="37"/>
      <c r="L4" s="37"/>
      <c r="M4" s="39"/>
    </row>
    <row r="5" spans="1:13" ht="16">
      <c r="A5" s="40" t="s">
        <v>482</v>
      </c>
      <c r="B5" s="40"/>
      <c r="C5" s="41"/>
      <c r="D5" s="41"/>
      <c r="E5" s="41"/>
      <c r="F5" s="41"/>
      <c r="G5" s="41"/>
      <c r="H5" s="41"/>
      <c r="I5" s="41"/>
      <c r="J5" s="41"/>
    </row>
    <row r="6" spans="1:13">
      <c r="A6" s="8" t="s">
        <v>25</v>
      </c>
      <c r="B6" s="7" t="s">
        <v>483</v>
      </c>
      <c r="C6" s="7" t="s">
        <v>484</v>
      </c>
      <c r="D6" s="7" t="s">
        <v>485</v>
      </c>
      <c r="E6" s="7" t="s">
        <v>588</v>
      </c>
      <c r="F6" s="7" t="s">
        <v>281</v>
      </c>
      <c r="G6" s="14" t="s">
        <v>244</v>
      </c>
      <c r="H6" s="14" t="s">
        <v>66</v>
      </c>
      <c r="I6" s="14" t="s">
        <v>62</v>
      </c>
      <c r="J6" s="8"/>
      <c r="K6" s="8" t="str">
        <f>"115,0"</f>
        <v>115,0</v>
      </c>
      <c r="L6" s="8" t="str">
        <f>"167,3480"</f>
        <v>167,3480</v>
      </c>
      <c r="M6" s="7" t="s">
        <v>486</v>
      </c>
    </row>
    <row r="7" spans="1:13">
      <c r="B7" s="5" t="s">
        <v>26</v>
      </c>
    </row>
    <row r="8" spans="1:13" ht="16">
      <c r="A8" s="33" t="s">
        <v>205</v>
      </c>
      <c r="B8" s="33"/>
      <c r="C8" s="33"/>
      <c r="D8" s="33"/>
      <c r="E8" s="33"/>
      <c r="F8" s="33"/>
      <c r="G8" s="33"/>
      <c r="H8" s="33"/>
      <c r="I8" s="33"/>
      <c r="J8" s="33"/>
    </row>
    <row r="9" spans="1:13">
      <c r="A9" s="8" t="s">
        <v>25</v>
      </c>
      <c r="B9" s="7" t="s">
        <v>206</v>
      </c>
      <c r="C9" s="7" t="s">
        <v>207</v>
      </c>
      <c r="D9" s="7" t="s">
        <v>208</v>
      </c>
      <c r="E9" s="7" t="s">
        <v>585</v>
      </c>
      <c r="F9" s="7" t="s">
        <v>554</v>
      </c>
      <c r="G9" s="14" t="s">
        <v>65</v>
      </c>
      <c r="H9" s="14" t="s">
        <v>37</v>
      </c>
      <c r="I9" s="14" t="s">
        <v>38</v>
      </c>
      <c r="J9" s="8"/>
      <c r="K9" s="8" t="str">
        <f>"80,0"</f>
        <v>80,0</v>
      </c>
      <c r="L9" s="8" t="str">
        <f>"103,7120"</f>
        <v>103,7120</v>
      </c>
      <c r="M9" s="7" t="s">
        <v>211</v>
      </c>
    </row>
    <row r="10" spans="1:13">
      <c r="B10" s="5" t="s">
        <v>26</v>
      </c>
    </row>
    <row r="11" spans="1:13" ht="16">
      <c r="A11" s="33" t="s">
        <v>57</v>
      </c>
      <c r="B11" s="33"/>
      <c r="C11" s="33"/>
      <c r="D11" s="33"/>
      <c r="E11" s="33"/>
      <c r="F11" s="33"/>
      <c r="G11" s="33"/>
      <c r="H11" s="33"/>
      <c r="I11" s="33"/>
      <c r="J11" s="33"/>
    </row>
    <row r="12" spans="1:13">
      <c r="A12" s="8" t="s">
        <v>25</v>
      </c>
      <c r="B12" s="7" t="s">
        <v>487</v>
      </c>
      <c r="C12" s="7" t="s">
        <v>488</v>
      </c>
      <c r="D12" s="7" t="s">
        <v>489</v>
      </c>
      <c r="E12" s="7" t="s">
        <v>588</v>
      </c>
      <c r="F12" s="7" t="s">
        <v>33</v>
      </c>
      <c r="G12" s="14" t="s">
        <v>37</v>
      </c>
      <c r="H12" s="14" t="s">
        <v>38</v>
      </c>
      <c r="I12" s="15" t="s">
        <v>373</v>
      </c>
      <c r="J12" s="8"/>
      <c r="K12" s="8" t="str">
        <f>"80,0"</f>
        <v>80,0</v>
      </c>
      <c r="L12" s="8" t="str">
        <f>"94,2640"</f>
        <v>94,2640</v>
      </c>
      <c r="M12" s="7" t="s">
        <v>301</v>
      </c>
    </row>
    <row r="13" spans="1:13">
      <c r="B13" s="5" t="s">
        <v>26</v>
      </c>
    </row>
    <row r="14" spans="1:13" ht="16">
      <c r="A14" s="33" t="s">
        <v>96</v>
      </c>
      <c r="B14" s="33"/>
      <c r="C14" s="33"/>
      <c r="D14" s="33"/>
      <c r="E14" s="33"/>
      <c r="F14" s="33"/>
      <c r="G14" s="33"/>
      <c r="H14" s="33"/>
      <c r="I14" s="33"/>
      <c r="J14" s="33"/>
    </row>
    <row r="15" spans="1:13">
      <c r="A15" s="17" t="s">
        <v>25</v>
      </c>
      <c r="B15" s="16" t="s">
        <v>97</v>
      </c>
      <c r="C15" s="16" t="s">
        <v>98</v>
      </c>
      <c r="D15" s="16" t="s">
        <v>99</v>
      </c>
      <c r="E15" s="16" t="s">
        <v>585</v>
      </c>
      <c r="F15" s="16" t="s">
        <v>558</v>
      </c>
      <c r="G15" s="21" t="s">
        <v>38</v>
      </c>
      <c r="H15" s="20" t="s">
        <v>38</v>
      </c>
      <c r="I15" s="20" t="s">
        <v>39</v>
      </c>
      <c r="J15" s="17"/>
      <c r="K15" s="17" t="str">
        <f>"90,0"</f>
        <v>90,0</v>
      </c>
      <c r="L15" s="17" t="str">
        <f>"101,6550"</f>
        <v>101,6550</v>
      </c>
      <c r="M15" s="16"/>
    </row>
    <row r="16" spans="1:13">
      <c r="A16" s="19" t="s">
        <v>25</v>
      </c>
      <c r="B16" s="18" t="s">
        <v>97</v>
      </c>
      <c r="C16" s="18" t="s">
        <v>102</v>
      </c>
      <c r="D16" s="18" t="s">
        <v>99</v>
      </c>
      <c r="E16" s="18" t="s">
        <v>586</v>
      </c>
      <c r="F16" s="18" t="s">
        <v>558</v>
      </c>
      <c r="G16" s="23" t="s">
        <v>38</v>
      </c>
      <c r="H16" s="22" t="s">
        <v>38</v>
      </c>
      <c r="I16" s="22" t="s">
        <v>39</v>
      </c>
      <c r="J16" s="19"/>
      <c r="K16" s="19" t="str">
        <f>"90,0"</f>
        <v>90,0</v>
      </c>
      <c r="L16" s="19" t="str">
        <f>"102,1633"</f>
        <v>102,1633</v>
      </c>
      <c r="M16" s="18"/>
    </row>
    <row r="17" spans="1:13">
      <c r="B17" s="5" t="s">
        <v>26</v>
      </c>
    </row>
    <row r="18" spans="1:13" ht="16">
      <c r="A18" s="33" t="s">
        <v>219</v>
      </c>
      <c r="B18" s="33"/>
      <c r="C18" s="33"/>
      <c r="D18" s="33"/>
      <c r="E18" s="33"/>
      <c r="F18" s="33"/>
      <c r="G18" s="33"/>
      <c r="H18" s="33"/>
      <c r="I18" s="33"/>
      <c r="J18" s="33"/>
    </row>
    <row r="19" spans="1:13">
      <c r="A19" s="8" t="s">
        <v>25</v>
      </c>
      <c r="B19" s="7" t="s">
        <v>358</v>
      </c>
      <c r="C19" s="7" t="s">
        <v>359</v>
      </c>
      <c r="D19" s="7" t="s">
        <v>360</v>
      </c>
      <c r="E19" s="7" t="s">
        <v>585</v>
      </c>
      <c r="F19" s="7" t="s">
        <v>33</v>
      </c>
      <c r="G19" s="14" t="s">
        <v>244</v>
      </c>
      <c r="H19" s="15" t="s">
        <v>224</v>
      </c>
      <c r="I19" s="15" t="s">
        <v>224</v>
      </c>
      <c r="J19" s="8"/>
      <c r="K19" s="8" t="str">
        <f>"95,0"</f>
        <v>95,0</v>
      </c>
      <c r="L19" s="8" t="str">
        <f>"99,2180"</f>
        <v>99,2180</v>
      </c>
      <c r="M19" s="7" t="s">
        <v>155</v>
      </c>
    </row>
    <row r="20" spans="1:13">
      <c r="B20" s="5" t="s">
        <v>26</v>
      </c>
    </row>
    <row r="21" spans="1:13" ht="16">
      <c r="A21" s="33" t="s">
        <v>219</v>
      </c>
      <c r="B21" s="33"/>
      <c r="C21" s="33"/>
      <c r="D21" s="33"/>
      <c r="E21" s="33"/>
      <c r="F21" s="33"/>
      <c r="G21" s="33"/>
      <c r="H21" s="33"/>
      <c r="I21" s="33"/>
      <c r="J21" s="33"/>
    </row>
    <row r="22" spans="1:13">
      <c r="A22" s="8" t="s">
        <v>25</v>
      </c>
      <c r="B22" s="7" t="s">
        <v>241</v>
      </c>
      <c r="C22" s="7" t="s">
        <v>490</v>
      </c>
      <c r="D22" s="7" t="s">
        <v>243</v>
      </c>
      <c r="E22" s="7" t="s">
        <v>588</v>
      </c>
      <c r="F22" s="7" t="s">
        <v>561</v>
      </c>
      <c r="G22" s="14" t="s">
        <v>111</v>
      </c>
      <c r="H22" s="14" t="s">
        <v>119</v>
      </c>
      <c r="I22" s="8"/>
      <c r="J22" s="8"/>
      <c r="K22" s="8" t="str">
        <f>"200,0"</f>
        <v>200,0</v>
      </c>
      <c r="L22" s="8" t="str">
        <f>"155,7000"</f>
        <v>155,7000</v>
      </c>
      <c r="M22" s="7" t="s">
        <v>174</v>
      </c>
    </row>
    <row r="23" spans="1:13">
      <c r="B23" s="5" t="s">
        <v>26</v>
      </c>
    </row>
    <row r="24" spans="1:13" ht="16">
      <c r="A24" s="33" t="s">
        <v>103</v>
      </c>
      <c r="B24" s="33"/>
      <c r="C24" s="33"/>
      <c r="D24" s="33"/>
      <c r="E24" s="33"/>
      <c r="F24" s="33"/>
      <c r="G24" s="33"/>
      <c r="H24" s="33"/>
      <c r="I24" s="33"/>
      <c r="J24" s="33"/>
    </row>
    <row r="25" spans="1:13">
      <c r="A25" s="17" t="s">
        <v>25</v>
      </c>
      <c r="B25" s="16" t="s">
        <v>491</v>
      </c>
      <c r="C25" s="16" t="s">
        <v>492</v>
      </c>
      <c r="D25" s="16" t="s">
        <v>493</v>
      </c>
      <c r="E25" s="16" t="s">
        <v>585</v>
      </c>
      <c r="F25" s="16" t="s">
        <v>572</v>
      </c>
      <c r="G25" s="21" t="s">
        <v>119</v>
      </c>
      <c r="H25" s="20" t="s">
        <v>48</v>
      </c>
      <c r="I25" s="21" t="s">
        <v>152</v>
      </c>
      <c r="J25" s="17"/>
      <c r="K25" s="17" t="str">
        <f>"220,0"</f>
        <v>220,0</v>
      </c>
      <c r="L25" s="17" t="str">
        <f>"156,9040"</f>
        <v>156,9040</v>
      </c>
      <c r="M25" s="16" t="s">
        <v>369</v>
      </c>
    </row>
    <row r="26" spans="1:13">
      <c r="A26" s="19" t="s">
        <v>202</v>
      </c>
      <c r="B26" s="18" t="s">
        <v>383</v>
      </c>
      <c r="C26" s="18" t="s">
        <v>384</v>
      </c>
      <c r="D26" s="18" t="s">
        <v>251</v>
      </c>
      <c r="E26" s="18" t="s">
        <v>585</v>
      </c>
      <c r="F26" s="18" t="s">
        <v>555</v>
      </c>
      <c r="G26" s="23" t="s">
        <v>30</v>
      </c>
      <c r="H26" s="22" t="s">
        <v>82</v>
      </c>
      <c r="I26" s="23" t="s">
        <v>75</v>
      </c>
      <c r="J26" s="19"/>
      <c r="K26" s="19" t="str">
        <f>"180,0"</f>
        <v>180,0</v>
      </c>
      <c r="L26" s="19" t="str">
        <f>"128,2680"</f>
        <v>128,2680</v>
      </c>
      <c r="M26" s="18" t="s">
        <v>385</v>
      </c>
    </row>
    <row r="27" spans="1:13">
      <c r="B27" s="5" t="s">
        <v>26</v>
      </c>
    </row>
    <row r="28" spans="1:13" ht="16">
      <c r="A28" s="33" t="s">
        <v>115</v>
      </c>
      <c r="B28" s="33"/>
      <c r="C28" s="33"/>
      <c r="D28" s="33"/>
      <c r="E28" s="33"/>
      <c r="F28" s="33"/>
      <c r="G28" s="33"/>
      <c r="H28" s="33"/>
      <c r="I28" s="33"/>
      <c r="J28" s="33"/>
    </row>
    <row r="29" spans="1:13">
      <c r="A29" s="17" t="s">
        <v>25</v>
      </c>
      <c r="B29" s="16" t="s">
        <v>494</v>
      </c>
      <c r="C29" s="16" t="s">
        <v>495</v>
      </c>
      <c r="D29" s="16" t="s">
        <v>496</v>
      </c>
      <c r="E29" s="16" t="s">
        <v>588</v>
      </c>
      <c r="F29" s="16" t="s">
        <v>33</v>
      </c>
      <c r="G29" s="20" t="s">
        <v>120</v>
      </c>
      <c r="H29" s="20" t="s">
        <v>48</v>
      </c>
      <c r="I29" s="21" t="s">
        <v>318</v>
      </c>
      <c r="J29" s="17"/>
      <c r="K29" s="17" t="str">
        <f>"220,0"</f>
        <v>220,0</v>
      </c>
      <c r="L29" s="17" t="str">
        <f>"151,7780"</f>
        <v>151,7780</v>
      </c>
      <c r="M29" s="16" t="s">
        <v>497</v>
      </c>
    </row>
    <row r="30" spans="1:13">
      <c r="A30" s="25" t="s">
        <v>202</v>
      </c>
      <c r="B30" s="24" t="s">
        <v>254</v>
      </c>
      <c r="C30" s="24" t="s">
        <v>255</v>
      </c>
      <c r="D30" s="24" t="s">
        <v>256</v>
      </c>
      <c r="E30" s="24" t="s">
        <v>588</v>
      </c>
      <c r="F30" s="24" t="s">
        <v>257</v>
      </c>
      <c r="G30" s="26" t="s">
        <v>187</v>
      </c>
      <c r="H30" s="27" t="s">
        <v>252</v>
      </c>
      <c r="I30" s="26" t="s">
        <v>252</v>
      </c>
      <c r="J30" s="25"/>
      <c r="K30" s="25" t="str">
        <f>"132,5"</f>
        <v>132,5</v>
      </c>
      <c r="L30" s="25" t="str">
        <f>"88,7618"</f>
        <v>88,7618</v>
      </c>
      <c r="M30" s="24" t="s">
        <v>258</v>
      </c>
    </row>
    <row r="31" spans="1:13">
      <c r="A31" s="25" t="s">
        <v>25</v>
      </c>
      <c r="B31" s="24" t="s">
        <v>498</v>
      </c>
      <c r="C31" s="24" t="s">
        <v>499</v>
      </c>
      <c r="D31" s="24" t="s">
        <v>500</v>
      </c>
      <c r="E31" s="24" t="s">
        <v>589</v>
      </c>
      <c r="F31" s="24" t="s">
        <v>33</v>
      </c>
      <c r="G31" s="26" t="s">
        <v>31</v>
      </c>
      <c r="H31" s="26" t="s">
        <v>75</v>
      </c>
      <c r="I31" s="27" t="s">
        <v>48</v>
      </c>
      <c r="J31" s="25"/>
      <c r="K31" s="25" t="str">
        <f>"190,0"</f>
        <v>190,0</v>
      </c>
      <c r="L31" s="25" t="str">
        <f>"129,2000"</f>
        <v>129,2000</v>
      </c>
      <c r="M31" s="24" t="s">
        <v>501</v>
      </c>
    </row>
    <row r="32" spans="1:13">
      <c r="A32" s="25" t="s">
        <v>25</v>
      </c>
      <c r="B32" s="24" t="s">
        <v>268</v>
      </c>
      <c r="C32" s="24" t="s">
        <v>269</v>
      </c>
      <c r="D32" s="24" t="s">
        <v>270</v>
      </c>
      <c r="E32" s="24" t="s">
        <v>590</v>
      </c>
      <c r="F32" s="24" t="s">
        <v>33</v>
      </c>
      <c r="G32" s="26" t="s">
        <v>127</v>
      </c>
      <c r="H32" s="26" t="s">
        <v>122</v>
      </c>
      <c r="I32" s="27" t="s">
        <v>123</v>
      </c>
      <c r="J32" s="25"/>
      <c r="K32" s="25" t="str">
        <f>"245,0"</f>
        <v>245,0</v>
      </c>
      <c r="L32" s="25" t="str">
        <f>"167,6535"</f>
        <v>167,6535</v>
      </c>
      <c r="M32" s="24"/>
    </row>
    <row r="33" spans="1:13">
      <c r="A33" s="25" t="s">
        <v>25</v>
      </c>
      <c r="B33" s="24" t="s">
        <v>268</v>
      </c>
      <c r="C33" s="24" t="s">
        <v>272</v>
      </c>
      <c r="D33" s="24" t="s">
        <v>270</v>
      </c>
      <c r="E33" s="24" t="s">
        <v>585</v>
      </c>
      <c r="F33" s="24" t="s">
        <v>33</v>
      </c>
      <c r="G33" s="26" t="s">
        <v>127</v>
      </c>
      <c r="H33" s="26" t="s">
        <v>122</v>
      </c>
      <c r="I33" s="27" t="s">
        <v>123</v>
      </c>
      <c r="J33" s="25"/>
      <c r="K33" s="25" t="str">
        <f>"245,0"</f>
        <v>245,0</v>
      </c>
      <c r="L33" s="25" t="str">
        <f>"167,6535"</f>
        <v>167,6535</v>
      </c>
      <c r="M33" s="24"/>
    </row>
    <row r="34" spans="1:13">
      <c r="A34" s="19" t="s">
        <v>202</v>
      </c>
      <c r="B34" s="18" t="s">
        <v>394</v>
      </c>
      <c r="C34" s="18" t="s">
        <v>395</v>
      </c>
      <c r="D34" s="18" t="s">
        <v>256</v>
      </c>
      <c r="E34" s="18" t="s">
        <v>585</v>
      </c>
      <c r="F34" s="18" t="s">
        <v>554</v>
      </c>
      <c r="G34" s="22" t="s">
        <v>31</v>
      </c>
      <c r="H34" s="23" t="s">
        <v>75</v>
      </c>
      <c r="I34" s="23" t="s">
        <v>396</v>
      </c>
      <c r="J34" s="19"/>
      <c r="K34" s="19" t="str">
        <f>"170,0"</f>
        <v>170,0</v>
      </c>
      <c r="L34" s="19" t="str">
        <f>"113,8830"</f>
        <v>113,8830</v>
      </c>
      <c r="M34" s="18" t="s">
        <v>211</v>
      </c>
    </row>
    <row r="35" spans="1:13">
      <c r="B35" s="5" t="s">
        <v>26</v>
      </c>
    </row>
    <row r="36" spans="1:13" ht="16">
      <c r="A36" s="33" t="s">
        <v>67</v>
      </c>
      <c r="B36" s="33"/>
      <c r="C36" s="33"/>
      <c r="D36" s="33"/>
      <c r="E36" s="33"/>
      <c r="F36" s="33"/>
      <c r="G36" s="33"/>
      <c r="H36" s="33"/>
      <c r="I36" s="33"/>
      <c r="J36" s="33"/>
    </row>
    <row r="37" spans="1:13">
      <c r="A37" s="17" t="s">
        <v>25</v>
      </c>
      <c r="B37" s="16" t="s">
        <v>502</v>
      </c>
      <c r="C37" s="16" t="s">
        <v>503</v>
      </c>
      <c r="D37" s="16" t="s">
        <v>418</v>
      </c>
      <c r="E37" s="16" t="s">
        <v>589</v>
      </c>
      <c r="F37" s="16" t="s">
        <v>33</v>
      </c>
      <c r="G37" s="20" t="s">
        <v>31</v>
      </c>
      <c r="H37" s="20" t="s">
        <v>82</v>
      </c>
      <c r="I37" s="20" t="s">
        <v>72</v>
      </c>
      <c r="J37" s="17"/>
      <c r="K37" s="17" t="str">
        <f>"185,0"</f>
        <v>185,0</v>
      </c>
      <c r="L37" s="17" t="str">
        <f>"118,3075"</f>
        <v>118,3075</v>
      </c>
      <c r="M37" s="16" t="s">
        <v>155</v>
      </c>
    </row>
    <row r="38" spans="1:13">
      <c r="A38" s="25" t="s">
        <v>25</v>
      </c>
      <c r="B38" s="24" t="s">
        <v>68</v>
      </c>
      <c r="C38" s="24" t="s">
        <v>69</v>
      </c>
      <c r="D38" s="24" t="s">
        <v>70</v>
      </c>
      <c r="E38" s="24" t="s">
        <v>585</v>
      </c>
      <c r="F38" s="24" t="s">
        <v>555</v>
      </c>
      <c r="G38" s="26" t="s">
        <v>31</v>
      </c>
      <c r="H38" s="26" t="s">
        <v>75</v>
      </c>
      <c r="I38" s="26" t="s">
        <v>76</v>
      </c>
      <c r="J38" s="25"/>
      <c r="K38" s="25" t="str">
        <f>"205,0"</f>
        <v>205,0</v>
      </c>
      <c r="L38" s="25" t="str">
        <f>"130,8720"</f>
        <v>130,8720</v>
      </c>
      <c r="M38" s="24" t="s">
        <v>369</v>
      </c>
    </row>
    <row r="39" spans="1:13">
      <c r="A39" s="19" t="s">
        <v>202</v>
      </c>
      <c r="B39" s="18" t="s">
        <v>504</v>
      </c>
      <c r="C39" s="18" t="s">
        <v>505</v>
      </c>
      <c r="D39" s="18" t="s">
        <v>70</v>
      </c>
      <c r="E39" s="18" t="s">
        <v>585</v>
      </c>
      <c r="F39" s="18" t="s">
        <v>561</v>
      </c>
      <c r="G39" s="22" t="s">
        <v>31</v>
      </c>
      <c r="H39" s="22" t="s">
        <v>72</v>
      </c>
      <c r="I39" s="22" t="s">
        <v>75</v>
      </c>
      <c r="J39" s="19"/>
      <c r="K39" s="19" t="str">
        <f>"190,0"</f>
        <v>190,0</v>
      </c>
      <c r="L39" s="19" t="str">
        <f>"121,2960"</f>
        <v>121,2960</v>
      </c>
      <c r="M39" s="18" t="s">
        <v>174</v>
      </c>
    </row>
    <row r="40" spans="1:13">
      <c r="B40" s="5" t="s">
        <v>26</v>
      </c>
    </row>
    <row r="41" spans="1:13" ht="16">
      <c r="A41" s="33" t="s">
        <v>32</v>
      </c>
      <c r="B41" s="33"/>
      <c r="C41" s="33"/>
      <c r="D41" s="33"/>
      <c r="E41" s="33"/>
      <c r="F41" s="33"/>
      <c r="G41" s="33"/>
      <c r="H41" s="33"/>
      <c r="I41" s="33"/>
      <c r="J41" s="33"/>
    </row>
    <row r="42" spans="1:13">
      <c r="A42" s="17" t="s">
        <v>25</v>
      </c>
      <c r="B42" s="16" t="s">
        <v>506</v>
      </c>
      <c r="C42" s="16" t="s">
        <v>507</v>
      </c>
      <c r="D42" s="16" t="s">
        <v>508</v>
      </c>
      <c r="E42" s="16" t="s">
        <v>585</v>
      </c>
      <c r="F42" s="16" t="s">
        <v>561</v>
      </c>
      <c r="G42" s="20" t="s">
        <v>119</v>
      </c>
      <c r="H42" s="20" t="s">
        <v>442</v>
      </c>
      <c r="I42" s="21" t="s">
        <v>52</v>
      </c>
      <c r="J42" s="17"/>
      <c r="K42" s="17" t="str">
        <f>"222,5"</f>
        <v>222,5</v>
      </c>
      <c r="L42" s="17" t="str">
        <f>"139,7745"</f>
        <v>139,7745</v>
      </c>
      <c r="M42" s="16" t="s">
        <v>174</v>
      </c>
    </row>
    <row r="43" spans="1:13">
      <c r="A43" s="19" t="s">
        <v>202</v>
      </c>
      <c r="B43" s="18" t="s">
        <v>509</v>
      </c>
      <c r="C43" s="18" t="s">
        <v>510</v>
      </c>
      <c r="D43" s="18" t="s">
        <v>427</v>
      </c>
      <c r="E43" s="18" t="s">
        <v>585</v>
      </c>
      <c r="F43" s="18" t="s">
        <v>257</v>
      </c>
      <c r="G43" s="22" t="s">
        <v>48</v>
      </c>
      <c r="H43" s="23" t="s">
        <v>50</v>
      </c>
      <c r="I43" s="23" t="s">
        <v>50</v>
      </c>
      <c r="J43" s="19"/>
      <c r="K43" s="19" t="str">
        <f>"220,0"</f>
        <v>220,0</v>
      </c>
      <c r="L43" s="19" t="str">
        <f>"133,8920"</f>
        <v>133,8920</v>
      </c>
      <c r="M43" s="18" t="s">
        <v>511</v>
      </c>
    </row>
    <row r="44" spans="1:13">
      <c r="B44" s="5" t="s">
        <v>26</v>
      </c>
    </row>
    <row r="45" spans="1:13" ht="16">
      <c r="A45" s="33" t="s">
        <v>8</v>
      </c>
      <c r="B45" s="33"/>
      <c r="C45" s="33"/>
      <c r="D45" s="33"/>
      <c r="E45" s="33"/>
      <c r="F45" s="33"/>
      <c r="G45" s="33"/>
      <c r="H45" s="33"/>
      <c r="I45" s="33"/>
      <c r="J45" s="33"/>
    </row>
    <row r="46" spans="1:13">
      <c r="A46" s="17" t="s">
        <v>25</v>
      </c>
      <c r="B46" s="16" t="s">
        <v>179</v>
      </c>
      <c r="C46" s="16" t="s">
        <v>180</v>
      </c>
      <c r="D46" s="16" t="s">
        <v>181</v>
      </c>
      <c r="E46" s="16" t="s">
        <v>585</v>
      </c>
      <c r="F46" s="16" t="s">
        <v>558</v>
      </c>
      <c r="G46" s="20" t="s">
        <v>120</v>
      </c>
      <c r="H46" s="21" t="s">
        <v>48</v>
      </c>
      <c r="I46" s="20" t="s">
        <v>48</v>
      </c>
      <c r="J46" s="17"/>
      <c r="K46" s="17" t="str">
        <f>"220,0"</f>
        <v>220,0</v>
      </c>
      <c r="L46" s="17" t="str">
        <f>"130,2180"</f>
        <v>130,2180</v>
      </c>
      <c r="M46" s="16"/>
    </row>
    <row r="47" spans="1:13">
      <c r="A47" s="19" t="s">
        <v>25</v>
      </c>
      <c r="B47" s="18" t="s">
        <v>179</v>
      </c>
      <c r="C47" s="18" t="s">
        <v>182</v>
      </c>
      <c r="D47" s="18" t="s">
        <v>181</v>
      </c>
      <c r="E47" s="18" t="s">
        <v>586</v>
      </c>
      <c r="F47" s="18" t="s">
        <v>558</v>
      </c>
      <c r="G47" s="22" t="s">
        <v>120</v>
      </c>
      <c r="H47" s="23" t="s">
        <v>48</v>
      </c>
      <c r="I47" s="22" t="s">
        <v>48</v>
      </c>
      <c r="J47" s="19"/>
      <c r="K47" s="19" t="str">
        <f>"220,0"</f>
        <v>220,0</v>
      </c>
      <c r="L47" s="19" t="str">
        <f>"138,0311"</f>
        <v>138,0311</v>
      </c>
      <c r="M47" s="18"/>
    </row>
    <row r="48" spans="1:13">
      <c r="B48" s="5" t="s">
        <v>26</v>
      </c>
    </row>
    <row r="49" spans="1:13" ht="16">
      <c r="A49" s="33" t="s">
        <v>12</v>
      </c>
      <c r="B49" s="33"/>
      <c r="C49" s="33"/>
      <c r="D49" s="33"/>
      <c r="E49" s="33"/>
      <c r="F49" s="33"/>
      <c r="G49" s="33"/>
      <c r="H49" s="33"/>
      <c r="I49" s="33"/>
      <c r="J49" s="33"/>
    </row>
    <row r="50" spans="1:13">
      <c r="A50" s="17" t="s">
        <v>25</v>
      </c>
      <c r="B50" s="16" t="s">
        <v>77</v>
      </c>
      <c r="C50" s="16" t="s">
        <v>78</v>
      </c>
      <c r="D50" s="16" t="s">
        <v>79</v>
      </c>
      <c r="E50" s="16" t="s">
        <v>585</v>
      </c>
      <c r="F50" s="16" t="s">
        <v>555</v>
      </c>
      <c r="G50" s="20" t="s">
        <v>50</v>
      </c>
      <c r="H50" s="20" t="s">
        <v>80</v>
      </c>
      <c r="I50" s="20" t="s">
        <v>83</v>
      </c>
      <c r="J50" s="17"/>
      <c r="K50" s="17" t="str">
        <f>"280,0"</f>
        <v>280,0</v>
      </c>
      <c r="L50" s="17" t="str">
        <f>"159,8240"</f>
        <v>159,8240</v>
      </c>
      <c r="M50" s="16"/>
    </row>
    <row r="51" spans="1:13">
      <c r="A51" s="19" t="s">
        <v>25</v>
      </c>
      <c r="B51" s="18" t="s">
        <v>77</v>
      </c>
      <c r="C51" s="18" t="s">
        <v>84</v>
      </c>
      <c r="D51" s="18" t="s">
        <v>79</v>
      </c>
      <c r="E51" s="18" t="s">
        <v>586</v>
      </c>
      <c r="F51" s="18" t="s">
        <v>555</v>
      </c>
      <c r="G51" s="22" t="s">
        <v>50</v>
      </c>
      <c r="H51" s="22" t="s">
        <v>80</v>
      </c>
      <c r="I51" s="22" t="s">
        <v>83</v>
      </c>
      <c r="J51" s="19"/>
      <c r="K51" s="19" t="str">
        <f>"280,0"</f>
        <v>280,0</v>
      </c>
      <c r="L51" s="19" t="str">
        <f>"162,0615"</f>
        <v>162,0615</v>
      </c>
      <c r="M51" s="18"/>
    </row>
    <row r="52" spans="1:13">
      <c r="B52" s="5" t="s">
        <v>26</v>
      </c>
    </row>
    <row r="53" spans="1:13">
      <c r="B53" s="5" t="s">
        <v>26</v>
      </c>
    </row>
    <row r="54" spans="1:13">
      <c r="B54" s="5" t="s">
        <v>26</v>
      </c>
    </row>
    <row r="55" spans="1:13" ht="18">
      <c r="B55" s="9" t="s">
        <v>13</v>
      </c>
      <c r="C55" s="9"/>
      <c r="F55" s="3"/>
    </row>
    <row r="56" spans="1:13" ht="16">
      <c r="B56" s="10" t="s">
        <v>14</v>
      </c>
      <c r="C56" s="10"/>
      <c r="F56" s="3"/>
    </row>
    <row r="57" spans="1:13" ht="14">
      <c r="B57" s="11"/>
      <c r="C57" s="12" t="s">
        <v>15</v>
      </c>
    </row>
    <row r="58" spans="1:13" ht="14">
      <c r="B58" s="13" t="s">
        <v>16</v>
      </c>
      <c r="C58" s="13" t="s">
        <v>17</v>
      </c>
      <c r="D58" s="13" t="s">
        <v>566</v>
      </c>
      <c r="E58" s="13" t="s">
        <v>20</v>
      </c>
      <c r="F58" s="13" t="s">
        <v>55</v>
      </c>
    </row>
    <row r="59" spans="1:13">
      <c r="B59" s="5" t="s">
        <v>268</v>
      </c>
      <c r="C59" s="5" t="s">
        <v>15</v>
      </c>
      <c r="D59" s="6" t="s">
        <v>293</v>
      </c>
      <c r="E59" s="6" t="s">
        <v>122</v>
      </c>
      <c r="F59" s="6" t="s">
        <v>512</v>
      </c>
    </row>
    <row r="60" spans="1:13">
      <c r="B60" s="5" t="s">
        <v>77</v>
      </c>
      <c r="C60" s="5" t="s">
        <v>15</v>
      </c>
      <c r="D60" s="6" t="s">
        <v>23</v>
      </c>
      <c r="E60" s="6" t="s">
        <v>83</v>
      </c>
      <c r="F60" s="6" t="s">
        <v>513</v>
      </c>
    </row>
    <row r="61" spans="1:13">
      <c r="B61" s="5" t="s">
        <v>491</v>
      </c>
      <c r="C61" s="5" t="s">
        <v>15</v>
      </c>
      <c r="D61" s="6" t="s">
        <v>194</v>
      </c>
      <c r="E61" s="6" t="s">
        <v>48</v>
      </c>
      <c r="F61" s="6" t="s">
        <v>514</v>
      </c>
    </row>
  </sheetData>
  <mergeCells count="23">
    <mergeCell ref="A1:M2"/>
    <mergeCell ref="A3:A4"/>
    <mergeCell ref="C3:C4"/>
    <mergeCell ref="D3:D4"/>
    <mergeCell ref="E3:E4"/>
    <mergeCell ref="F3:F4"/>
    <mergeCell ref="G3:J3"/>
    <mergeCell ref="A21:J21"/>
    <mergeCell ref="A24:J24"/>
    <mergeCell ref="K3:K4"/>
    <mergeCell ref="L3:L4"/>
    <mergeCell ref="M3:M4"/>
    <mergeCell ref="A5:J5"/>
    <mergeCell ref="B3:B4"/>
    <mergeCell ref="A8:J8"/>
    <mergeCell ref="A11:J11"/>
    <mergeCell ref="A14:J14"/>
    <mergeCell ref="A18:J18"/>
    <mergeCell ref="A28:J28"/>
    <mergeCell ref="A36:J36"/>
    <mergeCell ref="A41:J41"/>
    <mergeCell ref="A45:J45"/>
    <mergeCell ref="A49:J4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40"/>
  <sheetViews>
    <sheetView workbookViewId="0">
      <selection activeCell="E31" sqref="E31"/>
    </sheetView>
  </sheetViews>
  <sheetFormatPr baseColWidth="10" defaultColWidth="9.1640625" defaultRowHeight="13"/>
  <cols>
    <col min="1" max="1" width="7.5" style="5" bestFit="1" customWidth="1"/>
    <col min="2" max="2" width="23.332031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35.3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7" style="5" bestFit="1" customWidth="1"/>
    <col min="14" max="16384" width="9.1640625" style="3"/>
  </cols>
  <sheetData>
    <row r="1" spans="1:13" s="2" customFormat="1" ht="29" customHeight="1">
      <c r="A1" s="44" t="s">
        <v>545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582</v>
      </c>
      <c r="B3" s="42" t="s">
        <v>0</v>
      </c>
      <c r="C3" s="54" t="s">
        <v>583</v>
      </c>
      <c r="D3" s="54" t="s">
        <v>7</v>
      </c>
      <c r="E3" s="36" t="s">
        <v>584</v>
      </c>
      <c r="F3" s="36" t="s">
        <v>6</v>
      </c>
      <c r="G3" s="36" t="s">
        <v>44</v>
      </c>
      <c r="H3" s="36"/>
      <c r="I3" s="36"/>
      <c r="J3" s="36"/>
      <c r="K3" s="36" t="s">
        <v>24</v>
      </c>
      <c r="L3" s="36" t="s">
        <v>3</v>
      </c>
      <c r="M3" s="38" t="s">
        <v>2</v>
      </c>
    </row>
    <row r="4" spans="1:13" s="1" customFormat="1" ht="21" customHeight="1" thickBot="1">
      <c r="A4" s="53"/>
      <c r="B4" s="43"/>
      <c r="C4" s="37"/>
      <c r="D4" s="37"/>
      <c r="E4" s="37"/>
      <c r="F4" s="37"/>
      <c r="G4" s="4">
        <v>1</v>
      </c>
      <c r="H4" s="4">
        <v>2</v>
      </c>
      <c r="I4" s="4">
        <v>3</v>
      </c>
      <c r="J4" s="4" t="s">
        <v>4</v>
      </c>
      <c r="K4" s="37"/>
      <c r="L4" s="37"/>
      <c r="M4" s="39"/>
    </row>
    <row r="5" spans="1:13" ht="16">
      <c r="A5" s="40" t="s">
        <v>103</v>
      </c>
      <c r="B5" s="40"/>
      <c r="C5" s="41"/>
      <c r="D5" s="41"/>
      <c r="E5" s="41"/>
      <c r="F5" s="41"/>
      <c r="G5" s="41"/>
      <c r="H5" s="41"/>
      <c r="I5" s="41"/>
      <c r="J5" s="41"/>
    </row>
    <row r="6" spans="1:13">
      <c r="A6" s="8" t="s">
        <v>25</v>
      </c>
      <c r="B6" s="7" t="s">
        <v>468</v>
      </c>
      <c r="C6" s="7" t="s">
        <v>469</v>
      </c>
      <c r="D6" s="7" t="s">
        <v>470</v>
      </c>
      <c r="E6" s="7" t="s">
        <v>585</v>
      </c>
      <c r="F6" s="7" t="s">
        <v>555</v>
      </c>
      <c r="G6" s="14" t="s">
        <v>31</v>
      </c>
      <c r="H6" s="14" t="s">
        <v>82</v>
      </c>
      <c r="I6" s="14" t="s">
        <v>119</v>
      </c>
      <c r="J6" s="8"/>
      <c r="K6" s="8" t="str">
        <f>"200,0"</f>
        <v>200,0</v>
      </c>
      <c r="L6" s="8" t="str">
        <f>"145,7000"</f>
        <v>145,7000</v>
      </c>
      <c r="M6" s="7" t="s">
        <v>345</v>
      </c>
    </row>
    <row r="7" spans="1:13">
      <c r="B7" s="5" t="s">
        <v>26</v>
      </c>
    </row>
    <row r="8" spans="1:13" ht="16">
      <c r="A8" s="33" t="s">
        <v>115</v>
      </c>
      <c r="B8" s="33"/>
      <c r="C8" s="33"/>
      <c r="D8" s="33"/>
      <c r="E8" s="33"/>
      <c r="F8" s="33"/>
      <c r="G8" s="33"/>
      <c r="H8" s="33"/>
      <c r="I8" s="33"/>
      <c r="J8" s="33"/>
    </row>
    <row r="9" spans="1:13">
      <c r="A9" s="8" t="s">
        <v>25</v>
      </c>
      <c r="B9" s="7" t="s">
        <v>471</v>
      </c>
      <c r="C9" s="7" t="s">
        <v>472</v>
      </c>
      <c r="D9" s="7" t="s">
        <v>256</v>
      </c>
      <c r="E9" s="7" t="s">
        <v>585</v>
      </c>
      <c r="F9" s="7" t="s">
        <v>392</v>
      </c>
      <c r="G9" s="14" t="s">
        <v>81</v>
      </c>
      <c r="H9" s="14" t="s">
        <v>83</v>
      </c>
      <c r="I9" s="15" t="s">
        <v>288</v>
      </c>
      <c r="J9" s="8"/>
      <c r="K9" s="8" t="str">
        <f>"280,0"</f>
        <v>280,0</v>
      </c>
      <c r="L9" s="8" t="str">
        <f>"187,5720"</f>
        <v>187,5720</v>
      </c>
      <c r="M9" s="7" t="s">
        <v>473</v>
      </c>
    </row>
    <row r="10" spans="1:13">
      <c r="B10" s="5" t="s">
        <v>26</v>
      </c>
    </row>
    <row r="11" spans="1:13" ht="16">
      <c r="A11" s="33" t="s">
        <v>67</v>
      </c>
      <c r="B11" s="33"/>
      <c r="C11" s="33"/>
      <c r="D11" s="33"/>
      <c r="E11" s="33"/>
      <c r="F11" s="33"/>
      <c r="G11" s="33"/>
      <c r="H11" s="33"/>
      <c r="I11" s="33"/>
      <c r="J11" s="33"/>
    </row>
    <row r="12" spans="1:13">
      <c r="A12" s="17" t="s">
        <v>25</v>
      </c>
      <c r="B12" s="16" t="s">
        <v>474</v>
      </c>
      <c r="C12" s="16" t="s">
        <v>475</v>
      </c>
      <c r="D12" s="16" t="s">
        <v>70</v>
      </c>
      <c r="E12" s="16" t="s">
        <v>585</v>
      </c>
      <c r="F12" s="16" t="s">
        <v>572</v>
      </c>
      <c r="G12" s="20" t="s">
        <v>476</v>
      </c>
      <c r="H12" s="20" t="s">
        <v>147</v>
      </c>
      <c r="I12" s="21" t="s">
        <v>477</v>
      </c>
      <c r="J12" s="17"/>
      <c r="K12" s="17" t="str">
        <f>"320,0"</f>
        <v>320,0</v>
      </c>
      <c r="L12" s="17" t="str">
        <f>"204,2880"</f>
        <v>204,2880</v>
      </c>
      <c r="M12" s="16" t="s">
        <v>478</v>
      </c>
    </row>
    <row r="13" spans="1:13">
      <c r="A13" s="19" t="s">
        <v>202</v>
      </c>
      <c r="B13" s="18" t="s">
        <v>135</v>
      </c>
      <c r="C13" s="18" t="s">
        <v>136</v>
      </c>
      <c r="D13" s="18" t="s">
        <v>137</v>
      </c>
      <c r="E13" s="18" t="s">
        <v>585</v>
      </c>
      <c r="F13" s="18" t="s">
        <v>138</v>
      </c>
      <c r="G13" s="22" t="s">
        <v>53</v>
      </c>
      <c r="H13" s="23" t="s">
        <v>80</v>
      </c>
      <c r="I13" s="23" t="s">
        <v>80</v>
      </c>
      <c r="J13" s="19"/>
      <c r="K13" s="19" t="str">
        <f>"250,0"</f>
        <v>250,0</v>
      </c>
      <c r="L13" s="19" t="str">
        <f>"160,6000"</f>
        <v>160,6000</v>
      </c>
      <c r="M13" s="18" t="s">
        <v>574</v>
      </c>
    </row>
    <row r="14" spans="1:13">
      <c r="B14" s="5" t="s">
        <v>26</v>
      </c>
    </row>
    <row r="15" spans="1:13" ht="16">
      <c r="A15" s="33" t="s">
        <v>32</v>
      </c>
      <c r="B15" s="33"/>
      <c r="C15" s="33"/>
      <c r="D15" s="33"/>
      <c r="E15" s="33"/>
      <c r="F15" s="33"/>
      <c r="G15" s="33"/>
      <c r="H15" s="33"/>
      <c r="I15" s="33"/>
      <c r="J15" s="33"/>
    </row>
    <row r="16" spans="1:13">
      <c r="A16" s="17" t="s">
        <v>25</v>
      </c>
      <c r="B16" s="16" t="s">
        <v>149</v>
      </c>
      <c r="C16" s="16" t="s">
        <v>150</v>
      </c>
      <c r="D16" s="16" t="s">
        <v>151</v>
      </c>
      <c r="E16" s="16" t="s">
        <v>585</v>
      </c>
      <c r="F16" s="16" t="s">
        <v>33</v>
      </c>
      <c r="G16" s="20" t="s">
        <v>80</v>
      </c>
      <c r="H16" s="20" t="s">
        <v>83</v>
      </c>
      <c r="I16" s="20" t="s">
        <v>154</v>
      </c>
      <c r="J16" s="17"/>
      <c r="K16" s="17" t="str">
        <f>"285,0"</f>
        <v>285,0</v>
      </c>
      <c r="L16" s="17" t="str">
        <f>"173,6505"</f>
        <v>173,6505</v>
      </c>
      <c r="M16" s="16" t="s">
        <v>155</v>
      </c>
    </row>
    <row r="17" spans="1:13">
      <c r="A17" s="19" t="s">
        <v>202</v>
      </c>
      <c r="B17" s="18" t="s">
        <v>156</v>
      </c>
      <c r="C17" s="18" t="s">
        <v>157</v>
      </c>
      <c r="D17" s="18" t="s">
        <v>151</v>
      </c>
      <c r="E17" s="18" t="s">
        <v>585</v>
      </c>
      <c r="F17" s="18" t="s">
        <v>126</v>
      </c>
      <c r="G17" s="22" t="s">
        <v>54</v>
      </c>
      <c r="H17" s="22" t="s">
        <v>123</v>
      </c>
      <c r="I17" s="23" t="s">
        <v>145</v>
      </c>
      <c r="J17" s="19"/>
      <c r="K17" s="19" t="str">
        <f>"265,0"</f>
        <v>265,0</v>
      </c>
      <c r="L17" s="19" t="str">
        <f>"161,4645"</f>
        <v>161,4645</v>
      </c>
      <c r="M17" s="18" t="s">
        <v>160</v>
      </c>
    </row>
    <row r="18" spans="1:13">
      <c r="B18" s="5" t="s">
        <v>26</v>
      </c>
    </row>
    <row r="19" spans="1:13" ht="16">
      <c r="A19" s="33" t="s">
        <v>8</v>
      </c>
      <c r="B19" s="33"/>
      <c r="C19" s="33"/>
      <c r="D19" s="33"/>
      <c r="E19" s="33"/>
      <c r="F19" s="33"/>
      <c r="G19" s="33"/>
      <c r="H19" s="33"/>
      <c r="I19" s="33"/>
      <c r="J19" s="33"/>
    </row>
    <row r="20" spans="1:13">
      <c r="A20" s="17" t="s">
        <v>25</v>
      </c>
      <c r="B20" s="16" t="s">
        <v>175</v>
      </c>
      <c r="C20" s="16" t="s">
        <v>176</v>
      </c>
      <c r="D20" s="16" t="s">
        <v>177</v>
      </c>
      <c r="E20" s="16" t="s">
        <v>585</v>
      </c>
      <c r="F20" s="16" t="s">
        <v>138</v>
      </c>
      <c r="G20" s="20" t="s">
        <v>83</v>
      </c>
      <c r="H20" s="20" t="s">
        <v>170</v>
      </c>
      <c r="I20" s="21" t="s">
        <v>178</v>
      </c>
      <c r="J20" s="17"/>
      <c r="K20" s="17" t="str">
        <f>"300,0"</f>
        <v>300,0</v>
      </c>
      <c r="L20" s="17" t="str">
        <f>"176,5500"</f>
        <v>176,5500</v>
      </c>
      <c r="M20" s="16"/>
    </row>
    <row r="21" spans="1:13">
      <c r="A21" s="25" t="s">
        <v>202</v>
      </c>
      <c r="B21" s="24" t="s">
        <v>9</v>
      </c>
      <c r="C21" s="24" t="s">
        <v>10</v>
      </c>
      <c r="D21" s="24" t="s">
        <v>11</v>
      </c>
      <c r="E21" s="24" t="s">
        <v>585</v>
      </c>
      <c r="F21" s="24" t="s">
        <v>554</v>
      </c>
      <c r="G21" s="27" t="s">
        <v>81</v>
      </c>
      <c r="H21" s="26" t="s">
        <v>81</v>
      </c>
      <c r="I21" s="27" t="s">
        <v>146</v>
      </c>
      <c r="J21" s="25"/>
      <c r="K21" s="25" t="str">
        <f>"270,0"</f>
        <v>270,0</v>
      </c>
      <c r="L21" s="25" t="str">
        <f>"161,7300"</f>
        <v>161,7300</v>
      </c>
      <c r="M21" s="24"/>
    </row>
    <row r="22" spans="1:13">
      <c r="A22" s="25" t="s">
        <v>203</v>
      </c>
      <c r="B22" s="24" t="s">
        <v>179</v>
      </c>
      <c r="C22" s="24" t="s">
        <v>180</v>
      </c>
      <c r="D22" s="24" t="s">
        <v>181</v>
      </c>
      <c r="E22" s="24" t="s">
        <v>585</v>
      </c>
      <c r="F22" s="24" t="s">
        <v>558</v>
      </c>
      <c r="G22" s="26" t="s">
        <v>120</v>
      </c>
      <c r="H22" s="27" t="s">
        <v>48</v>
      </c>
      <c r="I22" s="26" t="s">
        <v>48</v>
      </c>
      <c r="J22" s="25"/>
      <c r="K22" s="25" t="str">
        <f>"220,0"</f>
        <v>220,0</v>
      </c>
      <c r="L22" s="25" t="str">
        <f>"130,2180"</f>
        <v>130,2180</v>
      </c>
      <c r="M22" s="24"/>
    </row>
    <row r="23" spans="1:13">
      <c r="A23" s="25" t="s">
        <v>25</v>
      </c>
      <c r="B23" s="24" t="s">
        <v>45</v>
      </c>
      <c r="C23" s="24" t="s">
        <v>46</v>
      </c>
      <c r="D23" s="24" t="s">
        <v>47</v>
      </c>
      <c r="E23" s="24" t="s">
        <v>586</v>
      </c>
      <c r="F23" s="24" t="s">
        <v>558</v>
      </c>
      <c r="G23" s="26" t="s">
        <v>52</v>
      </c>
      <c r="H23" s="26" t="s">
        <v>53</v>
      </c>
      <c r="I23" s="27" t="s">
        <v>54</v>
      </c>
      <c r="J23" s="25"/>
      <c r="K23" s="25" t="str">
        <f>"250,0"</f>
        <v>250,0</v>
      </c>
      <c r="L23" s="25" t="str">
        <f>"150,5029"</f>
        <v>150,5029</v>
      </c>
      <c r="M23" s="24" t="s">
        <v>155</v>
      </c>
    </row>
    <row r="24" spans="1:13">
      <c r="A24" s="19" t="s">
        <v>202</v>
      </c>
      <c r="B24" s="18" t="s">
        <v>179</v>
      </c>
      <c r="C24" s="18" t="s">
        <v>182</v>
      </c>
      <c r="D24" s="18" t="s">
        <v>181</v>
      </c>
      <c r="E24" s="18" t="s">
        <v>586</v>
      </c>
      <c r="F24" s="18" t="s">
        <v>558</v>
      </c>
      <c r="G24" s="22" t="s">
        <v>120</v>
      </c>
      <c r="H24" s="23" t="s">
        <v>48</v>
      </c>
      <c r="I24" s="22" t="s">
        <v>48</v>
      </c>
      <c r="J24" s="19"/>
      <c r="K24" s="19" t="str">
        <f>"220,0"</f>
        <v>220,0</v>
      </c>
      <c r="L24" s="19" t="str">
        <f>"138,0311"</f>
        <v>138,0311</v>
      </c>
      <c r="M24" s="18"/>
    </row>
    <row r="25" spans="1:13">
      <c r="B25" s="5" t="s">
        <v>26</v>
      </c>
    </row>
    <row r="26" spans="1:13" ht="16">
      <c r="A26" s="33" t="s">
        <v>12</v>
      </c>
      <c r="B26" s="33"/>
      <c r="C26" s="33"/>
      <c r="D26" s="33"/>
      <c r="E26" s="33"/>
      <c r="F26" s="33"/>
      <c r="G26" s="33"/>
      <c r="H26" s="33"/>
      <c r="I26" s="33"/>
      <c r="J26" s="33"/>
    </row>
    <row r="27" spans="1:13">
      <c r="A27" s="8" t="s">
        <v>25</v>
      </c>
      <c r="B27" s="7" t="s">
        <v>183</v>
      </c>
      <c r="C27" s="7" t="s">
        <v>184</v>
      </c>
      <c r="D27" s="7" t="s">
        <v>185</v>
      </c>
      <c r="E27" s="7" t="s">
        <v>585</v>
      </c>
      <c r="F27" s="7" t="s">
        <v>575</v>
      </c>
      <c r="G27" s="14" t="s">
        <v>52</v>
      </c>
      <c r="H27" s="14" t="s">
        <v>53</v>
      </c>
      <c r="I27" s="14" t="s">
        <v>80</v>
      </c>
      <c r="J27" s="8"/>
      <c r="K27" s="8" t="str">
        <f>"260,0"</f>
        <v>260,0</v>
      </c>
      <c r="L27" s="8" t="str">
        <f>"150,4880"</f>
        <v>150,4880</v>
      </c>
      <c r="M27" s="7"/>
    </row>
    <row r="28" spans="1:13">
      <c r="B28" s="5" t="s">
        <v>26</v>
      </c>
    </row>
    <row r="29" spans="1:13" ht="16">
      <c r="A29" s="33" t="s">
        <v>188</v>
      </c>
      <c r="B29" s="33"/>
      <c r="C29" s="33"/>
      <c r="D29" s="33"/>
      <c r="E29" s="33"/>
      <c r="F29" s="33"/>
      <c r="G29" s="33"/>
      <c r="H29" s="33"/>
      <c r="I29" s="33"/>
      <c r="J29" s="33"/>
    </row>
    <row r="30" spans="1:13">
      <c r="A30" s="8" t="s">
        <v>25</v>
      </c>
      <c r="B30" s="7" t="s">
        <v>189</v>
      </c>
      <c r="C30" s="7" t="s">
        <v>190</v>
      </c>
      <c r="D30" s="7" t="s">
        <v>191</v>
      </c>
      <c r="E30" s="7" t="s">
        <v>585</v>
      </c>
      <c r="F30" s="7" t="s">
        <v>192</v>
      </c>
      <c r="G30" s="14" t="s">
        <v>80</v>
      </c>
      <c r="H30" s="14" t="s">
        <v>83</v>
      </c>
      <c r="I30" s="15" t="s">
        <v>193</v>
      </c>
      <c r="J30" s="8"/>
      <c r="K30" s="8" t="str">
        <f>"280,0"</f>
        <v>280,0</v>
      </c>
      <c r="L30" s="8" t="str">
        <f>"156,4640"</f>
        <v>156,4640</v>
      </c>
      <c r="M30" s="7" t="s">
        <v>155</v>
      </c>
    </row>
    <row r="31" spans="1:13">
      <c r="B31" s="5" t="s">
        <v>26</v>
      </c>
    </row>
    <row r="32" spans="1:13">
      <c r="B32" s="5" t="s">
        <v>26</v>
      </c>
    </row>
    <row r="33" spans="2:6">
      <c r="B33" s="5" t="s">
        <v>26</v>
      </c>
    </row>
    <row r="34" spans="2:6" ht="18">
      <c r="B34" s="9" t="s">
        <v>13</v>
      </c>
      <c r="C34" s="9"/>
      <c r="F34" s="3"/>
    </row>
    <row r="35" spans="2:6" ht="16">
      <c r="B35" s="10" t="s">
        <v>14</v>
      </c>
      <c r="C35" s="10"/>
      <c r="F35" s="3"/>
    </row>
    <row r="36" spans="2:6" ht="14">
      <c r="B36" s="11"/>
      <c r="C36" s="12" t="s">
        <v>15</v>
      </c>
      <c r="F36" s="3"/>
    </row>
    <row r="37" spans="2:6" ht="14">
      <c r="B37" s="13" t="s">
        <v>16</v>
      </c>
      <c r="C37" s="13" t="s">
        <v>17</v>
      </c>
      <c r="D37" s="13" t="s">
        <v>18</v>
      </c>
      <c r="E37" s="13" t="s">
        <v>20</v>
      </c>
      <c r="F37" s="13" t="s">
        <v>55</v>
      </c>
    </row>
    <row r="38" spans="2:6">
      <c r="B38" s="5" t="s">
        <v>474</v>
      </c>
      <c r="C38" s="5" t="s">
        <v>15</v>
      </c>
      <c r="D38" s="6" t="s">
        <v>86</v>
      </c>
      <c r="E38" s="6" t="s">
        <v>147</v>
      </c>
      <c r="F38" s="6" t="s">
        <v>479</v>
      </c>
    </row>
    <row r="39" spans="2:6">
      <c r="B39" s="5" t="s">
        <v>471</v>
      </c>
      <c r="C39" s="5" t="s">
        <v>15</v>
      </c>
      <c r="D39" s="6" t="s">
        <v>293</v>
      </c>
      <c r="E39" s="6" t="s">
        <v>83</v>
      </c>
      <c r="F39" s="6" t="s">
        <v>480</v>
      </c>
    </row>
    <row r="40" spans="2:6">
      <c r="B40" s="5" t="s">
        <v>175</v>
      </c>
      <c r="C40" s="5" t="s">
        <v>15</v>
      </c>
      <c r="D40" s="6" t="s">
        <v>21</v>
      </c>
      <c r="E40" s="6" t="s">
        <v>170</v>
      </c>
      <c r="F40" s="6" t="s">
        <v>481</v>
      </c>
    </row>
  </sheetData>
  <mergeCells count="18">
    <mergeCell ref="A1:M2"/>
    <mergeCell ref="A3:A4"/>
    <mergeCell ref="C3:C4"/>
    <mergeCell ref="D3:D4"/>
    <mergeCell ref="E3:E4"/>
    <mergeCell ref="F3:F4"/>
    <mergeCell ref="G3:J3"/>
    <mergeCell ref="A29:J29"/>
    <mergeCell ref="K3:K4"/>
    <mergeCell ref="L3:L4"/>
    <mergeCell ref="M3:M4"/>
    <mergeCell ref="A5:J5"/>
    <mergeCell ref="B3:B4"/>
    <mergeCell ref="A8:J8"/>
    <mergeCell ref="A11:J11"/>
    <mergeCell ref="A15:J15"/>
    <mergeCell ref="A19:J19"/>
    <mergeCell ref="A26:J2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26"/>
  <sheetViews>
    <sheetView tabSelected="1"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1.8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5.33203125" style="5" bestFit="1" customWidth="1"/>
    <col min="7" max="9" width="4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16.6640625" style="5" bestFit="1" customWidth="1"/>
    <col min="14" max="16384" width="9.1640625" style="3"/>
  </cols>
  <sheetData>
    <row r="1" spans="1:13" s="2" customFormat="1" ht="29" customHeight="1">
      <c r="A1" s="44" t="s">
        <v>541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582</v>
      </c>
      <c r="B3" s="42" t="s">
        <v>0</v>
      </c>
      <c r="C3" s="54" t="s">
        <v>583</v>
      </c>
      <c r="D3" s="54" t="s">
        <v>7</v>
      </c>
      <c r="E3" s="36" t="s">
        <v>584</v>
      </c>
      <c r="F3" s="36" t="s">
        <v>6</v>
      </c>
      <c r="G3" s="36" t="s">
        <v>581</v>
      </c>
      <c r="H3" s="36"/>
      <c r="I3" s="36"/>
      <c r="J3" s="36"/>
      <c r="K3" s="36" t="s">
        <v>24</v>
      </c>
      <c r="L3" s="36" t="s">
        <v>3</v>
      </c>
      <c r="M3" s="38" t="s">
        <v>2</v>
      </c>
    </row>
    <row r="4" spans="1:13" s="1" customFormat="1" ht="21" customHeight="1" thickBot="1">
      <c r="A4" s="53"/>
      <c r="B4" s="43"/>
      <c r="C4" s="37"/>
      <c r="D4" s="37"/>
      <c r="E4" s="37"/>
      <c r="F4" s="37"/>
      <c r="G4" s="4">
        <v>1</v>
      </c>
      <c r="H4" s="4">
        <v>2</v>
      </c>
      <c r="I4" s="4">
        <v>3</v>
      </c>
      <c r="J4" s="4" t="s">
        <v>4</v>
      </c>
      <c r="K4" s="37"/>
      <c r="L4" s="37"/>
      <c r="M4" s="39"/>
    </row>
    <row r="5" spans="1:13" ht="16">
      <c r="A5" s="40" t="s">
        <v>96</v>
      </c>
      <c r="B5" s="40"/>
      <c r="C5" s="41"/>
      <c r="D5" s="41"/>
      <c r="E5" s="41"/>
      <c r="F5" s="41"/>
      <c r="G5" s="41"/>
      <c r="H5" s="41"/>
      <c r="I5" s="41"/>
      <c r="J5" s="41"/>
    </row>
    <row r="6" spans="1:13">
      <c r="A6" s="8" t="s">
        <v>25</v>
      </c>
      <c r="B6" s="7" t="s">
        <v>531</v>
      </c>
      <c r="C6" s="7" t="s">
        <v>576</v>
      </c>
      <c r="D6" s="7" t="s">
        <v>532</v>
      </c>
      <c r="E6" s="7" t="s">
        <v>587</v>
      </c>
      <c r="F6" s="7" t="s">
        <v>533</v>
      </c>
      <c r="G6" s="14" t="s">
        <v>91</v>
      </c>
      <c r="H6" s="15" t="s">
        <v>92</v>
      </c>
      <c r="I6" s="15" t="s">
        <v>92</v>
      </c>
      <c r="J6" s="8"/>
      <c r="K6" s="8" t="str">
        <f>"32,5"</f>
        <v>32,5</v>
      </c>
      <c r="L6" s="8" t="str">
        <f>"27,2447"</f>
        <v>27,2447</v>
      </c>
      <c r="M6" s="7" t="s">
        <v>534</v>
      </c>
    </row>
    <row r="7" spans="1:13">
      <c r="B7" s="5" t="s">
        <v>26</v>
      </c>
    </row>
    <row r="8" spans="1:13" ht="16">
      <c r="A8" s="33" t="s">
        <v>103</v>
      </c>
      <c r="B8" s="33"/>
      <c r="C8" s="33"/>
      <c r="D8" s="33"/>
      <c r="E8" s="33"/>
      <c r="F8" s="33"/>
      <c r="G8" s="33"/>
      <c r="H8" s="33"/>
      <c r="I8" s="33"/>
      <c r="J8" s="33"/>
    </row>
    <row r="9" spans="1:13">
      <c r="A9" s="17" t="s">
        <v>25</v>
      </c>
      <c r="B9" s="16" t="s">
        <v>535</v>
      </c>
      <c r="C9" s="16" t="s">
        <v>577</v>
      </c>
      <c r="D9" s="16" t="s">
        <v>493</v>
      </c>
      <c r="E9" s="16" t="s">
        <v>587</v>
      </c>
      <c r="F9" s="16" t="s">
        <v>33</v>
      </c>
      <c r="G9" s="20" t="s">
        <v>210</v>
      </c>
      <c r="H9" s="20" t="s">
        <v>100</v>
      </c>
      <c r="I9" s="21" t="s">
        <v>361</v>
      </c>
      <c r="J9" s="17"/>
      <c r="K9" s="17" t="str">
        <f>"45,0"</f>
        <v>45,0</v>
      </c>
      <c r="L9" s="17" t="str">
        <f>"31,0140"</f>
        <v>31,0140</v>
      </c>
      <c r="M9" s="16"/>
    </row>
    <row r="10" spans="1:13">
      <c r="A10" s="25" t="s">
        <v>25</v>
      </c>
      <c r="B10" s="24" t="s">
        <v>376</v>
      </c>
      <c r="C10" s="24" t="s">
        <v>578</v>
      </c>
      <c r="D10" s="24" t="s">
        <v>251</v>
      </c>
      <c r="E10" s="24" t="s">
        <v>590</v>
      </c>
      <c r="F10" s="24" t="s">
        <v>555</v>
      </c>
      <c r="G10" s="26" t="s">
        <v>90</v>
      </c>
      <c r="H10" s="26" t="s">
        <v>357</v>
      </c>
      <c r="I10" s="27" t="s">
        <v>536</v>
      </c>
      <c r="J10" s="25"/>
      <c r="K10" s="25" t="str">
        <f>"67,5"</f>
        <v>67,5</v>
      </c>
      <c r="L10" s="25" t="str">
        <f>"46,4771"</f>
        <v>46,4771</v>
      </c>
      <c r="M10" s="24"/>
    </row>
    <row r="11" spans="1:13">
      <c r="A11" s="25" t="s">
        <v>25</v>
      </c>
      <c r="B11" s="24" t="s">
        <v>381</v>
      </c>
      <c r="C11" s="24" t="s">
        <v>382</v>
      </c>
      <c r="D11" s="24" t="s">
        <v>251</v>
      </c>
      <c r="E11" s="24" t="s">
        <v>585</v>
      </c>
      <c r="F11" s="24" t="s">
        <v>33</v>
      </c>
      <c r="G11" s="26" t="s">
        <v>63</v>
      </c>
      <c r="H11" s="26" t="s">
        <v>64</v>
      </c>
      <c r="I11" s="26" t="s">
        <v>65</v>
      </c>
      <c r="J11" s="25"/>
      <c r="K11" s="25" t="str">
        <f>"60,0"</f>
        <v>60,0</v>
      </c>
      <c r="L11" s="25" t="str">
        <f>"41,3130"</f>
        <v>41,3130</v>
      </c>
      <c r="M11" s="24"/>
    </row>
    <row r="12" spans="1:13">
      <c r="A12" s="25" t="s">
        <v>202</v>
      </c>
      <c r="B12" s="24" t="s">
        <v>311</v>
      </c>
      <c r="C12" s="24" t="s">
        <v>312</v>
      </c>
      <c r="D12" s="24" t="s">
        <v>313</v>
      </c>
      <c r="E12" s="24" t="s">
        <v>585</v>
      </c>
      <c r="F12" s="24" t="s">
        <v>314</v>
      </c>
      <c r="G12" s="27" t="s">
        <v>64</v>
      </c>
      <c r="H12" s="26" t="s">
        <v>64</v>
      </c>
      <c r="I12" s="27" t="s">
        <v>90</v>
      </c>
      <c r="J12" s="25"/>
      <c r="K12" s="25" t="str">
        <f>"57,5"</f>
        <v>57,5</v>
      </c>
      <c r="L12" s="25" t="str">
        <f>"39,9453"</f>
        <v>39,9453</v>
      </c>
      <c r="M12" s="24"/>
    </row>
    <row r="13" spans="1:13">
      <c r="A13" s="19" t="s">
        <v>203</v>
      </c>
      <c r="B13" s="18" t="s">
        <v>537</v>
      </c>
      <c r="C13" s="18" t="s">
        <v>538</v>
      </c>
      <c r="D13" s="18" t="s">
        <v>539</v>
      </c>
      <c r="E13" s="18" t="s">
        <v>585</v>
      </c>
      <c r="F13" s="18" t="s">
        <v>138</v>
      </c>
      <c r="G13" s="22" t="s">
        <v>365</v>
      </c>
      <c r="H13" s="22" t="s">
        <v>100</v>
      </c>
      <c r="I13" s="23" t="s">
        <v>215</v>
      </c>
      <c r="J13" s="19"/>
      <c r="K13" s="19" t="str">
        <f>"45,0"</f>
        <v>45,0</v>
      </c>
      <c r="L13" s="19" t="str">
        <f>"31,2008"</f>
        <v>31,2008</v>
      </c>
      <c r="M13" s="18"/>
    </row>
    <row r="14" spans="1:13">
      <c r="B14" s="5" t="s">
        <v>26</v>
      </c>
    </row>
    <row r="15" spans="1:13" ht="16">
      <c r="A15" s="33" t="s">
        <v>32</v>
      </c>
      <c r="B15" s="33"/>
      <c r="C15" s="33"/>
      <c r="D15" s="33"/>
      <c r="E15" s="33"/>
      <c r="F15" s="33"/>
      <c r="G15" s="33"/>
      <c r="H15" s="33"/>
      <c r="I15" s="33"/>
      <c r="J15" s="33"/>
    </row>
    <row r="16" spans="1:13">
      <c r="A16" s="17" t="s">
        <v>25</v>
      </c>
      <c r="B16" s="16" t="s">
        <v>419</v>
      </c>
      <c r="C16" s="16" t="s">
        <v>579</v>
      </c>
      <c r="D16" s="16" t="s">
        <v>421</v>
      </c>
      <c r="E16" s="16" t="s">
        <v>590</v>
      </c>
      <c r="F16" s="16" t="s">
        <v>555</v>
      </c>
      <c r="G16" s="21" t="s">
        <v>101</v>
      </c>
      <c r="H16" s="20" t="s">
        <v>90</v>
      </c>
      <c r="I16" s="20" t="s">
        <v>37</v>
      </c>
      <c r="J16" s="17"/>
      <c r="K16" s="17" t="str">
        <f>"70,0"</f>
        <v>70,0</v>
      </c>
      <c r="L16" s="17" t="str">
        <f>"41,7095"</f>
        <v>41,7095</v>
      </c>
      <c r="M16" s="16"/>
    </row>
    <row r="17" spans="1:13">
      <c r="A17" s="19" t="s">
        <v>25</v>
      </c>
      <c r="B17" s="18" t="s">
        <v>540</v>
      </c>
      <c r="C17" s="18" t="s">
        <v>580</v>
      </c>
      <c r="D17" s="18" t="s">
        <v>427</v>
      </c>
      <c r="E17" s="18" t="s">
        <v>586</v>
      </c>
      <c r="F17" s="18" t="s">
        <v>555</v>
      </c>
      <c r="G17" s="22" t="s">
        <v>37</v>
      </c>
      <c r="H17" s="23" t="s">
        <v>218</v>
      </c>
      <c r="I17" s="23" t="s">
        <v>218</v>
      </c>
      <c r="J17" s="19"/>
      <c r="K17" s="19" t="str">
        <f>"70,0"</f>
        <v>70,0</v>
      </c>
      <c r="L17" s="19" t="str">
        <f>"41,0979"</f>
        <v>41,0979</v>
      </c>
      <c r="M17" s="18"/>
    </row>
    <row r="18" spans="1:13">
      <c r="B18" s="5" t="s">
        <v>26</v>
      </c>
    </row>
    <row r="19" spans="1:13" ht="16">
      <c r="A19" s="33" t="s">
        <v>8</v>
      </c>
      <c r="B19" s="33"/>
      <c r="C19" s="33"/>
      <c r="D19" s="33"/>
      <c r="E19" s="33"/>
      <c r="F19" s="33"/>
      <c r="G19" s="33"/>
      <c r="H19" s="33"/>
      <c r="I19" s="33"/>
      <c r="J19" s="33"/>
    </row>
    <row r="20" spans="1:13">
      <c r="A20" s="17" t="s">
        <v>25</v>
      </c>
      <c r="B20" s="16" t="s">
        <v>326</v>
      </c>
      <c r="C20" s="16" t="s">
        <v>327</v>
      </c>
      <c r="D20" s="16" t="s">
        <v>328</v>
      </c>
      <c r="E20" s="16" t="s">
        <v>585</v>
      </c>
      <c r="F20" s="16" t="s">
        <v>555</v>
      </c>
      <c r="G20" s="21" t="s">
        <v>38</v>
      </c>
      <c r="H20" s="20" t="s">
        <v>93</v>
      </c>
      <c r="I20" s="21" t="s">
        <v>39</v>
      </c>
      <c r="J20" s="17"/>
      <c r="K20" s="17" t="str">
        <f>"82,5"</f>
        <v>82,5</v>
      </c>
      <c r="L20" s="17" t="str">
        <f>"46,4764"</f>
        <v>46,4764</v>
      </c>
      <c r="M20" s="16"/>
    </row>
    <row r="21" spans="1:13">
      <c r="A21" s="19" t="s">
        <v>202</v>
      </c>
      <c r="B21" s="18" t="s">
        <v>9</v>
      </c>
      <c r="C21" s="18" t="s">
        <v>10</v>
      </c>
      <c r="D21" s="18" t="s">
        <v>11</v>
      </c>
      <c r="E21" s="18" t="s">
        <v>585</v>
      </c>
      <c r="F21" s="18" t="s">
        <v>554</v>
      </c>
      <c r="G21" s="22" t="s">
        <v>90</v>
      </c>
      <c r="H21" s="23" t="s">
        <v>93</v>
      </c>
      <c r="I21" s="19"/>
      <c r="J21" s="19"/>
      <c r="K21" s="19" t="str">
        <f>"65,0"</f>
        <v>65,0</v>
      </c>
      <c r="L21" s="19" t="str">
        <f>"37,1800"</f>
        <v>37,1800</v>
      </c>
      <c r="M21" s="18"/>
    </row>
    <row r="22" spans="1:13">
      <c r="B22" s="5" t="s">
        <v>26</v>
      </c>
    </row>
    <row r="23" spans="1:13" ht="16">
      <c r="A23" s="33" t="s">
        <v>12</v>
      </c>
      <c r="B23" s="33"/>
      <c r="C23" s="33"/>
      <c r="D23" s="33"/>
      <c r="E23" s="33"/>
      <c r="F23" s="33"/>
      <c r="G23" s="33"/>
      <c r="H23" s="33"/>
      <c r="I23" s="33"/>
      <c r="J23" s="33"/>
    </row>
    <row r="24" spans="1:13">
      <c r="A24" s="17" t="s">
        <v>25</v>
      </c>
      <c r="B24" s="16" t="s">
        <v>339</v>
      </c>
      <c r="C24" s="16" t="s">
        <v>340</v>
      </c>
      <c r="D24" s="16" t="s">
        <v>341</v>
      </c>
      <c r="E24" s="16" t="s">
        <v>585</v>
      </c>
      <c r="F24" s="16" t="s">
        <v>314</v>
      </c>
      <c r="G24" s="20" t="s">
        <v>65</v>
      </c>
      <c r="H24" s="20" t="s">
        <v>37</v>
      </c>
      <c r="I24" s="17"/>
      <c r="J24" s="17"/>
      <c r="K24" s="17" t="str">
        <f>"70,0"</f>
        <v>70,0</v>
      </c>
      <c r="L24" s="17" t="str">
        <f>"38,8675"</f>
        <v>38,8675</v>
      </c>
      <c r="M24" s="16" t="s">
        <v>565</v>
      </c>
    </row>
    <row r="25" spans="1:13">
      <c r="A25" s="19" t="s">
        <v>25</v>
      </c>
      <c r="B25" s="18" t="s">
        <v>464</v>
      </c>
      <c r="C25" s="18" t="s">
        <v>465</v>
      </c>
      <c r="D25" s="18" t="s">
        <v>466</v>
      </c>
      <c r="E25" s="18" t="s">
        <v>586</v>
      </c>
      <c r="F25" s="18" t="s">
        <v>33</v>
      </c>
      <c r="G25" s="22" t="s">
        <v>65</v>
      </c>
      <c r="H25" s="22" t="s">
        <v>37</v>
      </c>
      <c r="I25" s="23" t="s">
        <v>218</v>
      </c>
      <c r="J25" s="19"/>
      <c r="K25" s="19" t="str">
        <f>"70,0"</f>
        <v>70,0</v>
      </c>
      <c r="L25" s="19" t="str">
        <f>"38,8355"</f>
        <v>38,8355</v>
      </c>
      <c r="M25" s="18"/>
    </row>
    <row r="26" spans="1:13">
      <c r="B26" s="5" t="s">
        <v>26</v>
      </c>
    </row>
  </sheetData>
  <mergeCells count="16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5:J15"/>
    <mergeCell ref="A19:J19"/>
    <mergeCell ref="A23:J23"/>
    <mergeCell ref="B3: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U51"/>
  <sheetViews>
    <sheetView topLeftCell="A13" workbookViewId="0">
      <selection activeCell="E42" sqref="E42"/>
    </sheetView>
  </sheetViews>
  <sheetFormatPr baseColWidth="10" defaultColWidth="9.1640625" defaultRowHeight="13"/>
  <cols>
    <col min="1" max="1" width="7.5" style="5" bestFit="1" customWidth="1"/>
    <col min="2" max="2" width="23.332031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34.16406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17" style="5" bestFit="1" customWidth="1"/>
    <col min="22" max="16384" width="9.1640625" style="3"/>
  </cols>
  <sheetData>
    <row r="1" spans="1:21" s="2" customFormat="1" ht="29" customHeight="1">
      <c r="A1" s="44" t="s">
        <v>551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7"/>
    </row>
    <row r="2" spans="1:21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1"/>
    </row>
    <row r="3" spans="1:21" s="1" customFormat="1" ht="12.75" customHeight="1">
      <c r="A3" s="52" t="s">
        <v>582</v>
      </c>
      <c r="B3" s="42" t="s">
        <v>0</v>
      </c>
      <c r="C3" s="54" t="s">
        <v>583</v>
      </c>
      <c r="D3" s="54" t="s">
        <v>7</v>
      </c>
      <c r="E3" s="36" t="s">
        <v>584</v>
      </c>
      <c r="F3" s="36" t="s">
        <v>6</v>
      </c>
      <c r="G3" s="36" t="s">
        <v>42</v>
      </c>
      <c r="H3" s="36"/>
      <c r="I3" s="36"/>
      <c r="J3" s="36"/>
      <c r="K3" s="36" t="s">
        <v>43</v>
      </c>
      <c r="L3" s="36"/>
      <c r="M3" s="36"/>
      <c r="N3" s="36"/>
      <c r="O3" s="36" t="s">
        <v>44</v>
      </c>
      <c r="P3" s="36"/>
      <c r="Q3" s="36"/>
      <c r="R3" s="36"/>
      <c r="S3" s="36" t="s">
        <v>1</v>
      </c>
      <c r="T3" s="36" t="s">
        <v>3</v>
      </c>
      <c r="U3" s="38" t="s">
        <v>2</v>
      </c>
    </row>
    <row r="4" spans="1:21" s="1" customFormat="1" ht="21" customHeight="1" thickBot="1">
      <c r="A4" s="53"/>
      <c r="B4" s="43"/>
      <c r="C4" s="37"/>
      <c r="D4" s="37"/>
      <c r="E4" s="37"/>
      <c r="F4" s="3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7"/>
      <c r="T4" s="37"/>
      <c r="U4" s="39"/>
    </row>
    <row r="5" spans="1:21" ht="16">
      <c r="A5" s="40" t="s">
        <v>57</v>
      </c>
      <c r="B5" s="40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21">
      <c r="A6" s="8" t="s">
        <v>25</v>
      </c>
      <c r="B6" s="7" t="s">
        <v>87</v>
      </c>
      <c r="C6" s="7" t="s">
        <v>88</v>
      </c>
      <c r="D6" s="7" t="s">
        <v>89</v>
      </c>
      <c r="E6" s="7" t="s">
        <v>585</v>
      </c>
      <c r="F6" s="7" t="s">
        <v>33</v>
      </c>
      <c r="G6" s="14" t="s">
        <v>65</v>
      </c>
      <c r="H6" s="15" t="s">
        <v>90</v>
      </c>
      <c r="I6" s="15" t="s">
        <v>90</v>
      </c>
      <c r="J6" s="8"/>
      <c r="K6" s="14" t="s">
        <v>91</v>
      </c>
      <c r="L6" s="15" t="s">
        <v>92</v>
      </c>
      <c r="M6" s="15" t="s">
        <v>92</v>
      </c>
      <c r="N6" s="8"/>
      <c r="O6" s="14" t="s">
        <v>93</v>
      </c>
      <c r="P6" s="14" t="s">
        <v>94</v>
      </c>
      <c r="Q6" s="14" t="s">
        <v>39</v>
      </c>
      <c r="R6" s="8"/>
      <c r="S6" s="8" t="str">
        <f>"182,5"</f>
        <v>182,5</v>
      </c>
      <c r="T6" s="8" t="str">
        <f>"220,9345"</f>
        <v>220,9345</v>
      </c>
      <c r="U6" s="7" t="s">
        <v>95</v>
      </c>
    </row>
    <row r="7" spans="1:21">
      <c r="B7" s="5" t="s">
        <v>26</v>
      </c>
    </row>
    <row r="8" spans="1:21" ht="16">
      <c r="A8" s="33" t="s">
        <v>96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21">
      <c r="A9" s="17" t="s">
        <v>25</v>
      </c>
      <c r="B9" s="16" t="s">
        <v>97</v>
      </c>
      <c r="C9" s="16" t="s">
        <v>98</v>
      </c>
      <c r="D9" s="16" t="s">
        <v>99</v>
      </c>
      <c r="E9" s="16" t="s">
        <v>585</v>
      </c>
      <c r="F9" s="16" t="s">
        <v>558</v>
      </c>
      <c r="G9" s="21" t="s">
        <v>65</v>
      </c>
      <c r="H9" s="20" t="s">
        <v>65</v>
      </c>
      <c r="I9" s="20" t="s">
        <v>37</v>
      </c>
      <c r="J9" s="17"/>
      <c r="K9" s="21" t="s">
        <v>100</v>
      </c>
      <c r="L9" s="20" t="s">
        <v>100</v>
      </c>
      <c r="M9" s="21" t="s">
        <v>101</v>
      </c>
      <c r="N9" s="17"/>
      <c r="O9" s="21" t="s">
        <v>38</v>
      </c>
      <c r="P9" s="20" t="s">
        <v>38</v>
      </c>
      <c r="Q9" s="20" t="s">
        <v>39</v>
      </c>
      <c r="R9" s="17"/>
      <c r="S9" s="17" t="str">
        <f>"205,0"</f>
        <v>205,0</v>
      </c>
      <c r="T9" s="17" t="str">
        <f>"231,5475"</f>
        <v>231,5475</v>
      </c>
      <c r="U9" s="16"/>
    </row>
    <row r="10" spans="1:21">
      <c r="A10" s="19" t="s">
        <v>25</v>
      </c>
      <c r="B10" s="18" t="s">
        <v>97</v>
      </c>
      <c r="C10" s="18" t="s">
        <v>102</v>
      </c>
      <c r="D10" s="18" t="s">
        <v>99</v>
      </c>
      <c r="E10" s="18" t="s">
        <v>586</v>
      </c>
      <c r="F10" s="18" t="s">
        <v>558</v>
      </c>
      <c r="G10" s="23" t="s">
        <v>65</v>
      </c>
      <c r="H10" s="22" t="s">
        <v>65</v>
      </c>
      <c r="I10" s="22" t="s">
        <v>37</v>
      </c>
      <c r="J10" s="19"/>
      <c r="K10" s="23" t="s">
        <v>100</v>
      </c>
      <c r="L10" s="22" t="s">
        <v>100</v>
      </c>
      <c r="M10" s="23" t="s">
        <v>101</v>
      </c>
      <c r="N10" s="19"/>
      <c r="O10" s="23" t="s">
        <v>38</v>
      </c>
      <c r="P10" s="22" t="s">
        <v>38</v>
      </c>
      <c r="Q10" s="22" t="s">
        <v>39</v>
      </c>
      <c r="R10" s="19"/>
      <c r="S10" s="19" t="str">
        <f>"205,0"</f>
        <v>205,0</v>
      </c>
      <c r="T10" s="19" t="str">
        <f>"232,7052"</f>
        <v>232,7052</v>
      </c>
      <c r="U10" s="18"/>
    </row>
    <row r="11" spans="1:21">
      <c r="B11" s="5" t="s">
        <v>26</v>
      </c>
    </row>
    <row r="12" spans="1:21" ht="16">
      <c r="A12" s="33" t="s">
        <v>103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</row>
    <row r="13" spans="1:21">
      <c r="A13" s="17" t="s">
        <v>25</v>
      </c>
      <c r="B13" s="16" t="s">
        <v>104</v>
      </c>
      <c r="C13" s="16" t="s">
        <v>105</v>
      </c>
      <c r="D13" s="16" t="s">
        <v>106</v>
      </c>
      <c r="E13" s="16" t="s">
        <v>585</v>
      </c>
      <c r="F13" s="16" t="s">
        <v>107</v>
      </c>
      <c r="G13" s="20" t="s">
        <v>108</v>
      </c>
      <c r="H13" s="20" t="s">
        <v>29</v>
      </c>
      <c r="I13" s="20" t="s">
        <v>109</v>
      </c>
      <c r="J13" s="17"/>
      <c r="K13" s="20" t="s">
        <v>94</v>
      </c>
      <c r="L13" s="21" t="s">
        <v>110</v>
      </c>
      <c r="M13" s="21" t="s">
        <v>110</v>
      </c>
      <c r="N13" s="17"/>
      <c r="O13" s="20" t="s">
        <v>111</v>
      </c>
      <c r="P13" s="20" t="s">
        <v>72</v>
      </c>
      <c r="Q13" s="21" t="s">
        <v>112</v>
      </c>
      <c r="R13" s="17"/>
      <c r="S13" s="17" t="str">
        <f>"427,5"</f>
        <v>427,5</v>
      </c>
      <c r="T13" s="17" t="str">
        <f>"408,1342"</f>
        <v>408,1342</v>
      </c>
      <c r="U13" s="16" t="s">
        <v>113</v>
      </c>
    </row>
    <row r="14" spans="1:21">
      <c r="A14" s="19" t="s">
        <v>25</v>
      </c>
      <c r="B14" s="18" t="s">
        <v>104</v>
      </c>
      <c r="C14" s="18" t="s">
        <v>114</v>
      </c>
      <c r="D14" s="18" t="s">
        <v>106</v>
      </c>
      <c r="E14" s="18" t="s">
        <v>586</v>
      </c>
      <c r="F14" s="18" t="s">
        <v>107</v>
      </c>
      <c r="G14" s="22" t="s">
        <v>108</v>
      </c>
      <c r="H14" s="22" t="s">
        <v>29</v>
      </c>
      <c r="I14" s="22" t="s">
        <v>109</v>
      </c>
      <c r="J14" s="19"/>
      <c r="K14" s="22" t="s">
        <v>94</v>
      </c>
      <c r="L14" s="23" t="s">
        <v>110</v>
      </c>
      <c r="M14" s="23" t="s">
        <v>110</v>
      </c>
      <c r="N14" s="19"/>
      <c r="O14" s="22" t="s">
        <v>111</v>
      </c>
      <c r="P14" s="22" t="s">
        <v>72</v>
      </c>
      <c r="Q14" s="23" t="s">
        <v>112</v>
      </c>
      <c r="R14" s="19"/>
      <c r="S14" s="19" t="str">
        <f>"427,5"</f>
        <v>427,5</v>
      </c>
      <c r="T14" s="19" t="str">
        <f>"419,5620"</f>
        <v>419,5620</v>
      </c>
      <c r="U14" s="18" t="s">
        <v>113</v>
      </c>
    </row>
    <row r="15" spans="1:21">
      <c r="B15" s="5" t="s">
        <v>26</v>
      </c>
    </row>
    <row r="16" spans="1:21" ht="16">
      <c r="A16" s="33" t="s">
        <v>115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</row>
    <row r="17" spans="1:21">
      <c r="A17" s="8" t="s">
        <v>25</v>
      </c>
      <c r="B17" s="7" t="s">
        <v>116</v>
      </c>
      <c r="C17" s="7" t="s">
        <v>117</v>
      </c>
      <c r="D17" s="7" t="s">
        <v>118</v>
      </c>
      <c r="E17" s="7" t="s">
        <v>585</v>
      </c>
      <c r="F17" s="7" t="s">
        <v>559</v>
      </c>
      <c r="G17" s="14" t="s">
        <v>119</v>
      </c>
      <c r="H17" s="14" t="s">
        <v>120</v>
      </c>
      <c r="I17" s="15" t="s">
        <v>121</v>
      </c>
      <c r="J17" s="8"/>
      <c r="K17" s="14" t="s">
        <v>29</v>
      </c>
      <c r="L17" s="14" t="s">
        <v>71</v>
      </c>
      <c r="M17" s="14" t="s">
        <v>30</v>
      </c>
      <c r="N17" s="8"/>
      <c r="O17" s="14" t="s">
        <v>122</v>
      </c>
      <c r="P17" s="14" t="s">
        <v>54</v>
      </c>
      <c r="Q17" s="14" t="s">
        <v>123</v>
      </c>
      <c r="R17" s="8"/>
      <c r="S17" s="8" t="str">
        <f>"640,0"</f>
        <v>640,0</v>
      </c>
      <c r="T17" s="8" t="str">
        <f>"431,2960"</f>
        <v>431,2960</v>
      </c>
      <c r="U17" s="7"/>
    </row>
    <row r="18" spans="1:21">
      <c r="B18" s="5" t="s">
        <v>26</v>
      </c>
    </row>
    <row r="19" spans="1:21" ht="16">
      <c r="A19" s="33" t="s">
        <v>67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</row>
    <row r="20" spans="1:21">
      <c r="A20" s="17" t="s">
        <v>25</v>
      </c>
      <c r="B20" s="16" t="s">
        <v>124</v>
      </c>
      <c r="C20" s="16" t="s">
        <v>125</v>
      </c>
      <c r="D20" s="16" t="s">
        <v>70</v>
      </c>
      <c r="E20" s="16" t="s">
        <v>585</v>
      </c>
      <c r="F20" s="16" t="s">
        <v>126</v>
      </c>
      <c r="G20" s="20" t="s">
        <v>121</v>
      </c>
      <c r="H20" s="20" t="s">
        <v>127</v>
      </c>
      <c r="I20" s="20" t="s">
        <v>49</v>
      </c>
      <c r="J20" s="17"/>
      <c r="K20" s="20" t="s">
        <v>71</v>
      </c>
      <c r="L20" s="20" t="s">
        <v>31</v>
      </c>
      <c r="M20" s="21" t="s">
        <v>111</v>
      </c>
      <c r="N20" s="17"/>
      <c r="O20" s="20" t="s">
        <v>54</v>
      </c>
      <c r="P20" s="21" t="s">
        <v>123</v>
      </c>
      <c r="Q20" s="20" t="s">
        <v>123</v>
      </c>
      <c r="R20" s="17"/>
      <c r="S20" s="17" t="str">
        <f>"670,0"</f>
        <v>670,0</v>
      </c>
      <c r="T20" s="17" t="str">
        <f>"427,7280"</f>
        <v>427,7280</v>
      </c>
      <c r="U20" s="16" t="s">
        <v>160</v>
      </c>
    </row>
    <row r="21" spans="1:21">
      <c r="A21" s="25" t="s">
        <v>202</v>
      </c>
      <c r="B21" s="24" t="s">
        <v>128</v>
      </c>
      <c r="C21" s="24" t="s">
        <v>129</v>
      </c>
      <c r="D21" s="24" t="s">
        <v>130</v>
      </c>
      <c r="E21" s="24" t="s">
        <v>585</v>
      </c>
      <c r="F21" s="24" t="s">
        <v>33</v>
      </c>
      <c r="G21" s="26" t="s">
        <v>131</v>
      </c>
      <c r="H21" s="26" t="s">
        <v>132</v>
      </c>
      <c r="I21" s="26" t="s">
        <v>121</v>
      </c>
      <c r="J21" s="25"/>
      <c r="K21" s="26" t="s">
        <v>74</v>
      </c>
      <c r="L21" s="26" t="s">
        <v>28</v>
      </c>
      <c r="M21" s="26" t="s">
        <v>133</v>
      </c>
      <c r="N21" s="25"/>
      <c r="O21" s="26" t="s">
        <v>52</v>
      </c>
      <c r="P21" s="27" t="s">
        <v>53</v>
      </c>
      <c r="Q21" s="26" t="s">
        <v>53</v>
      </c>
      <c r="R21" s="25"/>
      <c r="S21" s="25" t="str">
        <f>"617,5"</f>
        <v>617,5</v>
      </c>
      <c r="T21" s="25" t="str">
        <f>"395,3235"</f>
        <v>395,3235</v>
      </c>
      <c r="U21" s="24" t="s">
        <v>134</v>
      </c>
    </row>
    <row r="22" spans="1:21">
      <c r="A22" s="25" t="s">
        <v>203</v>
      </c>
      <c r="B22" s="24" t="s">
        <v>135</v>
      </c>
      <c r="C22" s="24" t="s">
        <v>136</v>
      </c>
      <c r="D22" s="24" t="s">
        <v>137</v>
      </c>
      <c r="E22" s="24" t="s">
        <v>585</v>
      </c>
      <c r="F22" s="24" t="s">
        <v>138</v>
      </c>
      <c r="G22" s="26" t="s">
        <v>75</v>
      </c>
      <c r="H22" s="26" t="s">
        <v>119</v>
      </c>
      <c r="I22" s="27" t="s">
        <v>76</v>
      </c>
      <c r="J22" s="25"/>
      <c r="K22" s="26" t="s">
        <v>28</v>
      </c>
      <c r="L22" s="26" t="s">
        <v>29</v>
      </c>
      <c r="M22" s="27" t="s">
        <v>71</v>
      </c>
      <c r="N22" s="25"/>
      <c r="O22" s="26" t="s">
        <v>53</v>
      </c>
      <c r="P22" s="27" t="s">
        <v>80</v>
      </c>
      <c r="Q22" s="27" t="s">
        <v>80</v>
      </c>
      <c r="R22" s="25"/>
      <c r="S22" s="25" t="str">
        <f>"605,0"</f>
        <v>605,0</v>
      </c>
      <c r="T22" s="25" t="str">
        <f>"388,6520"</f>
        <v>388,6520</v>
      </c>
      <c r="U22" s="24" t="s">
        <v>557</v>
      </c>
    </row>
    <row r="23" spans="1:21">
      <c r="A23" s="19" t="s">
        <v>25</v>
      </c>
      <c r="B23" s="18" t="s">
        <v>139</v>
      </c>
      <c r="C23" s="18" t="s">
        <v>140</v>
      </c>
      <c r="D23" s="18" t="s">
        <v>141</v>
      </c>
      <c r="E23" s="18" t="s">
        <v>591</v>
      </c>
      <c r="F23" s="18" t="s">
        <v>33</v>
      </c>
      <c r="G23" s="23" t="s">
        <v>74</v>
      </c>
      <c r="H23" s="23" t="s">
        <v>74</v>
      </c>
      <c r="I23" s="22" t="s">
        <v>74</v>
      </c>
      <c r="J23" s="19"/>
      <c r="K23" s="22" t="s">
        <v>90</v>
      </c>
      <c r="L23" s="22" t="s">
        <v>37</v>
      </c>
      <c r="M23" s="19"/>
      <c r="N23" s="19"/>
      <c r="O23" s="22" t="s">
        <v>82</v>
      </c>
      <c r="P23" s="23" t="s">
        <v>75</v>
      </c>
      <c r="Q23" s="19"/>
      <c r="R23" s="19"/>
      <c r="S23" s="19" t="str">
        <f>"390,0"</f>
        <v>390,0</v>
      </c>
      <c r="T23" s="19" t="str">
        <f>"467,2613"</f>
        <v>467,2613</v>
      </c>
      <c r="U23" s="18"/>
    </row>
    <row r="24" spans="1:21">
      <c r="B24" s="5" t="s">
        <v>26</v>
      </c>
    </row>
    <row r="25" spans="1:21" ht="16">
      <c r="A25" s="33" t="s">
        <v>32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</row>
    <row r="26" spans="1:21">
      <c r="A26" s="17" t="s">
        <v>25</v>
      </c>
      <c r="B26" s="16" t="s">
        <v>142</v>
      </c>
      <c r="C26" s="16" t="s">
        <v>143</v>
      </c>
      <c r="D26" s="16" t="s">
        <v>144</v>
      </c>
      <c r="E26" s="16" t="s">
        <v>585</v>
      </c>
      <c r="F26" s="16" t="s">
        <v>560</v>
      </c>
      <c r="G26" s="20" t="s">
        <v>53</v>
      </c>
      <c r="H26" s="20" t="s">
        <v>123</v>
      </c>
      <c r="I26" s="20" t="s">
        <v>145</v>
      </c>
      <c r="J26" s="17"/>
      <c r="K26" s="20" t="s">
        <v>75</v>
      </c>
      <c r="L26" s="21" t="s">
        <v>119</v>
      </c>
      <c r="M26" s="20" t="s">
        <v>119</v>
      </c>
      <c r="N26" s="17"/>
      <c r="O26" s="20" t="s">
        <v>85</v>
      </c>
      <c r="P26" s="20" t="s">
        <v>146</v>
      </c>
      <c r="Q26" s="20" t="s">
        <v>147</v>
      </c>
      <c r="R26" s="17"/>
      <c r="S26" s="17" t="str">
        <f>"792,5"</f>
        <v>792,5</v>
      </c>
      <c r="T26" s="17" t="str">
        <f>"495,3125"</f>
        <v>495,3125</v>
      </c>
      <c r="U26" s="16" t="s">
        <v>148</v>
      </c>
    </row>
    <row r="27" spans="1:21">
      <c r="A27" s="25" t="s">
        <v>202</v>
      </c>
      <c r="B27" s="24" t="s">
        <v>149</v>
      </c>
      <c r="C27" s="24" t="s">
        <v>150</v>
      </c>
      <c r="D27" s="24" t="s">
        <v>151</v>
      </c>
      <c r="E27" s="24" t="s">
        <v>585</v>
      </c>
      <c r="F27" s="24" t="s">
        <v>33</v>
      </c>
      <c r="G27" s="26" t="s">
        <v>52</v>
      </c>
      <c r="H27" s="26" t="s">
        <v>152</v>
      </c>
      <c r="I27" s="26" t="s">
        <v>153</v>
      </c>
      <c r="J27" s="25"/>
      <c r="K27" s="26" t="s">
        <v>111</v>
      </c>
      <c r="L27" s="26" t="s">
        <v>72</v>
      </c>
      <c r="M27" s="27" t="s">
        <v>112</v>
      </c>
      <c r="N27" s="25"/>
      <c r="O27" s="26" t="s">
        <v>80</v>
      </c>
      <c r="P27" s="26" t="s">
        <v>83</v>
      </c>
      <c r="Q27" s="26" t="s">
        <v>154</v>
      </c>
      <c r="R27" s="25"/>
      <c r="S27" s="25" t="str">
        <f>"712,5"</f>
        <v>712,5</v>
      </c>
      <c r="T27" s="25" t="str">
        <f>"434,1263"</f>
        <v>434,1263</v>
      </c>
      <c r="U27" s="24" t="s">
        <v>155</v>
      </c>
    </row>
    <row r="28" spans="1:21">
      <c r="A28" s="25" t="s">
        <v>203</v>
      </c>
      <c r="B28" s="24" t="s">
        <v>156</v>
      </c>
      <c r="C28" s="24" t="s">
        <v>157</v>
      </c>
      <c r="D28" s="24" t="s">
        <v>151</v>
      </c>
      <c r="E28" s="24" t="s">
        <v>585</v>
      </c>
      <c r="F28" s="24" t="s">
        <v>126</v>
      </c>
      <c r="G28" s="26" t="s">
        <v>121</v>
      </c>
      <c r="H28" s="27" t="s">
        <v>127</v>
      </c>
      <c r="I28" s="26" t="s">
        <v>127</v>
      </c>
      <c r="J28" s="25"/>
      <c r="K28" s="26" t="s">
        <v>158</v>
      </c>
      <c r="L28" s="26" t="s">
        <v>72</v>
      </c>
      <c r="M28" s="26" t="s">
        <v>159</v>
      </c>
      <c r="N28" s="25"/>
      <c r="O28" s="26" t="s">
        <v>54</v>
      </c>
      <c r="P28" s="26" t="s">
        <v>123</v>
      </c>
      <c r="Q28" s="27" t="s">
        <v>145</v>
      </c>
      <c r="R28" s="25"/>
      <c r="S28" s="25" t="str">
        <f>"682,5"</f>
        <v>682,5</v>
      </c>
      <c r="T28" s="25" t="str">
        <f>"415,8473"</f>
        <v>415,8473</v>
      </c>
      <c r="U28" s="24" t="s">
        <v>160</v>
      </c>
    </row>
    <row r="29" spans="1:21">
      <c r="A29" s="19" t="s">
        <v>204</v>
      </c>
      <c r="B29" s="18" t="s">
        <v>161</v>
      </c>
      <c r="C29" s="18" t="s">
        <v>162</v>
      </c>
      <c r="D29" s="18" t="s">
        <v>163</v>
      </c>
      <c r="E29" s="18" t="s">
        <v>585</v>
      </c>
      <c r="F29" s="18" t="s">
        <v>392</v>
      </c>
      <c r="G29" s="22" t="s">
        <v>82</v>
      </c>
      <c r="H29" s="22" t="s">
        <v>159</v>
      </c>
      <c r="I29" s="22" t="s">
        <v>164</v>
      </c>
      <c r="J29" s="19"/>
      <c r="K29" s="22" t="s">
        <v>74</v>
      </c>
      <c r="L29" s="22" t="s">
        <v>108</v>
      </c>
      <c r="M29" s="23" t="s">
        <v>165</v>
      </c>
      <c r="N29" s="19"/>
      <c r="O29" s="22" t="s">
        <v>52</v>
      </c>
      <c r="P29" s="22" t="s">
        <v>53</v>
      </c>
      <c r="Q29" s="22" t="s">
        <v>80</v>
      </c>
      <c r="R29" s="19"/>
      <c r="S29" s="19" t="str">
        <f>"602,5"</f>
        <v>602,5</v>
      </c>
      <c r="T29" s="19" t="str">
        <f>"377,7073"</f>
        <v>377,7073</v>
      </c>
      <c r="U29" s="18" t="s">
        <v>166</v>
      </c>
    </row>
    <row r="30" spans="1:21">
      <c r="B30" s="5" t="s">
        <v>26</v>
      </c>
    </row>
    <row r="31" spans="1:21" ht="16">
      <c r="A31" s="33" t="s">
        <v>8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</row>
    <row r="32" spans="1:21">
      <c r="A32" s="17" t="s">
        <v>25</v>
      </c>
      <c r="B32" s="16" t="s">
        <v>167</v>
      </c>
      <c r="C32" s="16" t="s">
        <v>168</v>
      </c>
      <c r="D32" s="16" t="s">
        <v>169</v>
      </c>
      <c r="E32" s="16" t="s">
        <v>585</v>
      </c>
      <c r="F32" s="16" t="s">
        <v>561</v>
      </c>
      <c r="G32" s="20" t="s">
        <v>85</v>
      </c>
      <c r="H32" s="20" t="s">
        <v>170</v>
      </c>
      <c r="I32" s="20" t="s">
        <v>146</v>
      </c>
      <c r="J32" s="17"/>
      <c r="K32" s="20" t="s">
        <v>30</v>
      </c>
      <c r="L32" s="20" t="s">
        <v>31</v>
      </c>
      <c r="M32" s="21" t="s">
        <v>111</v>
      </c>
      <c r="N32" s="17"/>
      <c r="O32" s="20" t="s">
        <v>171</v>
      </c>
      <c r="P32" s="21" t="s">
        <v>172</v>
      </c>
      <c r="Q32" s="21" t="s">
        <v>173</v>
      </c>
      <c r="R32" s="17"/>
      <c r="S32" s="17" t="str">
        <f>"820,0"</f>
        <v>820,0</v>
      </c>
      <c r="T32" s="17" t="str">
        <f>"483,2260"</f>
        <v>483,2260</v>
      </c>
      <c r="U32" s="16" t="s">
        <v>174</v>
      </c>
    </row>
    <row r="33" spans="1:21">
      <c r="A33" s="25" t="s">
        <v>202</v>
      </c>
      <c r="B33" s="24" t="s">
        <v>175</v>
      </c>
      <c r="C33" s="24" t="s">
        <v>176</v>
      </c>
      <c r="D33" s="24" t="s">
        <v>177</v>
      </c>
      <c r="E33" s="24" t="s">
        <v>585</v>
      </c>
      <c r="F33" s="24" t="s">
        <v>138</v>
      </c>
      <c r="G33" s="26" t="s">
        <v>53</v>
      </c>
      <c r="H33" s="27" t="s">
        <v>81</v>
      </c>
      <c r="I33" s="27" t="s">
        <v>81</v>
      </c>
      <c r="J33" s="25"/>
      <c r="K33" s="26" t="s">
        <v>71</v>
      </c>
      <c r="L33" s="26" t="s">
        <v>31</v>
      </c>
      <c r="M33" s="27" t="s">
        <v>158</v>
      </c>
      <c r="N33" s="25"/>
      <c r="O33" s="26" t="s">
        <v>83</v>
      </c>
      <c r="P33" s="26" t="s">
        <v>170</v>
      </c>
      <c r="Q33" s="27" t="s">
        <v>178</v>
      </c>
      <c r="R33" s="25"/>
      <c r="S33" s="25" t="str">
        <f>"720,0"</f>
        <v>720,0</v>
      </c>
      <c r="T33" s="25" t="str">
        <f>"423,7200"</f>
        <v>423,7200</v>
      </c>
      <c r="U33" s="24"/>
    </row>
    <row r="34" spans="1:21">
      <c r="A34" s="25" t="s">
        <v>203</v>
      </c>
      <c r="B34" s="24" t="s">
        <v>179</v>
      </c>
      <c r="C34" s="24" t="s">
        <v>180</v>
      </c>
      <c r="D34" s="24" t="s">
        <v>181</v>
      </c>
      <c r="E34" s="24" t="s">
        <v>585</v>
      </c>
      <c r="F34" s="24" t="s">
        <v>558</v>
      </c>
      <c r="G34" s="26" t="s">
        <v>48</v>
      </c>
      <c r="H34" s="26" t="s">
        <v>52</v>
      </c>
      <c r="I34" s="26" t="s">
        <v>50</v>
      </c>
      <c r="J34" s="25"/>
      <c r="K34" s="26" t="s">
        <v>71</v>
      </c>
      <c r="L34" s="27" t="s">
        <v>31</v>
      </c>
      <c r="M34" s="27" t="s">
        <v>31</v>
      </c>
      <c r="N34" s="25"/>
      <c r="O34" s="26" t="s">
        <v>120</v>
      </c>
      <c r="P34" s="27" t="s">
        <v>48</v>
      </c>
      <c r="Q34" s="26" t="s">
        <v>48</v>
      </c>
      <c r="R34" s="25"/>
      <c r="S34" s="25" t="str">
        <f>"620,0"</f>
        <v>620,0</v>
      </c>
      <c r="T34" s="25" t="str">
        <f>"366,9780"</f>
        <v>366,9780</v>
      </c>
      <c r="U34" s="24"/>
    </row>
    <row r="35" spans="1:21">
      <c r="A35" s="19" t="s">
        <v>25</v>
      </c>
      <c r="B35" s="18" t="s">
        <v>179</v>
      </c>
      <c r="C35" s="18" t="s">
        <v>182</v>
      </c>
      <c r="D35" s="18" t="s">
        <v>181</v>
      </c>
      <c r="E35" s="18" t="s">
        <v>586</v>
      </c>
      <c r="F35" s="18" t="s">
        <v>558</v>
      </c>
      <c r="G35" s="22" t="s">
        <v>48</v>
      </c>
      <c r="H35" s="22" t="s">
        <v>52</v>
      </c>
      <c r="I35" s="22" t="s">
        <v>50</v>
      </c>
      <c r="J35" s="19"/>
      <c r="K35" s="22" t="s">
        <v>71</v>
      </c>
      <c r="L35" s="23" t="s">
        <v>31</v>
      </c>
      <c r="M35" s="23" t="s">
        <v>31</v>
      </c>
      <c r="N35" s="19"/>
      <c r="O35" s="22" t="s">
        <v>120</v>
      </c>
      <c r="P35" s="23" t="s">
        <v>48</v>
      </c>
      <c r="Q35" s="22" t="s">
        <v>48</v>
      </c>
      <c r="R35" s="19"/>
      <c r="S35" s="19" t="str">
        <f>"620,0"</f>
        <v>620,0</v>
      </c>
      <c r="T35" s="19" t="str">
        <f>"388,9967"</f>
        <v>388,9967</v>
      </c>
      <c r="U35" s="18"/>
    </row>
    <row r="36" spans="1:21">
      <c r="B36" s="5" t="s">
        <v>26</v>
      </c>
    </row>
    <row r="37" spans="1:21" ht="16">
      <c r="A37" s="33" t="s">
        <v>12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</row>
    <row r="38" spans="1:21">
      <c r="A38" s="8" t="s">
        <v>25</v>
      </c>
      <c r="B38" s="7" t="s">
        <v>183</v>
      </c>
      <c r="C38" s="7" t="s">
        <v>184</v>
      </c>
      <c r="D38" s="7" t="s">
        <v>185</v>
      </c>
      <c r="E38" s="7" t="s">
        <v>585</v>
      </c>
      <c r="F38" s="7" t="s">
        <v>562</v>
      </c>
      <c r="G38" s="14" t="s">
        <v>52</v>
      </c>
      <c r="H38" s="14" t="s">
        <v>122</v>
      </c>
      <c r="I38" s="14" t="s">
        <v>186</v>
      </c>
      <c r="J38" s="8"/>
      <c r="K38" s="14" t="s">
        <v>187</v>
      </c>
      <c r="L38" s="14" t="s">
        <v>74</v>
      </c>
      <c r="M38" s="14" t="s">
        <v>165</v>
      </c>
      <c r="N38" s="8"/>
      <c r="O38" s="14" t="s">
        <v>52</v>
      </c>
      <c r="P38" s="14" t="s">
        <v>53</v>
      </c>
      <c r="Q38" s="14" t="s">
        <v>80</v>
      </c>
      <c r="R38" s="8"/>
      <c r="S38" s="8" t="str">
        <f>"660,0"</f>
        <v>660,0</v>
      </c>
      <c r="T38" s="8" t="str">
        <f>"382,0080"</f>
        <v>382,0080</v>
      </c>
      <c r="U38" s="7"/>
    </row>
    <row r="39" spans="1:21">
      <c r="B39" s="5" t="s">
        <v>26</v>
      </c>
    </row>
    <row r="40" spans="1:21" ht="16">
      <c r="A40" s="33" t="s">
        <v>188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</row>
    <row r="41" spans="1:21">
      <c r="A41" s="8" t="s">
        <v>25</v>
      </c>
      <c r="B41" s="7" t="s">
        <v>189</v>
      </c>
      <c r="C41" s="7" t="s">
        <v>190</v>
      </c>
      <c r="D41" s="7" t="s">
        <v>191</v>
      </c>
      <c r="E41" s="7" t="s">
        <v>585</v>
      </c>
      <c r="F41" s="7" t="s">
        <v>192</v>
      </c>
      <c r="G41" s="15" t="s">
        <v>81</v>
      </c>
      <c r="H41" s="15" t="s">
        <v>81</v>
      </c>
      <c r="I41" s="14" t="s">
        <v>81</v>
      </c>
      <c r="J41" s="8"/>
      <c r="K41" s="14" t="s">
        <v>119</v>
      </c>
      <c r="L41" s="14" t="s">
        <v>120</v>
      </c>
      <c r="M41" s="14" t="s">
        <v>121</v>
      </c>
      <c r="N41" s="8"/>
      <c r="O41" s="14" t="s">
        <v>80</v>
      </c>
      <c r="P41" s="14" t="s">
        <v>83</v>
      </c>
      <c r="Q41" s="15" t="s">
        <v>193</v>
      </c>
      <c r="R41" s="8"/>
      <c r="S41" s="8" t="str">
        <f>"765,0"</f>
        <v>765,0</v>
      </c>
      <c r="T41" s="8" t="str">
        <f>"427,4820"</f>
        <v>427,4820</v>
      </c>
      <c r="U41" s="7" t="s">
        <v>155</v>
      </c>
    </row>
    <row r="42" spans="1:21">
      <c r="B42" s="5" t="s">
        <v>26</v>
      </c>
    </row>
    <row r="43" spans="1:21">
      <c r="B43" s="5" t="s">
        <v>26</v>
      </c>
    </row>
    <row r="44" spans="1:21">
      <c r="B44" s="5" t="s">
        <v>26</v>
      </c>
    </row>
    <row r="45" spans="1:21" ht="18">
      <c r="B45" s="9" t="s">
        <v>13</v>
      </c>
      <c r="C45" s="9"/>
      <c r="F45" s="3"/>
    </row>
    <row r="46" spans="1:21" ht="16">
      <c r="B46" s="10" t="s">
        <v>14</v>
      </c>
      <c r="C46" s="10"/>
      <c r="F46" s="3"/>
    </row>
    <row r="47" spans="1:21" ht="14">
      <c r="B47" s="11"/>
      <c r="C47" s="12" t="s">
        <v>15</v>
      </c>
      <c r="F47" s="3"/>
    </row>
    <row r="48" spans="1:21" ht="14">
      <c r="B48" s="13" t="s">
        <v>16</v>
      </c>
      <c r="C48" s="13" t="s">
        <v>17</v>
      </c>
      <c r="D48" s="13" t="s">
        <v>566</v>
      </c>
      <c r="E48" s="13" t="s">
        <v>19</v>
      </c>
      <c r="F48" s="13" t="s">
        <v>55</v>
      </c>
    </row>
    <row r="49" spans="2:6">
      <c r="B49" s="5" t="s">
        <v>142</v>
      </c>
      <c r="C49" s="5" t="s">
        <v>15</v>
      </c>
      <c r="D49" s="6" t="s">
        <v>40</v>
      </c>
      <c r="E49" s="6" t="s">
        <v>196</v>
      </c>
      <c r="F49" s="6" t="s">
        <v>197</v>
      </c>
    </row>
    <row r="50" spans="2:6">
      <c r="B50" s="5" t="s">
        <v>167</v>
      </c>
      <c r="C50" s="5" t="s">
        <v>15</v>
      </c>
      <c r="D50" s="6" t="s">
        <v>21</v>
      </c>
      <c r="E50" s="6" t="s">
        <v>198</v>
      </c>
      <c r="F50" s="6" t="s">
        <v>199</v>
      </c>
    </row>
    <row r="51" spans="2:6">
      <c r="B51" s="5" t="s">
        <v>149</v>
      </c>
      <c r="C51" s="5" t="s">
        <v>15</v>
      </c>
      <c r="D51" s="6" t="s">
        <v>40</v>
      </c>
      <c r="E51" s="6" t="s">
        <v>200</v>
      </c>
      <c r="F51" s="6" t="s">
        <v>201</v>
      </c>
    </row>
  </sheetData>
  <mergeCells count="22"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37:R37"/>
    <mergeCell ref="A40:R40"/>
    <mergeCell ref="B3:B4"/>
    <mergeCell ref="A8:R8"/>
    <mergeCell ref="A12:R12"/>
    <mergeCell ref="A16:R16"/>
    <mergeCell ref="A19:R19"/>
    <mergeCell ref="A25:R25"/>
    <mergeCell ref="A31:R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U14"/>
  <sheetViews>
    <sheetView workbookViewId="0">
      <selection activeCell="E14" sqref="E14"/>
    </sheetView>
  </sheetViews>
  <sheetFormatPr baseColWidth="10" defaultColWidth="9.1640625" defaultRowHeight="13"/>
  <cols>
    <col min="1" max="1" width="7.5" style="5" bestFit="1" customWidth="1"/>
    <col min="2" max="2" width="20.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31.1640625" style="5" bestFit="1" customWidth="1"/>
    <col min="7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27.5" style="5" bestFit="1" customWidth="1"/>
    <col min="22" max="16384" width="9.1640625" style="3"/>
  </cols>
  <sheetData>
    <row r="1" spans="1:21" s="2" customFormat="1" ht="29" customHeight="1">
      <c r="A1" s="44" t="s">
        <v>552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7"/>
    </row>
    <row r="2" spans="1:21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1"/>
    </row>
    <row r="3" spans="1:21" s="1" customFormat="1" ht="12.75" customHeight="1">
      <c r="A3" s="52" t="s">
        <v>582</v>
      </c>
      <c r="B3" s="42" t="s">
        <v>0</v>
      </c>
      <c r="C3" s="54" t="s">
        <v>5</v>
      </c>
      <c r="D3" s="54" t="s">
        <v>7</v>
      </c>
      <c r="E3" s="36" t="s">
        <v>41</v>
      </c>
      <c r="F3" s="36" t="s">
        <v>6</v>
      </c>
      <c r="G3" s="36" t="s">
        <v>42</v>
      </c>
      <c r="H3" s="36"/>
      <c r="I3" s="36"/>
      <c r="J3" s="36"/>
      <c r="K3" s="36" t="s">
        <v>43</v>
      </c>
      <c r="L3" s="36"/>
      <c r="M3" s="36"/>
      <c r="N3" s="36"/>
      <c r="O3" s="36" t="s">
        <v>44</v>
      </c>
      <c r="P3" s="36"/>
      <c r="Q3" s="36"/>
      <c r="R3" s="36"/>
      <c r="S3" s="36" t="s">
        <v>1</v>
      </c>
      <c r="T3" s="36" t="s">
        <v>3</v>
      </c>
      <c r="U3" s="38" t="s">
        <v>2</v>
      </c>
    </row>
    <row r="4" spans="1:21" s="1" customFormat="1" ht="21" customHeight="1" thickBot="1">
      <c r="A4" s="53"/>
      <c r="B4" s="43"/>
      <c r="C4" s="37"/>
      <c r="D4" s="37"/>
      <c r="E4" s="37"/>
      <c r="F4" s="3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7"/>
      <c r="T4" s="37"/>
      <c r="U4" s="39"/>
    </row>
    <row r="5" spans="1:21" ht="16">
      <c r="A5" s="40" t="s">
        <v>57</v>
      </c>
      <c r="B5" s="40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21">
      <c r="A6" s="8" t="s">
        <v>25</v>
      </c>
      <c r="B6" s="7" t="s">
        <v>58</v>
      </c>
      <c r="C6" s="7" t="s">
        <v>59</v>
      </c>
      <c r="D6" s="7" t="s">
        <v>60</v>
      </c>
      <c r="E6" s="7" t="s">
        <v>590</v>
      </c>
      <c r="F6" s="7" t="s">
        <v>33</v>
      </c>
      <c r="G6" s="14" t="s">
        <v>36</v>
      </c>
      <c r="H6" s="15" t="s">
        <v>61</v>
      </c>
      <c r="I6" s="14" t="s">
        <v>62</v>
      </c>
      <c r="J6" s="15" t="s">
        <v>27</v>
      </c>
      <c r="K6" s="14" t="s">
        <v>63</v>
      </c>
      <c r="L6" s="14" t="s">
        <v>64</v>
      </c>
      <c r="M6" s="14" t="s">
        <v>65</v>
      </c>
      <c r="N6" s="8"/>
      <c r="O6" s="15" t="s">
        <v>66</v>
      </c>
      <c r="P6" s="14" t="s">
        <v>62</v>
      </c>
      <c r="Q6" s="8"/>
      <c r="R6" s="8"/>
      <c r="S6" s="8" t="str">
        <f>"290,0"</f>
        <v>290,0</v>
      </c>
      <c r="T6" s="8" t="str">
        <f>"342,6640"</f>
        <v>342,6640</v>
      </c>
      <c r="U6" s="7" t="s">
        <v>166</v>
      </c>
    </row>
    <row r="7" spans="1:21">
      <c r="B7" s="5" t="s">
        <v>26</v>
      </c>
    </row>
    <row r="8" spans="1:21" ht="16">
      <c r="A8" s="33" t="s">
        <v>67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21">
      <c r="A9" s="8" t="s">
        <v>25</v>
      </c>
      <c r="B9" s="7" t="s">
        <v>68</v>
      </c>
      <c r="C9" s="7" t="s">
        <v>69</v>
      </c>
      <c r="D9" s="7" t="s">
        <v>70</v>
      </c>
      <c r="E9" s="7" t="s">
        <v>585</v>
      </c>
      <c r="F9" s="7" t="s">
        <v>555</v>
      </c>
      <c r="G9" s="15" t="s">
        <v>71</v>
      </c>
      <c r="H9" s="14" t="s">
        <v>31</v>
      </c>
      <c r="I9" s="14" t="s">
        <v>72</v>
      </c>
      <c r="J9" s="8"/>
      <c r="K9" s="14" t="s">
        <v>27</v>
      </c>
      <c r="L9" s="14" t="s">
        <v>73</v>
      </c>
      <c r="M9" s="14" t="s">
        <v>74</v>
      </c>
      <c r="N9" s="8"/>
      <c r="O9" s="14" t="s">
        <v>31</v>
      </c>
      <c r="P9" s="14" t="s">
        <v>75</v>
      </c>
      <c r="Q9" s="14" t="s">
        <v>76</v>
      </c>
      <c r="R9" s="8"/>
      <c r="S9" s="8" t="str">
        <f>"530,0"</f>
        <v>530,0</v>
      </c>
      <c r="T9" s="8" t="str">
        <f>"338,3520"</f>
        <v>338,3520</v>
      </c>
      <c r="U9" s="7" t="s">
        <v>385</v>
      </c>
    </row>
    <row r="10" spans="1:21">
      <c r="B10" s="5" t="s">
        <v>26</v>
      </c>
    </row>
    <row r="11" spans="1:21" ht="16">
      <c r="A11" s="33" t="s">
        <v>12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spans="1:21">
      <c r="A12" s="17" t="s">
        <v>25</v>
      </c>
      <c r="B12" s="16" t="s">
        <v>77</v>
      </c>
      <c r="C12" s="16" t="s">
        <v>78</v>
      </c>
      <c r="D12" s="16" t="s">
        <v>79</v>
      </c>
      <c r="E12" s="16" t="s">
        <v>585</v>
      </c>
      <c r="F12" s="16" t="s">
        <v>555</v>
      </c>
      <c r="G12" s="20" t="s">
        <v>50</v>
      </c>
      <c r="H12" s="20" t="s">
        <v>80</v>
      </c>
      <c r="I12" s="20" t="s">
        <v>81</v>
      </c>
      <c r="J12" s="17"/>
      <c r="K12" s="20" t="s">
        <v>31</v>
      </c>
      <c r="L12" s="21" t="s">
        <v>82</v>
      </c>
      <c r="M12" s="20" t="s">
        <v>82</v>
      </c>
      <c r="N12" s="17"/>
      <c r="O12" s="20" t="s">
        <v>50</v>
      </c>
      <c r="P12" s="20" t="s">
        <v>80</v>
      </c>
      <c r="Q12" s="20" t="s">
        <v>83</v>
      </c>
      <c r="R12" s="17"/>
      <c r="S12" s="17" t="str">
        <f>"730,0"</f>
        <v>730,0</v>
      </c>
      <c r="T12" s="17" t="str">
        <f>"416,6840"</f>
        <v>416,6840</v>
      </c>
      <c r="U12" s="16" t="s">
        <v>556</v>
      </c>
    </row>
    <row r="13" spans="1:21">
      <c r="A13" s="19" t="s">
        <v>25</v>
      </c>
      <c r="B13" s="18" t="s">
        <v>77</v>
      </c>
      <c r="C13" s="18" t="s">
        <v>84</v>
      </c>
      <c r="D13" s="18" t="s">
        <v>79</v>
      </c>
      <c r="E13" s="18" t="s">
        <v>586</v>
      </c>
      <c r="F13" s="18" t="s">
        <v>555</v>
      </c>
      <c r="G13" s="22" t="s">
        <v>50</v>
      </c>
      <c r="H13" s="22" t="s">
        <v>80</v>
      </c>
      <c r="I13" s="22" t="s">
        <v>81</v>
      </c>
      <c r="J13" s="19"/>
      <c r="K13" s="22" t="s">
        <v>31</v>
      </c>
      <c r="L13" s="23" t="s">
        <v>82</v>
      </c>
      <c r="M13" s="22" t="s">
        <v>82</v>
      </c>
      <c r="N13" s="19"/>
      <c r="O13" s="22" t="s">
        <v>50</v>
      </c>
      <c r="P13" s="22" t="s">
        <v>80</v>
      </c>
      <c r="Q13" s="22" t="s">
        <v>83</v>
      </c>
      <c r="R13" s="19"/>
      <c r="S13" s="19" t="str">
        <f>"730,0"</f>
        <v>730,0</v>
      </c>
      <c r="T13" s="19" t="str">
        <f>"422,5176"</f>
        <v>422,5176</v>
      </c>
      <c r="U13" s="18" t="s">
        <v>556</v>
      </c>
    </row>
    <row r="14" spans="1:21">
      <c r="B14" s="5" t="s">
        <v>26</v>
      </c>
    </row>
  </sheetData>
  <mergeCells count="16"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A11:R11"/>
    <mergeCell ref="B3:B4"/>
    <mergeCell ref="S3:S4"/>
    <mergeCell ref="T3:T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U7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6.16406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7.66406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16.6640625" style="5" bestFit="1" customWidth="1"/>
    <col min="22" max="16384" width="9.1640625" style="3"/>
  </cols>
  <sheetData>
    <row r="1" spans="1:21" s="2" customFormat="1" ht="29" customHeight="1">
      <c r="A1" s="44" t="s">
        <v>553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7"/>
    </row>
    <row r="2" spans="1:21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1"/>
    </row>
    <row r="3" spans="1:21" s="1" customFormat="1" ht="12.75" customHeight="1">
      <c r="A3" s="52" t="s">
        <v>582</v>
      </c>
      <c r="B3" s="42" t="s">
        <v>0</v>
      </c>
      <c r="C3" s="54" t="s">
        <v>5</v>
      </c>
      <c r="D3" s="54" t="s">
        <v>7</v>
      </c>
      <c r="E3" s="36" t="s">
        <v>41</v>
      </c>
      <c r="F3" s="36" t="s">
        <v>6</v>
      </c>
      <c r="G3" s="36" t="s">
        <v>42</v>
      </c>
      <c r="H3" s="36"/>
      <c r="I3" s="36"/>
      <c r="J3" s="36"/>
      <c r="K3" s="36" t="s">
        <v>43</v>
      </c>
      <c r="L3" s="36"/>
      <c r="M3" s="36"/>
      <c r="N3" s="36"/>
      <c r="O3" s="36" t="s">
        <v>44</v>
      </c>
      <c r="P3" s="36"/>
      <c r="Q3" s="36"/>
      <c r="R3" s="36"/>
      <c r="S3" s="36" t="s">
        <v>1</v>
      </c>
      <c r="T3" s="36" t="s">
        <v>3</v>
      </c>
      <c r="U3" s="38" t="s">
        <v>2</v>
      </c>
    </row>
    <row r="4" spans="1:21" s="1" customFormat="1" ht="21" customHeight="1" thickBot="1">
      <c r="A4" s="53"/>
      <c r="B4" s="43"/>
      <c r="C4" s="37"/>
      <c r="D4" s="37"/>
      <c r="E4" s="37"/>
      <c r="F4" s="3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7"/>
      <c r="T4" s="37"/>
      <c r="U4" s="39"/>
    </row>
    <row r="5" spans="1:21" ht="16">
      <c r="A5" s="40" t="s">
        <v>8</v>
      </c>
      <c r="B5" s="40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21">
      <c r="A6" s="8" t="s">
        <v>25</v>
      </c>
      <c r="B6" s="7" t="s">
        <v>45</v>
      </c>
      <c r="C6" s="7" t="s">
        <v>46</v>
      </c>
      <c r="D6" s="7" t="s">
        <v>47</v>
      </c>
      <c r="E6" s="7" t="s">
        <v>586</v>
      </c>
      <c r="F6" s="7" t="s">
        <v>558</v>
      </c>
      <c r="G6" s="14" t="s">
        <v>48</v>
      </c>
      <c r="H6" s="14" t="s">
        <v>49</v>
      </c>
      <c r="I6" s="15" t="s">
        <v>50</v>
      </c>
      <c r="J6" s="8"/>
      <c r="K6" s="14" t="s">
        <v>29</v>
      </c>
      <c r="L6" s="14" t="s">
        <v>31</v>
      </c>
      <c r="M6" s="15" t="s">
        <v>51</v>
      </c>
      <c r="N6" s="8"/>
      <c r="O6" s="14" t="s">
        <v>52</v>
      </c>
      <c r="P6" s="14" t="s">
        <v>53</v>
      </c>
      <c r="Q6" s="15" t="s">
        <v>54</v>
      </c>
      <c r="R6" s="8"/>
      <c r="S6" s="8" t="str">
        <f>"655,0"</f>
        <v>655,0</v>
      </c>
      <c r="T6" s="8" t="str">
        <f>"394,3177"</f>
        <v>394,3177</v>
      </c>
      <c r="U6" s="7" t="s">
        <v>565</v>
      </c>
    </row>
    <row r="7" spans="1:21">
      <c r="B7" s="5" t="s">
        <v>26</v>
      </c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Q28"/>
  <sheetViews>
    <sheetView workbookViewId="0">
      <selection activeCell="E28" sqref="E28"/>
    </sheetView>
  </sheetViews>
  <sheetFormatPr baseColWidth="10" defaultColWidth="9.1640625" defaultRowHeight="13"/>
  <cols>
    <col min="1" max="1" width="7.5" style="5" bestFit="1" customWidth="1"/>
    <col min="2" max="2" width="23.332031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35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16.6640625" style="5" bestFit="1" customWidth="1"/>
    <col min="18" max="16384" width="9.1640625" style="3"/>
  </cols>
  <sheetData>
    <row r="1" spans="1:17" s="2" customFormat="1" ht="29" customHeight="1">
      <c r="A1" s="44" t="s">
        <v>542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7"/>
    </row>
    <row r="2" spans="1:17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1"/>
    </row>
    <row r="3" spans="1:17" s="1" customFormat="1" ht="12.75" customHeight="1">
      <c r="A3" s="52" t="s">
        <v>582</v>
      </c>
      <c r="B3" s="42" t="s">
        <v>0</v>
      </c>
      <c r="C3" s="54" t="s">
        <v>5</v>
      </c>
      <c r="D3" s="54" t="s">
        <v>7</v>
      </c>
      <c r="E3" s="36" t="s">
        <v>41</v>
      </c>
      <c r="F3" s="36" t="s">
        <v>6</v>
      </c>
      <c r="G3" s="36" t="s">
        <v>43</v>
      </c>
      <c r="H3" s="36"/>
      <c r="I3" s="36"/>
      <c r="J3" s="36"/>
      <c r="K3" s="36" t="s">
        <v>44</v>
      </c>
      <c r="L3" s="36"/>
      <c r="M3" s="36"/>
      <c r="N3" s="36"/>
      <c r="O3" s="36" t="s">
        <v>1</v>
      </c>
      <c r="P3" s="36" t="s">
        <v>3</v>
      </c>
      <c r="Q3" s="38" t="s">
        <v>2</v>
      </c>
    </row>
    <row r="4" spans="1:17" s="1" customFormat="1" ht="21" customHeight="1" thickBot="1">
      <c r="A4" s="53"/>
      <c r="B4" s="43"/>
      <c r="C4" s="37"/>
      <c r="D4" s="37"/>
      <c r="E4" s="37"/>
      <c r="F4" s="3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7"/>
      <c r="P4" s="37"/>
      <c r="Q4" s="39"/>
    </row>
    <row r="5" spans="1:17" ht="16">
      <c r="A5" s="40" t="s">
        <v>205</v>
      </c>
      <c r="B5" s="40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7">
      <c r="A6" s="8" t="s">
        <v>25</v>
      </c>
      <c r="B6" s="7" t="s">
        <v>206</v>
      </c>
      <c r="C6" s="7" t="s">
        <v>207</v>
      </c>
      <c r="D6" s="7" t="s">
        <v>208</v>
      </c>
      <c r="E6" s="7" t="s">
        <v>585</v>
      </c>
      <c r="F6" s="7" t="s">
        <v>554</v>
      </c>
      <c r="G6" s="14" t="s">
        <v>209</v>
      </c>
      <c r="H6" s="14" t="s">
        <v>92</v>
      </c>
      <c r="I6" s="15" t="s">
        <v>210</v>
      </c>
      <c r="J6" s="8"/>
      <c r="K6" s="14" t="s">
        <v>65</v>
      </c>
      <c r="L6" s="14" t="s">
        <v>37</v>
      </c>
      <c r="M6" s="14" t="s">
        <v>38</v>
      </c>
      <c r="N6" s="8"/>
      <c r="O6" s="8" t="str">
        <f>"115,0"</f>
        <v>115,0</v>
      </c>
      <c r="P6" s="8" t="str">
        <f>"149,0860"</f>
        <v>149,0860</v>
      </c>
      <c r="Q6" s="7" t="s">
        <v>211</v>
      </c>
    </row>
    <row r="7" spans="1:17">
      <c r="B7" s="5" t="s">
        <v>26</v>
      </c>
    </row>
    <row r="8" spans="1:17" ht="16">
      <c r="A8" s="33" t="s">
        <v>96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7">
      <c r="A9" s="17" t="s">
        <v>25</v>
      </c>
      <c r="B9" s="16" t="s">
        <v>97</v>
      </c>
      <c r="C9" s="16" t="s">
        <v>98</v>
      </c>
      <c r="D9" s="16" t="s">
        <v>99</v>
      </c>
      <c r="E9" s="16" t="s">
        <v>585</v>
      </c>
      <c r="F9" s="16" t="s">
        <v>558</v>
      </c>
      <c r="G9" s="21" t="s">
        <v>100</v>
      </c>
      <c r="H9" s="20" t="s">
        <v>100</v>
      </c>
      <c r="I9" s="21" t="s">
        <v>101</v>
      </c>
      <c r="J9" s="17"/>
      <c r="K9" s="21" t="s">
        <v>38</v>
      </c>
      <c r="L9" s="20" t="s">
        <v>38</v>
      </c>
      <c r="M9" s="20" t="s">
        <v>39</v>
      </c>
      <c r="N9" s="17"/>
      <c r="O9" s="17" t="str">
        <f>"135,0"</f>
        <v>135,0</v>
      </c>
      <c r="P9" s="17" t="str">
        <f>"152,4825"</f>
        <v>152,4825</v>
      </c>
      <c r="Q9" s="16"/>
    </row>
    <row r="10" spans="1:17">
      <c r="A10" s="19" t="s">
        <v>25</v>
      </c>
      <c r="B10" s="18" t="s">
        <v>97</v>
      </c>
      <c r="C10" s="18" t="s">
        <v>102</v>
      </c>
      <c r="D10" s="18" t="s">
        <v>99</v>
      </c>
      <c r="E10" s="18" t="s">
        <v>586</v>
      </c>
      <c r="F10" s="18" t="s">
        <v>558</v>
      </c>
      <c r="G10" s="23" t="s">
        <v>100</v>
      </c>
      <c r="H10" s="22" t="s">
        <v>100</v>
      </c>
      <c r="I10" s="23" t="s">
        <v>101</v>
      </c>
      <c r="J10" s="19"/>
      <c r="K10" s="23" t="s">
        <v>38</v>
      </c>
      <c r="L10" s="22" t="s">
        <v>38</v>
      </c>
      <c r="M10" s="22" t="s">
        <v>39</v>
      </c>
      <c r="N10" s="19"/>
      <c r="O10" s="19" t="str">
        <f>"135,0"</f>
        <v>135,0</v>
      </c>
      <c r="P10" s="19" t="str">
        <f>"153,2449"</f>
        <v>153,2449</v>
      </c>
      <c r="Q10" s="18"/>
    </row>
    <row r="11" spans="1:17">
      <c r="B11" s="5" t="s">
        <v>26</v>
      </c>
    </row>
    <row r="12" spans="1:17" ht="16">
      <c r="A12" s="33" t="s">
        <v>219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</row>
    <row r="13" spans="1:17">
      <c r="A13" s="17" t="s">
        <v>25</v>
      </c>
      <c r="B13" s="16" t="s">
        <v>524</v>
      </c>
      <c r="C13" s="16" t="s">
        <v>525</v>
      </c>
      <c r="D13" s="16" t="s">
        <v>240</v>
      </c>
      <c r="E13" s="16" t="s">
        <v>585</v>
      </c>
      <c r="F13" s="16" t="s">
        <v>573</v>
      </c>
      <c r="G13" s="20" t="s">
        <v>63</v>
      </c>
      <c r="H13" s="20" t="s">
        <v>65</v>
      </c>
      <c r="I13" s="21" t="s">
        <v>223</v>
      </c>
      <c r="J13" s="17"/>
      <c r="K13" s="20" t="s">
        <v>74</v>
      </c>
      <c r="L13" s="20" t="s">
        <v>108</v>
      </c>
      <c r="M13" s="21" t="s">
        <v>28</v>
      </c>
      <c r="N13" s="17"/>
      <c r="O13" s="17" t="str">
        <f>"205,0"</f>
        <v>205,0</v>
      </c>
      <c r="P13" s="17" t="str">
        <f>"216,2955"</f>
        <v>216,2955</v>
      </c>
      <c r="Q13" s="16" t="s">
        <v>526</v>
      </c>
    </row>
    <row r="14" spans="1:17">
      <c r="A14" s="19" t="s">
        <v>202</v>
      </c>
      <c r="B14" s="18" t="s">
        <v>358</v>
      </c>
      <c r="C14" s="18" t="s">
        <v>359</v>
      </c>
      <c r="D14" s="18" t="s">
        <v>360</v>
      </c>
      <c r="E14" s="18" t="s">
        <v>585</v>
      </c>
      <c r="F14" s="18" t="s">
        <v>33</v>
      </c>
      <c r="G14" s="22" t="s">
        <v>210</v>
      </c>
      <c r="H14" s="22" t="s">
        <v>100</v>
      </c>
      <c r="I14" s="22" t="s">
        <v>361</v>
      </c>
      <c r="J14" s="19"/>
      <c r="K14" s="22" t="s">
        <v>244</v>
      </c>
      <c r="L14" s="23" t="s">
        <v>224</v>
      </c>
      <c r="M14" s="23" t="s">
        <v>224</v>
      </c>
      <c r="N14" s="19"/>
      <c r="O14" s="19" t="str">
        <f>"142,5"</f>
        <v>142,5</v>
      </c>
      <c r="P14" s="19" t="str">
        <f>"148,8270"</f>
        <v>148,8270</v>
      </c>
      <c r="Q14" s="18" t="s">
        <v>565</v>
      </c>
    </row>
    <row r="15" spans="1:17">
      <c r="B15" s="5" t="s">
        <v>26</v>
      </c>
    </row>
    <row r="16" spans="1:17" ht="16">
      <c r="A16" s="33" t="s">
        <v>115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</row>
    <row r="17" spans="1:17">
      <c r="A17" s="8" t="s">
        <v>25</v>
      </c>
      <c r="B17" s="7" t="s">
        <v>394</v>
      </c>
      <c r="C17" s="7" t="s">
        <v>395</v>
      </c>
      <c r="D17" s="7" t="s">
        <v>256</v>
      </c>
      <c r="E17" s="7" t="s">
        <v>585</v>
      </c>
      <c r="F17" s="7" t="s">
        <v>554</v>
      </c>
      <c r="G17" s="14" t="s">
        <v>35</v>
      </c>
      <c r="H17" s="15" t="s">
        <v>224</v>
      </c>
      <c r="I17" s="15" t="s">
        <v>62</v>
      </c>
      <c r="J17" s="8"/>
      <c r="K17" s="14" t="s">
        <v>31</v>
      </c>
      <c r="L17" s="15" t="s">
        <v>75</v>
      </c>
      <c r="M17" s="15" t="s">
        <v>396</v>
      </c>
      <c r="N17" s="8"/>
      <c r="O17" s="8" t="str">
        <f>"270,0"</f>
        <v>270,0</v>
      </c>
      <c r="P17" s="8" t="str">
        <f>"180,8730"</f>
        <v>180,8730</v>
      </c>
      <c r="Q17" s="7" t="s">
        <v>211</v>
      </c>
    </row>
    <row r="18" spans="1:17">
      <c r="B18" s="5" t="s">
        <v>26</v>
      </c>
    </row>
    <row r="19" spans="1:17" ht="16">
      <c r="A19" s="33" t="s">
        <v>67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</row>
    <row r="20" spans="1:17">
      <c r="A20" s="8" t="s">
        <v>25</v>
      </c>
      <c r="B20" s="7" t="s">
        <v>527</v>
      </c>
      <c r="C20" s="7" t="s">
        <v>528</v>
      </c>
      <c r="D20" s="7" t="s">
        <v>529</v>
      </c>
      <c r="E20" s="7" t="s">
        <v>588</v>
      </c>
      <c r="F20" s="7" t="s">
        <v>33</v>
      </c>
      <c r="G20" s="14" t="s">
        <v>94</v>
      </c>
      <c r="H20" s="14" t="s">
        <v>39</v>
      </c>
      <c r="I20" s="14" t="s">
        <v>35</v>
      </c>
      <c r="J20" s="8"/>
      <c r="K20" s="14" t="s">
        <v>73</v>
      </c>
      <c r="L20" s="14" t="s">
        <v>403</v>
      </c>
      <c r="M20" s="14" t="s">
        <v>28</v>
      </c>
      <c r="N20" s="8"/>
      <c r="O20" s="8" t="str">
        <f>"250,0"</f>
        <v>250,0</v>
      </c>
      <c r="P20" s="8" t="str">
        <f>"160,3250"</f>
        <v>160,3250</v>
      </c>
      <c r="Q20" s="7" t="s">
        <v>301</v>
      </c>
    </row>
    <row r="21" spans="1:17">
      <c r="B21" s="5" t="s">
        <v>26</v>
      </c>
    </row>
    <row r="22" spans="1:17" ht="16">
      <c r="A22" s="33" t="s">
        <v>32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</row>
    <row r="23" spans="1:17">
      <c r="A23" s="8" t="s">
        <v>34</v>
      </c>
      <c r="B23" s="7" t="s">
        <v>428</v>
      </c>
      <c r="C23" s="7" t="s">
        <v>530</v>
      </c>
      <c r="D23" s="7" t="s">
        <v>430</v>
      </c>
      <c r="E23" s="7" t="s">
        <v>585</v>
      </c>
      <c r="F23" s="7" t="s">
        <v>107</v>
      </c>
      <c r="G23" s="15" t="s">
        <v>31</v>
      </c>
      <c r="H23" s="15" t="s">
        <v>31</v>
      </c>
      <c r="I23" s="15" t="s">
        <v>31</v>
      </c>
      <c r="J23" s="8"/>
      <c r="K23" s="15" t="s">
        <v>52</v>
      </c>
      <c r="L23" s="8"/>
      <c r="M23" s="8"/>
      <c r="N23" s="8"/>
      <c r="O23" s="8" t="str">
        <f>"0.00"</f>
        <v>0.00</v>
      </c>
      <c r="P23" s="8" t="str">
        <f>"0,0000"</f>
        <v>0,0000</v>
      </c>
      <c r="Q23" s="7" t="s">
        <v>323</v>
      </c>
    </row>
    <row r="24" spans="1:17">
      <c r="B24" s="5" t="s">
        <v>26</v>
      </c>
    </row>
    <row r="25" spans="1:17" ht="16">
      <c r="A25" s="33" t="s">
        <v>8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</row>
    <row r="26" spans="1:17">
      <c r="A26" s="17" t="s">
        <v>25</v>
      </c>
      <c r="B26" s="16" t="s">
        <v>179</v>
      </c>
      <c r="C26" s="16" t="s">
        <v>180</v>
      </c>
      <c r="D26" s="16" t="s">
        <v>181</v>
      </c>
      <c r="E26" s="16" t="s">
        <v>585</v>
      </c>
      <c r="F26" s="16" t="s">
        <v>558</v>
      </c>
      <c r="G26" s="20" t="s">
        <v>71</v>
      </c>
      <c r="H26" s="21" t="s">
        <v>31</v>
      </c>
      <c r="I26" s="21" t="s">
        <v>31</v>
      </c>
      <c r="J26" s="17"/>
      <c r="K26" s="20" t="s">
        <v>120</v>
      </c>
      <c r="L26" s="21" t="s">
        <v>48</v>
      </c>
      <c r="M26" s="20" t="s">
        <v>48</v>
      </c>
      <c r="N26" s="17"/>
      <c r="O26" s="17" t="str">
        <f>"380,0"</f>
        <v>380,0</v>
      </c>
      <c r="P26" s="17" t="str">
        <f>"224,9220"</f>
        <v>224,9220</v>
      </c>
      <c r="Q26" s="16"/>
    </row>
    <row r="27" spans="1:17">
      <c r="A27" s="19" t="s">
        <v>25</v>
      </c>
      <c r="B27" s="18" t="s">
        <v>179</v>
      </c>
      <c r="C27" s="18" t="s">
        <v>182</v>
      </c>
      <c r="D27" s="18" t="s">
        <v>181</v>
      </c>
      <c r="E27" s="18" t="s">
        <v>586</v>
      </c>
      <c r="F27" s="18" t="s">
        <v>558</v>
      </c>
      <c r="G27" s="22" t="s">
        <v>71</v>
      </c>
      <c r="H27" s="23" t="s">
        <v>31</v>
      </c>
      <c r="I27" s="23" t="s">
        <v>31</v>
      </c>
      <c r="J27" s="19"/>
      <c r="K27" s="22" t="s">
        <v>120</v>
      </c>
      <c r="L27" s="23" t="s">
        <v>48</v>
      </c>
      <c r="M27" s="22" t="s">
        <v>48</v>
      </c>
      <c r="N27" s="19"/>
      <c r="O27" s="19" t="str">
        <f>"380,0"</f>
        <v>380,0</v>
      </c>
      <c r="P27" s="19" t="str">
        <f>"238,4173"</f>
        <v>238,4173</v>
      </c>
      <c r="Q27" s="18"/>
    </row>
    <row r="28" spans="1:17">
      <c r="B28" s="5" t="s">
        <v>26</v>
      </c>
    </row>
  </sheetData>
  <mergeCells count="19">
    <mergeCell ref="A1:Q2"/>
    <mergeCell ref="A3:A4"/>
    <mergeCell ref="C3:C4"/>
    <mergeCell ref="D3:D4"/>
    <mergeCell ref="E3:E4"/>
    <mergeCell ref="F3:F4"/>
    <mergeCell ref="G3:J3"/>
    <mergeCell ref="K3:N3"/>
    <mergeCell ref="A25:N25"/>
    <mergeCell ref="O3:O4"/>
    <mergeCell ref="P3:P4"/>
    <mergeCell ref="Q3:Q4"/>
    <mergeCell ref="A5:N5"/>
    <mergeCell ref="B3:B4"/>
    <mergeCell ref="A8:N8"/>
    <mergeCell ref="A12:N12"/>
    <mergeCell ref="A16:N16"/>
    <mergeCell ref="A19:N19"/>
    <mergeCell ref="A22:N2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Q30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23.332031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31.16406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17" style="5" bestFit="1" customWidth="1"/>
    <col min="18" max="16384" width="9.1640625" style="3"/>
  </cols>
  <sheetData>
    <row r="1" spans="1:17" s="2" customFormat="1" ht="29" customHeight="1">
      <c r="A1" s="44" t="s">
        <v>543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7"/>
    </row>
    <row r="2" spans="1:17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1"/>
    </row>
    <row r="3" spans="1:17" s="1" customFormat="1" ht="12.75" customHeight="1">
      <c r="A3" s="52" t="s">
        <v>582</v>
      </c>
      <c r="B3" s="42" t="s">
        <v>0</v>
      </c>
      <c r="C3" s="54" t="s">
        <v>583</v>
      </c>
      <c r="D3" s="54" t="s">
        <v>7</v>
      </c>
      <c r="E3" s="36" t="s">
        <v>584</v>
      </c>
      <c r="F3" s="36" t="s">
        <v>6</v>
      </c>
      <c r="G3" s="36" t="s">
        <v>43</v>
      </c>
      <c r="H3" s="36"/>
      <c r="I3" s="36"/>
      <c r="J3" s="36"/>
      <c r="K3" s="36" t="s">
        <v>44</v>
      </c>
      <c r="L3" s="36"/>
      <c r="M3" s="36"/>
      <c r="N3" s="36"/>
      <c r="O3" s="36" t="s">
        <v>1</v>
      </c>
      <c r="P3" s="36" t="s">
        <v>3</v>
      </c>
      <c r="Q3" s="38" t="s">
        <v>2</v>
      </c>
    </row>
    <row r="4" spans="1:17" s="1" customFormat="1" ht="21" customHeight="1" thickBot="1">
      <c r="A4" s="53"/>
      <c r="B4" s="43"/>
      <c r="C4" s="37"/>
      <c r="D4" s="37"/>
      <c r="E4" s="37"/>
      <c r="F4" s="3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7"/>
      <c r="P4" s="37"/>
      <c r="Q4" s="39"/>
    </row>
    <row r="5" spans="1:17" ht="16">
      <c r="A5" s="40" t="s">
        <v>67</v>
      </c>
      <c r="B5" s="40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7">
      <c r="A6" s="17" t="s">
        <v>25</v>
      </c>
      <c r="B6" s="16" t="s">
        <v>474</v>
      </c>
      <c r="C6" s="16" t="s">
        <v>475</v>
      </c>
      <c r="D6" s="16" t="s">
        <v>70</v>
      </c>
      <c r="E6" s="16" t="s">
        <v>585</v>
      </c>
      <c r="F6" s="16" t="s">
        <v>572</v>
      </c>
      <c r="G6" s="21" t="s">
        <v>74</v>
      </c>
      <c r="H6" s="20" t="s">
        <v>74</v>
      </c>
      <c r="I6" s="21" t="s">
        <v>71</v>
      </c>
      <c r="J6" s="17"/>
      <c r="K6" s="20" t="s">
        <v>476</v>
      </c>
      <c r="L6" s="20" t="s">
        <v>147</v>
      </c>
      <c r="M6" s="21" t="s">
        <v>477</v>
      </c>
      <c r="N6" s="17"/>
      <c r="O6" s="17" t="str">
        <f>"460,0"</f>
        <v>460,0</v>
      </c>
      <c r="P6" s="17" t="str">
        <f>"293,6640"</f>
        <v>293,6640</v>
      </c>
      <c r="Q6" s="16" t="s">
        <v>478</v>
      </c>
    </row>
    <row r="7" spans="1:17">
      <c r="A7" s="19" t="s">
        <v>202</v>
      </c>
      <c r="B7" s="18" t="s">
        <v>135</v>
      </c>
      <c r="C7" s="18" t="s">
        <v>136</v>
      </c>
      <c r="D7" s="18" t="s">
        <v>137</v>
      </c>
      <c r="E7" s="18" t="s">
        <v>585</v>
      </c>
      <c r="F7" s="18" t="s">
        <v>138</v>
      </c>
      <c r="G7" s="22" t="s">
        <v>28</v>
      </c>
      <c r="H7" s="22" t="s">
        <v>29</v>
      </c>
      <c r="I7" s="23" t="s">
        <v>71</v>
      </c>
      <c r="J7" s="19"/>
      <c r="K7" s="22" t="s">
        <v>53</v>
      </c>
      <c r="L7" s="23" t="s">
        <v>80</v>
      </c>
      <c r="M7" s="23" t="s">
        <v>80</v>
      </c>
      <c r="N7" s="19"/>
      <c r="O7" s="19" t="str">
        <f>"405,0"</f>
        <v>405,0</v>
      </c>
      <c r="P7" s="19" t="str">
        <f>"260,1720"</f>
        <v>260,1720</v>
      </c>
      <c r="Q7" s="18" t="s">
        <v>574</v>
      </c>
    </row>
    <row r="8" spans="1:17">
      <c r="B8" s="5" t="s">
        <v>26</v>
      </c>
    </row>
    <row r="9" spans="1:17" ht="16">
      <c r="A9" s="33" t="s">
        <v>32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7">
      <c r="A10" s="17" t="s">
        <v>25</v>
      </c>
      <c r="B10" s="16" t="s">
        <v>149</v>
      </c>
      <c r="C10" s="16" t="s">
        <v>150</v>
      </c>
      <c r="D10" s="16" t="s">
        <v>151</v>
      </c>
      <c r="E10" s="16" t="s">
        <v>585</v>
      </c>
      <c r="F10" s="16" t="s">
        <v>33</v>
      </c>
      <c r="G10" s="20" t="s">
        <v>111</v>
      </c>
      <c r="H10" s="20" t="s">
        <v>72</v>
      </c>
      <c r="I10" s="21" t="s">
        <v>112</v>
      </c>
      <c r="J10" s="17"/>
      <c r="K10" s="20" t="s">
        <v>80</v>
      </c>
      <c r="L10" s="20" t="s">
        <v>83</v>
      </c>
      <c r="M10" s="20" t="s">
        <v>154</v>
      </c>
      <c r="N10" s="17"/>
      <c r="O10" s="17" t="str">
        <f>"470,0"</f>
        <v>470,0</v>
      </c>
      <c r="P10" s="17" t="str">
        <f>"286,3710"</f>
        <v>286,3710</v>
      </c>
      <c r="Q10" s="16" t="s">
        <v>155</v>
      </c>
    </row>
    <row r="11" spans="1:17">
      <c r="A11" s="19" t="s">
        <v>202</v>
      </c>
      <c r="B11" s="18" t="s">
        <v>156</v>
      </c>
      <c r="C11" s="18" t="s">
        <v>157</v>
      </c>
      <c r="D11" s="18" t="s">
        <v>151</v>
      </c>
      <c r="E11" s="18" t="s">
        <v>585</v>
      </c>
      <c r="F11" s="18" t="s">
        <v>126</v>
      </c>
      <c r="G11" s="22" t="s">
        <v>158</v>
      </c>
      <c r="H11" s="22" t="s">
        <v>72</v>
      </c>
      <c r="I11" s="22" t="s">
        <v>159</v>
      </c>
      <c r="J11" s="19"/>
      <c r="K11" s="22" t="s">
        <v>54</v>
      </c>
      <c r="L11" s="22" t="s">
        <v>123</v>
      </c>
      <c r="M11" s="23" t="s">
        <v>145</v>
      </c>
      <c r="N11" s="19"/>
      <c r="O11" s="19" t="str">
        <f>"457,5"</f>
        <v>457,5</v>
      </c>
      <c r="P11" s="19" t="str">
        <f>"278,7548"</f>
        <v>278,7548</v>
      </c>
      <c r="Q11" s="18" t="s">
        <v>160</v>
      </c>
    </row>
    <row r="12" spans="1:17">
      <c r="B12" s="5" t="s">
        <v>26</v>
      </c>
    </row>
    <row r="13" spans="1:17" ht="16">
      <c r="A13" s="33" t="s">
        <v>8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</row>
    <row r="14" spans="1:17">
      <c r="A14" s="17" t="s">
        <v>25</v>
      </c>
      <c r="B14" s="16" t="s">
        <v>179</v>
      </c>
      <c r="C14" s="16" t="s">
        <v>180</v>
      </c>
      <c r="D14" s="16" t="s">
        <v>181</v>
      </c>
      <c r="E14" s="16" t="s">
        <v>585</v>
      </c>
      <c r="F14" s="16" t="s">
        <v>558</v>
      </c>
      <c r="G14" s="20" t="s">
        <v>71</v>
      </c>
      <c r="H14" s="21" t="s">
        <v>31</v>
      </c>
      <c r="I14" s="21" t="s">
        <v>31</v>
      </c>
      <c r="J14" s="17"/>
      <c r="K14" s="20" t="s">
        <v>120</v>
      </c>
      <c r="L14" s="21" t="s">
        <v>48</v>
      </c>
      <c r="M14" s="20" t="s">
        <v>48</v>
      </c>
      <c r="N14" s="17"/>
      <c r="O14" s="17" t="str">
        <f>"380,0"</f>
        <v>380,0</v>
      </c>
      <c r="P14" s="17" t="str">
        <f>"224,9220"</f>
        <v>224,9220</v>
      </c>
      <c r="Q14" s="16"/>
    </row>
    <row r="15" spans="1:17">
      <c r="A15" s="25" t="s">
        <v>25</v>
      </c>
      <c r="B15" s="24" t="s">
        <v>45</v>
      </c>
      <c r="C15" s="24" t="s">
        <v>46</v>
      </c>
      <c r="D15" s="24" t="s">
        <v>47</v>
      </c>
      <c r="E15" s="24" t="s">
        <v>586</v>
      </c>
      <c r="F15" s="24" t="s">
        <v>558</v>
      </c>
      <c r="G15" s="26" t="s">
        <v>29</v>
      </c>
      <c r="H15" s="26" t="s">
        <v>31</v>
      </c>
      <c r="I15" s="27" t="s">
        <v>51</v>
      </c>
      <c r="J15" s="25"/>
      <c r="K15" s="26" t="s">
        <v>52</v>
      </c>
      <c r="L15" s="26" t="s">
        <v>53</v>
      </c>
      <c r="M15" s="27" t="s">
        <v>54</v>
      </c>
      <c r="N15" s="25"/>
      <c r="O15" s="25" t="str">
        <f>"420,0"</f>
        <v>420,0</v>
      </c>
      <c r="P15" s="25" t="str">
        <f>"252,8450"</f>
        <v>252,8450</v>
      </c>
      <c r="Q15" s="24" t="s">
        <v>155</v>
      </c>
    </row>
    <row r="16" spans="1:17">
      <c r="A16" s="19" t="s">
        <v>202</v>
      </c>
      <c r="B16" s="18" t="s">
        <v>179</v>
      </c>
      <c r="C16" s="18" t="s">
        <v>182</v>
      </c>
      <c r="D16" s="18" t="s">
        <v>181</v>
      </c>
      <c r="E16" s="18" t="s">
        <v>586</v>
      </c>
      <c r="F16" s="18" t="s">
        <v>558</v>
      </c>
      <c r="G16" s="22" t="s">
        <v>71</v>
      </c>
      <c r="H16" s="23" t="s">
        <v>31</v>
      </c>
      <c r="I16" s="23" t="s">
        <v>31</v>
      </c>
      <c r="J16" s="19"/>
      <c r="K16" s="22" t="s">
        <v>120</v>
      </c>
      <c r="L16" s="23" t="s">
        <v>48</v>
      </c>
      <c r="M16" s="22" t="s">
        <v>48</v>
      </c>
      <c r="N16" s="19"/>
      <c r="O16" s="19" t="str">
        <f>"380,0"</f>
        <v>380,0</v>
      </c>
      <c r="P16" s="19" t="str">
        <f>"238,4173"</f>
        <v>238,4173</v>
      </c>
      <c r="Q16" s="18"/>
    </row>
    <row r="17" spans="1:17">
      <c r="B17" s="5" t="s">
        <v>26</v>
      </c>
    </row>
    <row r="18" spans="1:17" ht="16">
      <c r="A18" s="33" t="s">
        <v>12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</row>
    <row r="19" spans="1:17">
      <c r="A19" s="17" t="s">
        <v>25</v>
      </c>
      <c r="B19" s="16" t="s">
        <v>339</v>
      </c>
      <c r="C19" s="16" t="s">
        <v>340</v>
      </c>
      <c r="D19" s="16" t="s">
        <v>341</v>
      </c>
      <c r="E19" s="16" t="s">
        <v>585</v>
      </c>
      <c r="F19" s="16" t="s">
        <v>314</v>
      </c>
      <c r="G19" s="20" t="s">
        <v>30</v>
      </c>
      <c r="H19" s="21" t="s">
        <v>31</v>
      </c>
      <c r="I19" s="21" t="s">
        <v>31</v>
      </c>
      <c r="J19" s="17"/>
      <c r="K19" s="20" t="s">
        <v>50</v>
      </c>
      <c r="L19" s="20" t="s">
        <v>80</v>
      </c>
      <c r="M19" s="20" t="s">
        <v>145</v>
      </c>
      <c r="N19" s="17"/>
      <c r="O19" s="17" t="str">
        <f>"437,5"</f>
        <v>437,5</v>
      </c>
      <c r="P19" s="17" t="str">
        <f>"253,7063"</f>
        <v>253,7063</v>
      </c>
      <c r="Q19" s="16" t="s">
        <v>155</v>
      </c>
    </row>
    <row r="20" spans="1:17">
      <c r="A20" s="19" t="s">
        <v>202</v>
      </c>
      <c r="B20" s="18" t="s">
        <v>515</v>
      </c>
      <c r="C20" s="18" t="s">
        <v>516</v>
      </c>
      <c r="D20" s="18" t="s">
        <v>517</v>
      </c>
      <c r="E20" s="18" t="s">
        <v>585</v>
      </c>
      <c r="F20" s="18" t="s">
        <v>555</v>
      </c>
      <c r="G20" s="22" t="s">
        <v>35</v>
      </c>
      <c r="H20" s="22" t="s">
        <v>73</v>
      </c>
      <c r="I20" s="22" t="s">
        <v>108</v>
      </c>
      <c r="J20" s="19"/>
      <c r="K20" s="22" t="s">
        <v>28</v>
      </c>
      <c r="L20" s="23" t="s">
        <v>82</v>
      </c>
      <c r="M20" s="23" t="s">
        <v>75</v>
      </c>
      <c r="N20" s="19"/>
      <c r="O20" s="19" t="str">
        <f>"295,0"</f>
        <v>295,0</v>
      </c>
      <c r="P20" s="19" t="str">
        <f>"172,1915"</f>
        <v>172,1915</v>
      </c>
      <c r="Q20" s="18" t="s">
        <v>345</v>
      </c>
    </row>
    <row r="21" spans="1:17">
      <c r="B21" s="5" t="s">
        <v>26</v>
      </c>
    </row>
    <row r="22" spans="1:17">
      <c r="B22" s="5" t="s">
        <v>26</v>
      </c>
    </row>
    <row r="23" spans="1:17">
      <c r="B23" s="5" t="s">
        <v>26</v>
      </c>
    </row>
    <row r="24" spans="1:17" ht="18">
      <c r="B24" s="9" t="s">
        <v>13</v>
      </c>
      <c r="C24" s="9"/>
      <c r="F24" s="3"/>
    </row>
    <row r="25" spans="1:17" ht="16">
      <c r="B25" s="10" t="s">
        <v>14</v>
      </c>
      <c r="C25" s="10"/>
      <c r="F25" s="3"/>
    </row>
    <row r="26" spans="1:17" ht="14">
      <c r="B26" s="11"/>
      <c r="C26" s="12" t="s">
        <v>15</v>
      </c>
      <c r="F26" s="3"/>
    </row>
    <row r="27" spans="1:17" ht="14">
      <c r="B27" s="13" t="s">
        <v>16</v>
      </c>
      <c r="C27" s="13" t="s">
        <v>17</v>
      </c>
      <c r="D27" s="13" t="s">
        <v>18</v>
      </c>
      <c r="E27" s="13" t="s">
        <v>19</v>
      </c>
      <c r="F27" s="13" t="s">
        <v>55</v>
      </c>
    </row>
    <row r="28" spans="1:17">
      <c r="B28" s="5" t="s">
        <v>474</v>
      </c>
      <c r="C28" s="5" t="s">
        <v>15</v>
      </c>
      <c r="D28" s="6" t="s">
        <v>86</v>
      </c>
      <c r="E28" s="6" t="s">
        <v>518</v>
      </c>
      <c r="F28" s="6" t="s">
        <v>519</v>
      </c>
    </row>
    <row r="29" spans="1:17">
      <c r="B29" s="5" t="s">
        <v>149</v>
      </c>
      <c r="C29" s="5" t="s">
        <v>15</v>
      </c>
      <c r="D29" s="6" t="s">
        <v>40</v>
      </c>
      <c r="E29" s="6" t="s">
        <v>520</v>
      </c>
      <c r="F29" s="6" t="s">
        <v>521</v>
      </c>
    </row>
    <row r="30" spans="1:17">
      <c r="B30" s="5" t="s">
        <v>156</v>
      </c>
      <c r="C30" s="5" t="s">
        <v>15</v>
      </c>
      <c r="D30" s="6" t="s">
        <v>40</v>
      </c>
      <c r="E30" s="6" t="s">
        <v>522</v>
      </c>
      <c r="F30" s="6" t="s">
        <v>523</v>
      </c>
    </row>
  </sheetData>
  <mergeCells count="16"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  <mergeCell ref="A9:N9"/>
    <mergeCell ref="A13:N13"/>
    <mergeCell ref="A18:N18"/>
    <mergeCell ref="B3:B4"/>
    <mergeCell ref="O3:O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86"/>
  <sheetViews>
    <sheetView topLeftCell="A31" workbookViewId="0">
      <selection activeCell="E70" sqref="E70"/>
    </sheetView>
  </sheetViews>
  <sheetFormatPr baseColWidth="10" defaultColWidth="9.1640625" defaultRowHeight="13"/>
  <cols>
    <col min="1" max="1" width="7.5" style="5" bestFit="1" customWidth="1"/>
    <col min="2" max="2" width="24.6640625" style="5" bestFit="1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35.33203125" style="5" bestFit="1" customWidth="1"/>
    <col min="7" max="9" width="5.5" style="6" customWidth="1"/>
    <col min="10" max="10" width="4.83203125" style="6" customWidth="1"/>
    <col min="11" max="11" width="10.5" style="28" bestFit="1" customWidth="1"/>
    <col min="12" max="12" width="8.5" style="6" bestFit="1" customWidth="1"/>
    <col min="13" max="13" width="21.5" style="5" bestFit="1" customWidth="1"/>
    <col min="14" max="16384" width="9.1640625" style="3"/>
  </cols>
  <sheetData>
    <row r="1" spans="1:13" s="2" customFormat="1" ht="29" customHeight="1">
      <c r="A1" s="44" t="s">
        <v>547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582</v>
      </c>
      <c r="B3" s="42" t="s">
        <v>0</v>
      </c>
      <c r="C3" s="54" t="s">
        <v>583</v>
      </c>
      <c r="D3" s="54" t="s">
        <v>7</v>
      </c>
      <c r="E3" s="36" t="s">
        <v>584</v>
      </c>
      <c r="F3" s="36" t="s">
        <v>6</v>
      </c>
      <c r="G3" s="36" t="s">
        <v>43</v>
      </c>
      <c r="H3" s="36"/>
      <c r="I3" s="36"/>
      <c r="J3" s="36"/>
      <c r="K3" s="34" t="s">
        <v>24</v>
      </c>
      <c r="L3" s="36" t="s">
        <v>3</v>
      </c>
      <c r="M3" s="38" t="s">
        <v>2</v>
      </c>
    </row>
    <row r="4" spans="1:13" s="1" customFormat="1" ht="21" customHeight="1" thickBot="1">
      <c r="A4" s="53"/>
      <c r="B4" s="43"/>
      <c r="C4" s="37"/>
      <c r="D4" s="37"/>
      <c r="E4" s="37"/>
      <c r="F4" s="37"/>
      <c r="G4" s="4">
        <v>1</v>
      </c>
      <c r="H4" s="4">
        <v>2</v>
      </c>
      <c r="I4" s="4">
        <v>3</v>
      </c>
      <c r="J4" s="4" t="s">
        <v>4</v>
      </c>
      <c r="K4" s="35"/>
      <c r="L4" s="37"/>
      <c r="M4" s="39"/>
    </row>
    <row r="5" spans="1:13" ht="16">
      <c r="A5" s="40" t="s">
        <v>349</v>
      </c>
      <c r="B5" s="40"/>
      <c r="C5" s="41"/>
      <c r="D5" s="41"/>
      <c r="E5" s="41"/>
      <c r="F5" s="41"/>
      <c r="G5" s="41"/>
      <c r="H5" s="41"/>
      <c r="I5" s="41"/>
      <c r="J5" s="41"/>
    </row>
    <row r="6" spans="1:13">
      <c r="A6" s="8" t="s">
        <v>25</v>
      </c>
      <c r="B6" s="7" t="s">
        <v>350</v>
      </c>
      <c r="C6" s="7" t="s">
        <v>351</v>
      </c>
      <c r="D6" s="7" t="s">
        <v>352</v>
      </c>
      <c r="E6" s="7" t="s">
        <v>590</v>
      </c>
      <c r="F6" s="7" t="s">
        <v>33</v>
      </c>
      <c r="G6" s="14" t="s">
        <v>92</v>
      </c>
      <c r="H6" s="14" t="s">
        <v>210</v>
      </c>
      <c r="I6" s="15" t="s">
        <v>100</v>
      </c>
      <c r="J6" s="8"/>
      <c r="K6" s="29" t="str">
        <f>"40,0"</f>
        <v>40,0</v>
      </c>
      <c r="L6" s="8" t="str">
        <f>"53,3840"</f>
        <v>53,3840</v>
      </c>
      <c r="M6" s="7"/>
    </row>
    <row r="7" spans="1:13">
      <c r="B7" s="5" t="s">
        <v>26</v>
      </c>
    </row>
    <row r="8" spans="1:13" ht="16">
      <c r="A8" s="33" t="s">
        <v>205</v>
      </c>
      <c r="B8" s="33"/>
      <c r="C8" s="33"/>
      <c r="D8" s="33"/>
      <c r="E8" s="33"/>
      <c r="F8" s="33"/>
      <c r="G8" s="33"/>
      <c r="H8" s="33"/>
      <c r="I8" s="33"/>
      <c r="J8" s="33"/>
    </row>
    <row r="9" spans="1:13">
      <c r="A9" s="8" t="s">
        <v>25</v>
      </c>
      <c r="B9" s="7" t="s">
        <v>206</v>
      </c>
      <c r="C9" s="7" t="s">
        <v>207</v>
      </c>
      <c r="D9" s="7" t="s">
        <v>208</v>
      </c>
      <c r="E9" s="7" t="s">
        <v>585</v>
      </c>
      <c r="F9" s="7" t="s">
        <v>554</v>
      </c>
      <c r="G9" s="14" t="s">
        <v>209</v>
      </c>
      <c r="H9" s="14" t="s">
        <v>92</v>
      </c>
      <c r="I9" s="15" t="s">
        <v>210</v>
      </c>
      <c r="J9" s="8"/>
      <c r="K9" s="29" t="str">
        <f>"35,0"</f>
        <v>35,0</v>
      </c>
      <c r="L9" s="8" t="str">
        <f>"45,3740"</f>
        <v>45,3740</v>
      </c>
      <c r="M9" s="7" t="s">
        <v>211</v>
      </c>
    </row>
    <row r="10" spans="1:13">
      <c r="B10" s="5" t="s">
        <v>26</v>
      </c>
    </row>
    <row r="11" spans="1:13" ht="16">
      <c r="A11" s="33" t="s">
        <v>57</v>
      </c>
      <c r="B11" s="33"/>
      <c r="C11" s="33"/>
      <c r="D11" s="33"/>
      <c r="E11" s="33"/>
      <c r="F11" s="33"/>
      <c r="G11" s="33"/>
      <c r="H11" s="33"/>
      <c r="I11" s="33"/>
      <c r="J11" s="33"/>
    </row>
    <row r="12" spans="1:13">
      <c r="A12" s="8" t="s">
        <v>25</v>
      </c>
      <c r="B12" s="7" t="s">
        <v>353</v>
      </c>
      <c r="C12" s="7" t="s">
        <v>354</v>
      </c>
      <c r="D12" s="7" t="s">
        <v>355</v>
      </c>
      <c r="E12" s="7" t="s">
        <v>585</v>
      </c>
      <c r="F12" s="7" t="s">
        <v>356</v>
      </c>
      <c r="G12" s="14" t="s">
        <v>223</v>
      </c>
      <c r="H12" s="15" t="s">
        <v>357</v>
      </c>
      <c r="I12" s="15" t="s">
        <v>357</v>
      </c>
      <c r="J12" s="8"/>
      <c r="K12" s="29" t="str">
        <f>"62,5"</f>
        <v>62,5</v>
      </c>
      <c r="L12" s="8" t="str">
        <f>"73,5375"</f>
        <v>73,5375</v>
      </c>
      <c r="M12" s="7"/>
    </row>
    <row r="13" spans="1:13">
      <c r="B13" s="5" t="s">
        <v>26</v>
      </c>
    </row>
    <row r="14" spans="1:13" ht="16">
      <c r="A14" s="33" t="s">
        <v>96</v>
      </c>
      <c r="B14" s="33"/>
      <c r="C14" s="33"/>
      <c r="D14" s="33"/>
      <c r="E14" s="33"/>
      <c r="F14" s="33"/>
      <c r="G14" s="33"/>
      <c r="H14" s="33"/>
      <c r="I14" s="33"/>
      <c r="J14" s="33"/>
    </row>
    <row r="15" spans="1:13">
      <c r="A15" s="17" t="s">
        <v>25</v>
      </c>
      <c r="B15" s="16" t="s">
        <v>97</v>
      </c>
      <c r="C15" s="16" t="s">
        <v>98</v>
      </c>
      <c r="D15" s="16" t="s">
        <v>99</v>
      </c>
      <c r="E15" s="16" t="s">
        <v>585</v>
      </c>
      <c r="F15" s="16" t="s">
        <v>558</v>
      </c>
      <c r="G15" s="21" t="s">
        <v>100</v>
      </c>
      <c r="H15" s="20" t="s">
        <v>100</v>
      </c>
      <c r="I15" s="21" t="s">
        <v>101</v>
      </c>
      <c r="J15" s="17"/>
      <c r="K15" s="30" t="str">
        <f>"45,0"</f>
        <v>45,0</v>
      </c>
      <c r="L15" s="17" t="str">
        <f>"50,8275"</f>
        <v>50,8275</v>
      </c>
      <c r="M15" s="16"/>
    </row>
    <row r="16" spans="1:13">
      <c r="A16" s="19" t="s">
        <v>25</v>
      </c>
      <c r="B16" s="18" t="s">
        <v>97</v>
      </c>
      <c r="C16" s="18" t="s">
        <v>102</v>
      </c>
      <c r="D16" s="18" t="s">
        <v>99</v>
      </c>
      <c r="E16" s="18" t="s">
        <v>586</v>
      </c>
      <c r="F16" s="18" t="s">
        <v>558</v>
      </c>
      <c r="G16" s="23" t="s">
        <v>100</v>
      </c>
      <c r="H16" s="22" t="s">
        <v>100</v>
      </c>
      <c r="I16" s="23" t="s">
        <v>101</v>
      </c>
      <c r="J16" s="19"/>
      <c r="K16" s="31" t="str">
        <f>"45,0"</f>
        <v>45,0</v>
      </c>
      <c r="L16" s="19" t="str">
        <f>"51,0816"</f>
        <v>51,0816</v>
      </c>
      <c r="M16" s="18"/>
    </row>
    <row r="17" spans="1:13">
      <c r="B17" s="5" t="s">
        <v>26</v>
      </c>
    </row>
    <row r="18" spans="1:13" ht="16">
      <c r="A18" s="33" t="s">
        <v>219</v>
      </c>
      <c r="B18" s="33"/>
      <c r="C18" s="33"/>
      <c r="D18" s="33"/>
      <c r="E18" s="33"/>
      <c r="F18" s="33"/>
      <c r="G18" s="33"/>
      <c r="H18" s="33"/>
      <c r="I18" s="33"/>
      <c r="J18" s="33"/>
    </row>
    <row r="19" spans="1:13">
      <c r="A19" s="8" t="s">
        <v>25</v>
      </c>
      <c r="B19" s="7" t="s">
        <v>358</v>
      </c>
      <c r="C19" s="7" t="s">
        <v>359</v>
      </c>
      <c r="D19" s="7" t="s">
        <v>360</v>
      </c>
      <c r="E19" s="7" t="s">
        <v>585</v>
      </c>
      <c r="F19" s="7" t="s">
        <v>33</v>
      </c>
      <c r="G19" s="14" t="s">
        <v>210</v>
      </c>
      <c r="H19" s="14" t="s">
        <v>100</v>
      </c>
      <c r="I19" s="14" t="s">
        <v>361</v>
      </c>
      <c r="J19" s="8"/>
      <c r="K19" s="29" t="str">
        <f>"47,5"</f>
        <v>47,5</v>
      </c>
      <c r="L19" s="8" t="str">
        <f>"49,6090"</f>
        <v>49,6090</v>
      </c>
      <c r="M19" s="7" t="s">
        <v>565</v>
      </c>
    </row>
    <row r="20" spans="1:13">
      <c r="B20" s="5" t="s">
        <v>26</v>
      </c>
    </row>
    <row r="21" spans="1:13" ht="16">
      <c r="A21" s="33" t="s">
        <v>103</v>
      </c>
      <c r="B21" s="33"/>
      <c r="C21" s="33"/>
      <c r="D21" s="33"/>
      <c r="E21" s="33"/>
      <c r="F21" s="33"/>
      <c r="G21" s="33"/>
      <c r="H21" s="33"/>
      <c r="I21" s="33"/>
      <c r="J21" s="33"/>
    </row>
    <row r="22" spans="1:13">
      <c r="A22" s="8" t="s">
        <v>25</v>
      </c>
      <c r="B22" s="7" t="s">
        <v>362</v>
      </c>
      <c r="C22" s="7" t="s">
        <v>363</v>
      </c>
      <c r="D22" s="7" t="s">
        <v>364</v>
      </c>
      <c r="E22" s="7" t="s">
        <v>588</v>
      </c>
      <c r="F22" s="7" t="s">
        <v>33</v>
      </c>
      <c r="G22" s="14" t="s">
        <v>92</v>
      </c>
      <c r="H22" s="14" t="s">
        <v>365</v>
      </c>
      <c r="I22" s="15" t="s">
        <v>210</v>
      </c>
      <c r="J22" s="8"/>
      <c r="K22" s="29" t="str">
        <f>"37,5"</f>
        <v>37,5</v>
      </c>
      <c r="L22" s="8" t="str">
        <f>"37,3050"</f>
        <v>37,3050</v>
      </c>
      <c r="M22" s="7" t="s">
        <v>301</v>
      </c>
    </row>
    <row r="23" spans="1:13">
      <c r="B23" s="5" t="s">
        <v>26</v>
      </c>
    </row>
    <row r="24" spans="1:13" ht="16">
      <c r="A24" s="33" t="s">
        <v>96</v>
      </c>
      <c r="B24" s="33"/>
      <c r="C24" s="33"/>
      <c r="D24" s="33"/>
      <c r="E24" s="33"/>
      <c r="F24" s="33"/>
      <c r="G24" s="33"/>
      <c r="H24" s="33"/>
      <c r="I24" s="33"/>
      <c r="J24" s="33"/>
    </row>
    <row r="25" spans="1:13">
      <c r="A25" s="17" t="s">
        <v>25</v>
      </c>
      <c r="B25" s="16" t="s">
        <v>366</v>
      </c>
      <c r="C25" s="16" t="s">
        <v>367</v>
      </c>
      <c r="D25" s="16" t="s">
        <v>368</v>
      </c>
      <c r="E25" s="16" t="s">
        <v>589</v>
      </c>
      <c r="F25" s="16" t="s">
        <v>555</v>
      </c>
      <c r="G25" s="20" t="s">
        <v>35</v>
      </c>
      <c r="H25" s="20" t="s">
        <v>224</v>
      </c>
      <c r="I25" s="20" t="s">
        <v>61</v>
      </c>
      <c r="J25" s="17"/>
      <c r="K25" s="30" t="str">
        <f>"112,5"</f>
        <v>112,5</v>
      </c>
      <c r="L25" s="17" t="str">
        <f>"96,2437"</f>
        <v>96,2437</v>
      </c>
      <c r="M25" s="16" t="s">
        <v>369</v>
      </c>
    </row>
    <row r="26" spans="1:13">
      <c r="A26" s="19" t="s">
        <v>202</v>
      </c>
      <c r="B26" s="18" t="s">
        <v>370</v>
      </c>
      <c r="C26" s="18" t="s">
        <v>371</v>
      </c>
      <c r="D26" s="18" t="s">
        <v>372</v>
      </c>
      <c r="E26" s="18" t="s">
        <v>589</v>
      </c>
      <c r="F26" s="18" t="s">
        <v>415</v>
      </c>
      <c r="G26" s="22" t="s">
        <v>233</v>
      </c>
      <c r="H26" s="23" t="s">
        <v>373</v>
      </c>
      <c r="I26" s="23" t="s">
        <v>373</v>
      </c>
      <c r="J26" s="19"/>
      <c r="K26" s="31" t="str">
        <f>"77,5"</f>
        <v>77,5</v>
      </c>
      <c r="L26" s="19" t="str">
        <f>"68,2155"</f>
        <v>68,2155</v>
      </c>
      <c r="M26" s="18"/>
    </row>
    <row r="27" spans="1:13">
      <c r="B27" s="5" t="s">
        <v>26</v>
      </c>
    </row>
    <row r="28" spans="1:13" ht="16">
      <c r="A28" s="33" t="s">
        <v>103</v>
      </c>
      <c r="B28" s="33"/>
      <c r="C28" s="33"/>
      <c r="D28" s="33"/>
      <c r="E28" s="33"/>
      <c r="F28" s="33"/>
      <c r="G28" s="33"/>
      <c r="H28" s="33"/>
      <c r="I28" s="33"/>
      <c r="J28" s="33"/>
    </row>
    <row r="29" spans="1:13">
      <c r="A29" s="17" t="s">
        <v>25</v>
      </c>
      <c r="B29" s="16" t="s">
        <v>374</v>
      </c>
      <c r="C29" s="16" t="s">
        <v>375</v>
      </c>
      <c r="D29" s="16" t="s">
        <v>106</v>
      </c>
      <c r="E29" s="16" t="s">
        <v>588</v>
      </c>
      <c r="F29" s="16" t="s">
        <v>33</v>
      </c>
      <c r="G29" s="21" t="s">
        <v>94</v>
      </c>
      <c r="H29" s="21" t="s">
        <v>39</v>
      </c>
      <c r="I29" s="20" t="s">
        <v>39</v>
      </c>
      <c r="J29" s="17"/>
      <c r="K29" s="30" t="str">
        <f>"90,0"</f>
        <v>90,0</v>
      </c>
      <c r="L29" s="17" t="str">
        <f>"64,4310"</f>
        <v>64,4310</v>
      </c>
      <c r="M29" s="16"/>
    </row>
    <row r="30" spans="1:13">
      <c r="A30" s="25" t="s">
        <v>25</v>
      </c>
      <c r="B30" s="24" t="s">
        <v>376</v>
      </c>
      <c r="C30" s="24" t="s">
        <v>377</v>
      </c>
      <c r="D30" s="24" t="s">
        <v>251</v>
      </c>
      <c r="E30" s="24" t="s">
        <v>590</v>
      </c>
      <c r="F30" s="24" t="s">
        <v>555</v>
      </c>
      <c r="G30" s="27" t="s">
        <v>27</v>
      </c>
      <c r="H30" s="26" t="s">
        <v>187</v>
      </c>
      <c r="I30" s="27" t="s">
        <v>74</v>
      </c>
      <c r="J30" s="25"/>
      <c r="K30" s="32" t="str">
        <f>"130,0"</f>
        <v>130,0</v>
      </c>
      <c r="L30" s="25" t="str">
        <f>"92,6380"</f>
        <v>92,6380</v>
      </c>
      <c r="M30" s="24"/>
    </row>
    <row r="31" spans="1:13">
      <c r="A31" s="25" t="s">
        <v>202</v>
      </c>
      <c r="B31" s="24" t="s">
        <v>378</v>
      </c>
      <c r="C31" s="24" t="s">
        <v>379</v>
      </c>
      <c r="D31" s="24" t="s">
        <v>313</v>
      </c>
      <c r="E31" s="24" t="s">
        <v>590</v>
      </c>
      <c r="F31" s="24" t="s">
        <v>192</v>
      </c>
      <c r="G31" s="26" t="s">
        <v>224</v>
      </c>
      <c r="H31" s="26" t="s">
        <v>380</v>
      </c>
      <c r="I31" s="26" t="s">
        <v>232</v>
      </c>
      <c r="J31" s="25"/>
      <c r="K31" s="32" t="str">
        <f>"125,0"</f>
        <v>125,0</v>
      </c>
      <c r="L31" s="25" t="str">
        <f>"89,8250"</f>
        <v>89,8250</v>
      </c>
      <c r="M31" s="24" t="s">
        <v>248</v>
      </c>
    </row>
    <row r="32" spans="1:13">
      <c r="A32" s="25" t="s">
        <v>25</v>
      </c>
      <c r="B32" s="24" t="s">
        <v>381</v>
      </c>
      <c r="C32" s="24" t="s">
        <v>382</v>
      </c>
      <c r="D32" s="24" t="s">
        <v>251</v>
      </c>
      <c r="E32" s="24" t="s">
        <v>585</v>
      </c>
      <c r="F32" s="24" t="s">
        <v>33</v>
      </c>
      <c r="G32" s="26" t="s">
        <v>62</v>
      </c>
      <c r="H32" s="26" t="s">
        <v>232</v>
      </c>
      <c r="I32" s="27" t="s">
        <v>73</v>
      </c>
      <c r="J32" s="25"/>
      <c r="K32" s="32" t="str">
        <f>"125,0"</f>
        <v>125,0</v>
      </c>
      <c r="L32" s="25" t="str">
        <f>"89,0750"</f>
        <v>89,0750</v>
      </c>
      <c r="M32" s="24"/>
    </row>
    <row r="33" spans="1:13">
      <c r="A33" s="19" t="s">
        <v>202</v>
      </c>
      <c r="B33" s="18" t="s">
        <v>383</v>
      </c>
      <c r="C33" s="18" t="s">
        <v>384</v>
      </c>
      <c r="D33" s="18" t="s">
        <v>251</v>
      </c>
      <c r="E33" s="18" t="s">
        <v>585</v>
      </c>
      <c r="F33" s="18" t="s">
        <v>555</v>
      </c>
      <c r="G33" s="22" t="s">
        <v>232</v>
      </c>
      <c r="H33" s="23" t="s">
        <v>73</v>
      </c>
      <c r="I33" s="23" t="s">
        <v>73</v>
      </c>
      <c r="J33" s="19"/>
      <c r="K33" s="31" t="str">
        <f>"125,0"</f>
        <v>125,0</v>
      </c>
      <c r="L33" s="19" t="str">
        <f>"89,0750"</f>
        <v>89,0750</v>
      </c>
      <c r="M33" s="18" t="s">
        <v>385</v>
      </c>
    </row>
    <row r="34" spans="1:13">
      <c r="B34" s="5" t="s">
        <v>26</v>
      </c>
    </row>
    <row r="35" spans="1:13" ht="16">
      <c r="A35" s="33" t="s">
        <v>115</v>
      </c>
      <c r="B35" s="33"/>
      <c r="C35" s="33"/>
      <c r="D35" s="33"/>
      <c r="E35" s="33"/>
      <c r="F35" s="33"/>
      <c r="G35" s="33"/>
      <c r="H35" s="33"/>
      <c r="I35" s="33"/>
      <c r="J35" s="33"/>
    </row>
    <row r="36" spans="1:13">
      <c r="A36" s="17" t="s">
        <v>25</v>
      </c>
      <c r="B36" s="16" t="s">
        <v>386</v>
      </c>
      <c r="C36" s="16" t="s">
        <v>387</v>
      </c>
      <c r="D36" s="16" t="s">
        <v>388</v>
      </c>
      <c r="E36" s="16" t="s">
        <v>585</v>
      </c>
      <c r="F36" s="16" t="s">
        <v>107</v>
      </c>
      <c r="G36" s="21" t="s">
        <v>187</v>
      </c>
      <c r="H36" s="20" t="s">
        <v>73</v>
      </c>
      <c r="I36" s="21" t="s">
        <v>74</v>
      </c>
      <c r="J36" s="17"/>
      <c r="K36" s="30" t="str">
        <f>"135,0"</f>
        <v>135,0</v>
      </c>
      <c r="L36" s="17" t="str">
        <f>"91,9485"</f>
        <v>91,9485</v>
      </c>
      <c r="M36" s="16" t="s">
        <v>568</v>
      </c>
    </row>
    <row r="37" spans="1:13">
      <c r="A37" s="25" t="s">
        <v>202</v>
      </c>
      <c r="B37" s="24" t="s">
        <v>389</v>
      </c>
      <c r="C37" s="24" t="s">
        <v>390</v>
      </c>
      <c r="D37" s="24" t="s">
        <v>391</v>
      </c>
      <c r="E37" s="16" t="s">
        <v>585</v>
      </c>
      <c r="F37" s="24" t="s">
        <v>392</v>
      </c>
      <c r="G37" s="26" t="s">
        <v>216</v>
      </c>
      <c r="H37" s="26" t="s">
        <v>217</v>
      </c>
      <c r="I37" s="27" t="s">
        <v>252</v>
      </c>
      <c r="J37" s="25"/>
      <c r="K37" s="32" t="str">
        <f>"127,5"</f>
        <v>127,5</v>
      </c>
      <c r="L37" s="25" t="str">
        <f>"86,1772"</f>
        <v>86,1772</v>
      </c>
      <c r="M37" s="24" t="s">
        <v>393</v>
      </c>
    </row>
    <row r="38" spans="1:13">
      <c r="A38" s="25" t="s">
        <v>203</v>
      </c>
      <c r="B38" s="24" t="s">
        <v>394</v>
      </c>
      <c r="C38" s="24" t="s">
        <v>395</v>
      </c>
      <c r="D38" s="24" t="s">
        <v>256</v>
      </c>
      <c r="E38" s="16" t="s">
        <v>585</v>
      </c>
      <c r="F38" s="24" t="s">
        <v>554</v>
      </c>
      <c r="G38" s="26" t="s">
        <v>35</v>
      </c>
      <c r="H38" s="27" t="s">
        <v>224</v>
      </c>
      <c r="I38" s="27" t="s">
        <v>62</v>
      </c>
      <c r="J38" s="25"/>
      <c r="K38" s="32" t="str">
        <f>"100,0"</f>
        <v>100,0</v>
      </c>
      <c r="L38" s="25" t="str">
        <f>"66,9900"</f>
        <v>66,9900</v>
      </c>
      <c r="M38" s="24" t="s">
        <v>211</v>
      </c>
    </row>
    <row r="39" spans="1:13">
      <c r="A39" s="19" t="s">
        <v>34</v>
      </c>
      <c r="B39" s="18" t="s">
        <v>397</v>
      </c>
      <c r="C39" s="18" t="s">
        <v>398</v>
      </c>
      <c r="D39" s="18" t="s">
        <v>399</v>
      </c>
      <c r="E39" s="16" t="s">
        <v>585</v>
      </c>
      <c r="F39" s="18" t="s">
        <v>570</v>
      </c>
      <c r="G39" s="23" t="s">
        <v>74</v>
      </c>
      <c r="H39" s="23" t="s">
        <v>74</v>
      </c>
      <c r="I39" s="23" t="s">
        <v>108</v>
      </c>
      <c r="J39" s="19"/>
      <c r="K39" s="31">
        <v>0</v>
      </c>
      <c r="L39" s="19" t="str">
        <f>"0,0000"</f>
        <v>0,0000</v>
      </c>
      <c r="M39" s="18"/>
    </row>
    <row r="40" spans="1:13">
      <c r="B40" s="5" t="s">
        <v>26</v>
      </c>
    </row>
    <row r="41" spans="1:13" ht="16">
      <c r="A41" s="33" t="s">
        <v>67</v>
      </c>
      <c r="B41" s="33"/>
      <c r="C41" s="33"/>
      <c r="D41" s="33"/>
      <c r="E41" s="33"/>
      <c r="F41" s="33"/>
      <c r="G41" s="33"/>
      <c r="H41" s="33"/>
      <c r="I41" s="33"/>
      <c r="J41" s="33"/>
    </row>
    <row r="42" spans="1:13">
      <c r="A42" s="17" t="s">
        <v>34</v>
      </c>
      <c r="B42" s="16" t="s">
        <v>400</v>
      </c>
      <c r="C42" s="16" t="s">
        <v>401</v>
      </c>
      <c r="D42" s="16" t="s">
        <v>402</v>
      </c>
      <c r="E42" s="16" t="s">
        <v>590</v>
      </c>
      <c r="F42" s="16" t="s">
        <v>571</v>
      </c>
      <c r="G42" s="21" t="s">
        <v>403</v>
      </c>
      <c r="H42" s="21" t="s">
        <v>403</v>
      </c>
      <c r="I42" s="21" t="s">
        <v>403</v>
      </c>
      <c r="J42" s="17"/>
      <c r="K42" s="30">
        <v>0</v>
      </c>
      <c r="L42" s="17" t="str">
        <f>"0,0000"</f>
        <v>0,0000</v>
      </c>
      <c r="M42" s="16" t="s">
        <v>404</v>
      </c>
    </row>
    <row r="43" spans="1:13">
      <c r="A43" s="25" t="s">
        <v>25</v>
      </c>
      <c r="B43" s="24" t="s">
        <v>405</v>
      </c>
      <c r="C43" s="24" t="s">
        <v>406</v>
      </c>
      <c r="D43" s="24" t="s">
        <v>407</v>
      </c>
      <c r="E43" s="24" t="s">
        <v>585</v>
      </c>
      <c r="F43" s="24" t="s">
        <v>572</v>
      </c>
      <c r="G43" s="26" t="s">
        <v>30</v>
      </c>
      <c r="H43" s="27" t="s">
        <v>111</v>
      </c>
      <c r="I43" s="26" t="s">
        <v>158</v>
      </c>
      <c r="J43" s="25"/>
      <c r="K43" s="32" t="str">
        <f>"177,5"</f>
        <v>177,5</v>
      </c>
      <c r="L43" s="25" t="str">
        <f>"113,3870"</f>
        <v>113,3870</v>
      </c>
      <c r="M43" s="24" t="s">
        <v>369</v>
      </c>
    </row>
    <row r="44" spans="1:13">
      <c r="A44" s="25" t="s">
        <v>202</v>
      </c>
      <c r="B44" s="24" t="s">
        <v>408</v>
      </c>
      <c r="C44" s="24" t="s">
        <v>409</v>
      </c>
      <c r="D44" s="24" t="s">
        <v>70</v>
      </c>
      <c r="E44" s="24" t="s">
        <v>585</v>
      </c>
      <c r="F44" s="24" t="s">
        <v>555</v>
      </c>
      <c r="G44" s="26" t="s">
        <v>187</v>
      </c>
      <c r="H44" s="26" t="s">
        <v>74</v>
      </c>
      <c r="I44" s="26" t="s">
        <v>29</v>
      </c>
      <c r="J44" s="25"/>
      <c r="K44" s="32" t="str">
        <f>"155,0"</f>
        <v>155,0</v>
      </c>
      <c r="L44" s="25" t="str">
        <f>"98,9520"</f>
        <v>98,9520</v>
      </c>
      <c r="M44" s="24" t="s">
        <v>369</v>
      </c>
    </row>
    <row r="45" spans="1:13">
      <c r="A45" s="25" t="s">
        <v>203</v>
      </c>
      <c r="B45" s="24" t="s">
        <v>68</v>
      </c>
      <c r="C45" s="24" t="s">
        <v>69</v>
      </c>
      <c r="D45" s="24" t="s">
        <v>70</v>
      </c>
      <c r="E45" s="24" t="s">
        <v>585</v>
      </c>
      <c r="F45" s="24" t="s">
        <v>555</v>
      </c>
      <c r="G45" s="26" t="s">
        <v>27</v>
      </c>
      <c r="H45" s="26" t="s">
        <v>73</v>
      </c>
      <c r="I45" s="26" t="s">
        <v>74</v>
      </c>
      <c r="J45" s="25"/>
      <c r="K45" s="32" t="str">
        <f>"140,0"</f>
        <v>140,0</v>
      </c>
      <c r="L45" s="25" t="str">
        <f>"89,3760"</f>
        <v>89,3760</v>
      </c>
      <c r="M45" s="24" t="s">
        <v>369</v>
      </c>
    </row>
    <row r="46" spans="1:13">
      <c r="A46" s="25" t="s">
        <v>204</v>
      </c>
      <c r="B46" s="24" t="s">
        <v>410</v>
      </c>
      <c r="C46" s="24" t="s">
        <v>411</v>
      </c>
      <c r="D46" s="24" t="s">
        <v>412</v>
      </c>
      <c r="E46" s="24" t="s">
        <v>585</v>
      </c>
      <c r="F46" s="24" t="s">
        <v>558</v>
      </c>
      <c r="G46" s="26" t="s">
        <v>62</v>
      </c>
      <c r="H46" s="27" t="s">
        <v>73</v>
      </c>
      <c r="I46" s="26" t="s">
        <v>73</v>
      </c>
      <c r="J46" s="25"/>
      <c r="K46" s="32" t="str">
        <f>"135,0"</f>
        <v>135,0</v>
      </c>
      <c r="L46" s="25" t="str">
        <f>"87,0345"</f>
        <v>87,0345</v>
      </c>
      <c r="M46" s="24"/>
    </row>
    <row r="47" spans="1:13">
      <c r="A47" s="25" t="s">
        <v>463</v>
      </c>
      <c r="B47" s="24" t="s">
        <v>413</v>
      </c>
      <c r="C47" s="24" t="s">
        <v>414</v>
      </c>
      <c r="D47" s="24" t="s">
        <v>317</v>
      </c>
      <c r="E47" s="24" t="s">
        <v>585</v>
      </c>
      <c r="F47" s="24" t="s">
        <v>415</v>
      </c>
      <c r="G47" s="26" t="s">
        <v>187</v>
      </c>
      <c r="H47" s="27" t="s">
        <v>133</v>
      </c>
      <c r="I47" s="27" t="s">
        <v>133</v>
      </c>
      <c r="J47" s="25"/>
      <c r="K47" s="32" t="str">
        <f>"130,0"</f>
        <v>130,0</v>
      </c>
      <c r="L47" s="25" t="str">
        <f>"83,4210"</f>
        <v>83,4210</v>
      </c>
      <c r="M47" s="24" t="s">
        <v>569</v>
      </c>
    </row>
    <row r="48" spans="1:13">
      <c r="A48" s="25" t="s">
        <v>34</v>
      </c>
      <c r="B48" s="24" t="s">
        <v>416</v>
      </c>
      <c r="C48" s="24" t="s">
        <v>417</v>
      </c>
      <c r="D48" s="24" t="s">
        <v>418</v>
      </c>
      <c r="E48" s="24" t="s">
        <v>585</v>
      </c>
      <c r="F48" s="24" t="s">
        <v>572</v>
      </c>
      <c r="G48" s="27" t="s">
        <v>27</v>
      </c>
      <c r="H48" s="27" t="s">
        <v>27</v>
      </c>
      <c r="I48" s="27" t="s">
        <v>73</v>
      </c>
      <c r="J48" s="25"/>
      <c r="K48" s="32">
        <v>0</v>
      </c>
      <c r="L48" s="25" t="str">
        <f>"0,0000"</f>
        <v>0,0000</v>
      </c>
      <c r="M48" s="24" t="s">
        <v>369</v>
      </c>
    </row>
    <row r="49" spans="1:13">
      <c r="A49" s="19" t="s">
        <v>25</v>
      </c>
      <c r="B49" s="18" t="s">
        <v>278</v>
      </c>
      <c r="C49" s="18" t="s">
        <v>284</v>
      </c>
      <c r="D49" s="18" t="s">
        <v>280</v>
      </c>
      <c r="E49" s="18" t="s">
        <v>586</v>
      </c>
      <c r="F49" s="18" t="s">
        <v>281</v>
      </c>
      <c r="G49" s="23" t="s">
        <v>71</v>
      </c>
      <c r="H49" s="22" t="s">
        <v>71</v>
      </c>
      <c r="I49" s="23" t="s">
        <v>282</v>
      </c>
      <c r="J49" s="19"/>
      <c r="K49" s="31" t="str">
        <f>"160,0"</f>
        <v>160,0</v>
      </c>
      <c r="L49" s="19" t="str">
        <f>"115,2678"</f>
        <v>115,2678</v>
      </c>
      <c r="M49" s="18"/>
    </row>
    <row r="50" spans="1:13">
      <c r="B50" s="5" t="s">
        <v>26</v>
      </c>
    </row>
    <row r="51" spans="1:13" ht="16">
      <c r="A51" s="33" t="s">
        <v>32</v>
      </c>
      <c r="B51" s="33"/>
      <c r="C51" s="33"/>
      <c r="D51" s="33"/>
      <c r="E51" s="33"/>
      <c r="F51" s="33"/>
      <c r="G51" s="33"/>
      <c r="H51" s="33"/>
      <c r="I51" s="33"/>
      <c r="J51" s="33"/>
    </row>
    <row r="52" spans="1:13">
      <c r="A52" s="17" t="s">
        <v>25</v>
      </c>
      <c r="B52" s="16" t="s">
        <v>419</v>
      </c>
      <c r="C52" s="16" t="s">
        <v>420</v>
      </c>
      <c r="D52" s="16" t="s">
        <v>421</v>
      </c>
      <c r="E52" s="16" t="s">
        <v>590</v>
      </c>
      <c r="F52" s="16" t="s">
        <v>555</v>
      </c>
      <c r="G52" s="20" t="s">
        <v>73</v>
      </c>
      <c r="H52" s="20" t="s">
        <v>108</v>
      </c>
      <c r="I52" s="21" t="s">
        <v>29</v>
      </c>
      <c r="J52" s="17"/>
      <c r="K52" s="30" t="str">
        <f>"145,0"</f>
        <v>145,0</v>
      </c>
      <c r="L52" s="17" t="str">
        <f>"90,3205"</f>
        <v>90,3205</v>
      </c>
      <c r="M52" s="16"/>
    </row>
    <row r="53" spans="1:13">
      <c r="A53" s="25" t="s">
        <v>25</v>
      </c>
      <c r="B53" s="24" t="s">
        <v>422</v>
      </c>
      <c r="C53" s="24" t="s">
        <v>423</v>
      </c>
      <c r="D53" s="24" t="s">
        <v>424</v>
      </c>
      <c r="E53" s="24" t="s">
        <v>585</v>
      </c>
      <c r="F53" s="24" t="s">
        <v>555</v>
      </c>
      <c r="G53" s="26" t="s">
        <v>111</v>
      </c>
      <c r="H53" s="26" t="s">
        <v>72</v>
      </c>
      <c r="I53" s="26" t="s">
        <v>131</v>
      </c>
      <c r="J53" s="25"/>
      <c r="K53" s="32" t="str">
        <f>"195,0"</f>
        <v>195,0</v>
      </c>
      <c r="L53" s="25" t="str">
        <f>"119,2035"</f>
        <v>119,2035</v>
      </c>
      <c r="M53" s="24" t="s">
        <v>369</v>
      </c>
    </row>
    <row r="54" spans="1:13">
      <c r="A54" s="25" t="s">
        <v>202</v>
      </c>
      <c r="B54" s="24" t="s">
        <v>425</v>
      </c>
      <c r="C54" s="24" t="s">
        <v>426</v>
      </c>
      <c r="D54" s="24" t="s">
        <v>427</v>
      </c>
      <c r="E54" s="24" t="s">
        <v>585</v>
      </c>
      <c r="F54" s="24" t="s">
        <v>572</v>
      </c>
      <c r="G54" s="26" t="s">
        <v>108</v>
      </c>
      <c r="H54" s="26" t="s">
        <v>29</v>
      </c>
      <c r="I54" s="27" t="s">
        <v>271</v>
      </c>
      <c r="J54" s="25"/>
      <c r="K54" s="32" t="str">
        <f>"155,0"</f>
        <v>155,0</v>
      </c>
      <c r="L54" s="25" t="str">
        <f>"94,3330"</f>
        <v>94,3330</v>
      </c>
      <c r="M54" s="24" t="s">
        <v>369</v>
      </c>
    </row>
    <row r="55" spans="1:13">
      <c r="A55" s="25" t="s">
        <v>25</v>
      </c>
      <c r="B55" s="24" t="s">
        <v>428</v>
      </c>
      <c r="C55" s="24" t="s">
        <v>429</v>
      </c>
      <c r="D55" s="24" t="s">
        <v>430</v>
      </c>
      <c r="E55" s="24" t="s">
        <v>586</v>
      </c>
      <c r="F55" s="24" t="s">
        <v>107</v>
      </c>
      <c r="G55" s="26" t="s">
        <v>271</v>
      </c>
      <c r="H55" s="27" t="s">
        <v>30</v>
      </c>
      <c r="I55" s="27" t="s">
        <v>30</v>
      </c>
      <c r="J55" s="25"/>
      <c r="K55" s="32" t="str">
        <f>"162,5"</f>
        <v>162,5</v>
      </c>
      <c r="L55" s="25" t="str">
        <f>"109,1575"</f>
        <v>109,1575</v>
      </c>
      <c r="M55" s="24" t="s">
        <v>323</v>
      </c>
    </row>
    <row r="56" spans="1:13">
      <c r="A56" s="25" t="s">
        <v>202</v>
      </c>
      <c r="B56" s="24" t="s">
        <v>431</v>
      </c>
      <c r="C56" s="24" t="s">
        <v>432</v>
      </c>
      <c r="D56" s="24" t="s">
        <v>433</v>
      </c>
      <c r="E56" s="24" t="s">
        <v>586</v>
      </c>
      <c r="F56" s="24" t="s">
        <v>305</v>
      </c>
      <c r="G56" s="26" t="s">
        <v>108</v>
      </c>
      <c r="H56" s="26" t="s">
        <v>29</v>
      </c>
      <c r="I56" s="27" t="s">
        <v>271</v>
      </c>
      <c r="J56" s="25"/>
      <c r="K56" s="32" t="str">
        <f>"155,0"</f>
        <v>155,0</v>
      </c>
      <c r="L56" s="25" t="str">
        <f>"99,4919"</f>
        <v>99,4919</v>
      </c>
      <c r="M56" s="24"/>
    </row>
    <row r="57" spans="1:13">
      <c r="A57" s="25" t="s">
        <v>203</v>
      </c>
      <c r="B57" s="24" t="s">
        <v>434</v>
      </c>
      <c r="C57" s="24" t="s">
        <v>435</v>
      </c>
      <c r="D57" s="24" t="s">
        <v>287</v>
      </c>
      <c r="E57" s="24" t="s">
        <v>586</v>
      </c>
      <c r="F57" s="24" t="s">
        <v>573</v>
      </c>
      <c r="G57" s="26" t="s">
        <v>187</v>
      </c>
      <c r="H57" s="27" t="s">
        <v>74</v>
      </c>
      <c r="I57" s="26" t="s">
        <v>74</v>
      </c>
      <c r="J57" s="25"/>
      <c r="K57" s="32" t="str">
        <f>"140,0"</f>
        <v>140,0</v>
      </c>
      <c r="L57" s="25" t="str">
        <f>"85,7220"</f>
        <v>85,7220</v>
      </c>
      <c r="M57" s="24"/>
    </row>
    <row r="58" spans="1:13">
      <c r="A58" s="19" t="s">
        <v>25</v>
      </c>
      <c r="B58" s="18" t="s">
        <v>436</v>
      </c>
      <c r="C58" s="18" t="s">
        <v>437</v>
      </c>
      <c r="D58" s="18" t="s">
        <v>438</v>
      </c>
      <c r="E58" s="18" t="s">
        <v>592</v>
      </c>
      <c r="F58" s="18" t="s">
        <v>392</v>
      </c>
      <c r="G58" s="22" t="s">
        <v>403</v>
      </c>
      <c r="H58" s="22" t="s">
        <v>165</v>
      </c>
      <c r="I58" s="22" t="s">
        <v>133</v>
      </c>
      <c r="J58" s="19"/>
      <c r="K58" s="31" t="str">
        <f>"152,5"</f>
        <v>152,5</v>
      </c>
      <c r="L58" s="19" t="str">
        <f>"135,1638"</f>
        <v>135,1638</v>
      </c>
      <c r="M58" s="18" t="s">
        <v>393</v>
      </c>
    </row>
    <row r="59" spans="1:13">
      <c r="B59" s="5" t="s">
        <v>26</v>
      </c>
    </row>
    <row r="60" spans="1:13" ht="16">
      <c r="A60" s="33" t="s">
        <v>8</v>
      </c>
      <c r="B60" s="33"/>
      <c r="C60" s="33"/>
      <c r="D60" s="33"/>
      <c r="E60" s="33"/>
      <c r="F60" s="33"/>
      <c r="G60" s="33"/>
      <c r="H60" s="33"/>
      <c r="I60" s="33"/>
      <c r="J60" s="33"/>
    </row>
    <row r="61" spans="1:13">
      <c r="A61" s="17" t="s">
        <v>25</v>
      </c>
      <c r="B61" s="16" t="s">
        <v>439</v>
      </c>
      <c r="C61" s="16" t="s">
        <v>440</v>
      </c>
      <c r="D61" s="16" t="s">
        <v>181</v>
      </c>
      <c r="E61" s="16" t="s">
        <v>585</v>
      </c>
      <c r="F61" s="16" t="s">
        <v>573</v>
      </c>
      <c r="G61" s="20" t="s">
        <v>441</v>
      </c>
      <c r="H61" s="20" t="s">
        <v>48</v>
      </c>
      <c r="I61" s="20" t="s">
        <v>442</v>
      </c>
      <c r="J61" s="17"/>
      <c r="K61" s="30" t="str">
        <f>"222,5"</f>
        <v>222,5</v>
      </c>
      <c r="L61" s="17" t="str">
        <f>"131,6977"</f>
        <v>131,6977</v>
      </c>
      <c r="M61" s="16"/>
    </row>
    <row r="62" spans="1:13">
      <c r="A62" s="25" t="s">
        <v>202</v>
      </c>
      <c r="B62" s="24" t="s">
        <v>179</v>
      </c>
      <c r="C62" s="24" t="s">
        <v>180</v>
      </c>
      <c r="D62" s="24" t="s">
        <v>181</v>
      </c>
      <c r="E62" s="24" t="s">
        <v>585</v>
      </c>
      <c r="F62" s="24" t="s">
        <v>558</v>
      </c>
      <c r="G62" s="26" t="s">
        <v>71</v>
      </c>
      <c r="H62" s="27" t="s">
        <v>31</v>
      </c>
      <c r="I62" s="27" t="s">
        <v>31</v>
      </c>
      <c r="J62" s="25"/>
      <c r="K62" s="32" t="str">
        <f>"160,0"</f>
        <v>160,0</v>
      </c>
      <c r="L62" s="25" t="str">
        <f>"94,7040"</f>
        <v>94,7040</v>
      </c>
      <c r="M62" s="24"/>
    </row>
    <row r="63" spans="1:13">
      <c r="A63" s="25" t="s">
        <v>203</v>
      </c>
      <c r="B63" s="24" t="s">
        <v>443</v>
      </c>
      <c r="C63" s="24" t="s">
        <v>444</v>
      </c>
      <c r="D63" s="24" t="s">
        <v>445</v>
      </c>
      <c r="E63" s="24" t="s">
        <v>585</v>
      </c>
      <c r="F63" s="24" t="s">
        <v>554</v>
      </c>
      <c r="G63" s="26" t="s">
        <v>108</v>
      </c>
      <c r="H63" s="26" t="s">
        <v>29</v>
      </c>
      <c r="I63" s="27" t="s">
        <v>282</v>
      </c>
      <c r="J63" s="25"/>
      <c r="K63" s="32" t="str">
        <f>"155,0"</f>
        <v>155,0</v>
      </c>
      <c r="L63" s="25" t="str">
        <f>"93,6045"</f>
        <v>93,6045</v>
      </c>
      <c r="M63" s="24"/>
    </row>
    <row r="64" spans="1:13">
      <c r="A64" s="25" t="s">
        <v>34</v>
      </c>
      <c r="B64" s="24" t="s">
        <v>446</v>
      </c>
      <c r="C64" s="24" t="s">
        <v>447</v>
      </c>
      <c r="D64" s="24" t="s">
        <v>448</v>
      </c>
      <c r="E64" s="24" t="s">
        <v>585</v>
      </c>
      <c r="F64" s="24" t="s">
        <v>573</v>
      </c>
      <c r="G64" s="27" t="s">
        <v>28</v>
      </c>
      <c r="H64" s="27" t="s">
        <v>28</v>
      </c>
      <c r="I64" s="25"/>
      <c r="J64" s="25"/>
      <c r="K64" s="32">
        <v>0</v>
      </c>
      <c r="L64" s="25" t="str">
        <f>"0,0000"</f>
        <v>0,0000</v>
      </c>
      <c r="M64" s="24" t="s">
        <v>449</v>
      </c>
    </row>
    <row r="65" spans="1:13">
      <c r="A65" s="25" t="s">
        <v>25</v>
      </c>
      <c r="B65" s="24" t="s">
        <v>450</v>
      </c>
      <c r="C65" s="24" t="s">
        <v>451</v>
      </c>
      <c r="D65" s="24" t="s">
        <v>452</v>
      </c>
      <c r="E65" s="24" t="s">
        <v>586</v>
      </c>
      <c r="F65" s="24" t="s">
        <v>415</v>
      </c>
      <c r="G65" s="26" t="s">
        <v>71</v>
      </c>
      <c r="H65" s="27" t="s">
        <v>282</v>
      </c>
      <c r="I65" s="26" t="s">
        <v>282</v>
      </c>
      <c r="J65" s="25"/>
      <c r="K65" s="32" t="str">
        <f>"167,5"</f>
        <v>167,5</v>
      </c>
      <c r="L65" s="25" t="str">
        <f>"106,3528"</f>
        <v>106,3528</v>
      </c>
      <c r="M65" s="24"/>
    </row>
    <row r="66" spans="1:13">
      <c r="A66" s="19" t="s">
        <v>202</v>
      </c>
      <c r="B66" s="18" t="s">
        <v>179</v>
      </c>
      <c r="C66" s="18" t="s">
        <v>182</v>
      </c>
      <c r="D66" s="18" t="s">
        <v>181</v>
      </c>
      <c r="E66" s="18" t="s">
        <v>586</v>
      </c>
      <c r="F66" s="18" t="s">
        <v>558</v>
      </c>
      <c r="G66" s="22" t="s">
        <v>71</v>
      </c>
      <c r="H66" s="23" t="s">
        <v>31</v>
      </c>
      <c r="I66" s="23" t="s">
        <v>31</v>
      </c>
      <c r="J66" s="19"/>
      <c r="K66" s="31" t="str">
        <f>"160,0"</f>
        <v>160,0</v>
      </c>
      <c r="L66" s="19" t="str">
        <f>"100,3862"</f>
        <v>100,3862</v>
      </c>
      <c r="M66" s="18"/>
    </row>
    <row r="67" spans="1:13">
      <c r="B67" s="5" t="s">
        <v>26</v>
      </c>
    </row>
    <row r="68" spans="1:13" ht="16">
      <c r="A68" s="33" t="s">
        <v>12</v>
      </c>
      <c r="B68" s="33"/>
      <c r="C68" s="33"/>
      <c r="D68" s="33"/>
      <c r="E68" s="33"/>
      <c r="F68" s="33"/>
      <c r="G68" s="33"/>
      <c r="H68" s="33"/>
      <c r="I68" s="33"/>
      <c r="J68" s="33"/>
    </row>
    <row r="69" spans="1:13">
      <c r="A69" s="8" t="s">
        <v>25</v>
      </c>
      <c r="B69" s="7" t="s">
        <v>453</v>
      </c>
      <c r="C69" s="7" t="s">
        <v>454</v>
      </c>
      <c r="D69" s="7" t="s">
        <v>455</v>
      </c>
      <c r="E69" s="7" t="s">
        <v>585</v>
      </c>
      <c r="F69" s="7" t="s">
        <v>555</v>
      </c>
      <c r="G69" s="14" t="s">
        <v>82</v>
      </c>
      <c r="H69" s="14" t="s">
        <v>75</v>
      </c>
      <c r="I69" s="15" t="s">
        <v>396</v>
      </c>
      <c r="J69" s="8"/>
      <c r="K69" s="29" t="str">
        <f>"190,0"</f>
        <v>190,0</v>
      </c>
      <c r="L69" s="8" t="str">
        <f>"110,1430"</f>
        <v>110,1430</v>
      </c>
      <c r="M69" s="7" t="s">
        <v>319</v>
      </c>
    </row>
    <row r="70" spans="1:13">
      <c r="B70" s="5" t="s">
        <v>26</v>
      </c>
    </row>
    <row r="71" spans="1:13">
      <c r="B71" s="5" t="s">
        <v>26</v>
      </c>
    </row>
    <row r="72" spans="1:13">
      <c r="B72" s="5" t="s">
        <v>26</v>
      </c>
    </row>
    <row r="73" spans="1:13" ht="18">
      <c r="B73" s="9" t="s">
        <v>13</v>
      </c>
      <c r="C73" s="9"/>
      <c r="F73" s="3"/>
    </row>
    <row r="74" spans="1:13" ht="16">
      <c r="B74" s="10" t="s">
        <v>14</v>
      </c>
      <c r="C74" s="10"/>
      <c r="F74" s="3"/>
    </row>
    <row r="75" spans="1:13" ht="14">
      <c r="B75" s="11"/>
      <c r="C75" s="12" t="s">
        <v>15</v>
      </c>
      <c r="F75" s="3"/>
    </row>
    <row r="76" spans="1:13" ht="14">
      <c r="B76" s="13" t="s">
        <v>16</v>
      </c>
      <c r="C76" s="13" t="s">
        <v>17</v>
      </c>
      <c r="D76" s="13" t="s">
        <v>566</v>
      </c>
      <c r="E76" s="13" t="s">
        <v>20</v>
      </c>
      <c r="F76" s="13" t="s">
        <v>55</v>
      </c>
    </row>
    <row r="77" spans="1:13">
      <c r="B77" s="5" t="s">
        <v>439</v>
      </c>
      <c r="C77" s="5" t="s">
        <v>15</v>
      </c>
      <c r="D77" s="6" t="s">
        <v>21</v>
      </c>
      <c r="E77" s="6" t="s">
        <v>442</v>
      </c>
      <c r="F77" s="6" t="s">
        <v>456</v>
      </c>
    </row>
    <row r="78" spans="1:13">
      <c r="B78" s="5" t="s">
        <v>422</v>
      </c>
      <c r="C78" s="5" t="s">
        <v>15</v>
      </c>
      <c r="D78" s="6" t="s">
        <v>40</v>
      </c>
      <c r="E78" s="6" t="s">
        <v>131</v>
      </c>
      <c r="F78" s="6" t="s">
        <v>457</v>
      </c>
    </row>
    <row r="79" spans="1:13">
      <c r="B79" s="5" t="s">
        <v>405</v>
      </c>
      <c r="C79" s="5" t="s">
        <v>15</v>
      </c>
      <c r="D79" s="6" t="s">
        <v>86</v>
      </c>
      <c r="E79" s="6" t="s">
        <v>158</v>
      </c>
      <c r="F79" s="6" t="s">
        <v>458</v>
      </c>
    </row>
    <row r="81" spans="2:6" ht="14">
      <c r="B81" s="11"/>
      <c r="C81" s="12" t="s">
        <v>22</v>
      </c>
    </row>
    <row r="82" spans="2:6" ht="14">
      <c r="B82" s="13" t="s">
        <v>16</v>
      </c>
      <c r="C82" s="13" t="s">
        <v>17</v>
      </c>
      <c r="D82" s="13" t="s">
        <v>566</v>
      </c>
      <c r="E82" s="13" t="s">
        <v>20</v>
      </c>
      <c r="F82" s="13" t="s">
        <v>55</v>
      </c>
    </row>
    <row r="83" spans="2:6">
      <c r="B83" s="5" t="s">
        <v>436</v>
      </c>
      <c r="C83" s="5" t="s">
        <v>459</v>
      </c>
      <c r="D83" s="6" t="s">
        <v>40</v>
      </c>
      <c r="E83" s="6" t="s">
        <v>133</v>
      </c>
      <c r="F83" s="6" t="s">
        <v>460</v>
      </c>
    </row>
    <row r="84" spans="2:6">
      <c r="B84" s="5" t="s">
        <v>278</v>
      </c>
      <c r="C84" s="5" t="s">
        <v>56</v>
      </c>
      <c r="D84" s="6" t="s">
        <v>86</v>
      </c>
      <c r="E84" s="6" t="s">
        <v>71</v>
      </c>
      <c r="F84" s="6" t="s">
        <v>461</v>
      </c>
    </row>
    <row r="85" spans="2:6">
      <c r="B85" s="5" t="s">
        <v>428</v>
      </c>
      <c r="C85" s="5" t="s">
        <v>56</v>
      </c>
      <c r="D85" s="6" t="s">
        <v>40</v>
      </c>
      <c r="E85" s="6" t="s">
        <v>271</v>
      </c>
      <c r="F85" s="6" t="s">
        <v>462</v>
      </c>
    </row>
    <row r="86" spans="2:6">
      <c r="B86" s="5" t="s">
        <v>26</v>
      </c>
    </row>
  </sheetData>
  <mergeCells count="24"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  <mergeCell ref="A5:J5"/>
    <mergeCell ref="B3:B4"/>
    <mergeCell ref="A68:J68"/>
    <mergeCell ref="A8:J8"/>
    <mergeCell ref="A11:J11"/>
    <mergeCell ref="A14:J14"/>
    <mergeCell ref="A18:J18"/>
    <mergeCell ref="A21:J21"/>
    <mergeCell ref="A24:J24"/>
    <mergeCell ref="A28:J28"/>
    <mergeCell ref="A35:J35"/>
    <mergeCell ref="A41:J41"/>
    <mergeCell ref="A51:J51"/>
    <mergeCell ref="A60:J6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44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3.332031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35.3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6.6640625" style="5" bestFit="1" customWidth="1"/>
    <col min="14" max="16384" width="9.1640625" style="3"/>
  </cols>
  <sheetData>
    <row r="1" spans="1:13" s="2" customFormat="1" ht="29" customHeight="1">
      <c r="A1" s="44" t="s">
        <v>548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582</v>
      </c>
      <c r="B3" s="42" t="s">
        <v>0</v>
      </c>
      <c r="C3" s="54" t="s">
        <v>583</v>
      </c>
      <c r="D3" s="54" t="s">
        <v>7</v>
      </c>
      <c r="E3" s="36" t="s">
        <v>584</v>
      </c>
      <c r="F3" s="36" t="s">
        <v>6</v>
      </c>
      <c r="G3" s="36" t="s">
        <v>43</v>
      </c>
      <c r="H3" s="36"/>
      <c r="I3" s="36"/>
      <c r="J3" s="36"/>
      <c r="K3" s="36" t="s">
        <v>24</v>
      </c>
      <c r="L3" s="36" t="s">
        <v>3</v>
      </c>
      <c r="M3" s="38" t="s">
        <v>2</v>
      </c>
    </row>
    <row r="4" spans="1:13" s="1" customFormat="1" ht="21" customHeight="1" thickBot="1">
      <c r="A4" s="53"/>
      <c r="B4" s="43"/>
      <c r="C4" s="37"/>
      <c r="D4" s="37"/>
      <c r="E4" s="37"/>
      <c r="F4" s="37"/>
      <c r="G4" s="4">
        <v>1</v>
      </c>
      <c r="H4" s="4">
        <v>2</v>
      </c>
      <c r="I4" s="4">
        <v>3</v>
      </c>
      <c r="J4" s="4" t="s">
        <v>4</v>
      </c>
      <c r="K4" s="37"/>
      <c r="L4" s="37"/>
      <c r="M4" s="39"/>
    </row>
    <row r="5" spans="1:13" ht="16">
      <c r="A5" s="40" t="s">
        <v>115</v>
      </c>
      <c r="B5" s="40"/>
      <c r="C5" s="41"/>
      <c r="D5" s="41"/>
      <c r="E5" s="41"/>
      <c r="F5" s="41"/>
      <c r="G5" s="41"/>
      <c r="H5" s="41"/>
      <c r="I5" s="41"/>
      <c r="J5" s="41"/>
    </row>
    <row r="6" spans="1:13">
      <c r="A6" s="8" t="s">
        <v>25</v>
      </c>
      <c r="B6" s="7" t="s">
        <v>302</v>
      </c>
      <c r="C6" s="7" t="s">
        <v>303</v>
      </c>
      <c r="D6" s="7" t="s">
        <v>304</v>
      </c>
      <c r="E6" s="7" t="s">
        <v>585</v>
      </c>
      <c r="F6" s="7" t="s">
        <v>305</v>
      </c>
      <c r="G6" s="14" t="s">
        <v>244</v>
      </c>
      <c r="H6" s="14" t="s">
        <v>35</v>
      </c>
      <c r="I6" s="14" t="s">
        <v>36</v>
      </c>
      <c r="J6" s="8"/>
      <c r="K6" s="8" t="str">
        <f>"105,0"</f>
        <v>105,0</v>
      </c>
      <c r="L6" s="8" t="str">
        <f>"94,5525"</f>
        <v>94,5525</v>
      </c>
      <c r="M6" s="7"/>
    </row>
    <row r="7" spans="1:13">
      <c r="B7" s="5" t="s">
        <v>26</v>
      </c>
    </row>
    <row r="8" spans="1:13" ht="16">
      <c r="A8" s="33" t="s">
        <v>57</v>
      </c>
      <c r="B8" s="33"/>
      <c r="C8" s="33"/>
      <c r="D8" s="33"/>
      <c r="E8" s="33"/>
      <c r="F8" s="33"/>
      <c r="G8" s="33"/>
      <c r="H8" s="33"/>
      <c r="I8" s="33"/>
      <c r="J8" s="33"/>
    </row>
    <row r="9" spans="1:13">
      <c r="A9" s="8" t="s">
        <v>25</v>
      </c>
      <c r="B9" s="7" t="s">
        <v>306</v>
      </c>
      <c r="C9" s="7" t="s">
        <v>307</v>
      </c>
      <c r="D9" s="7" t="s">
        <v>308</v>
      </c>
      <c r="E9" s="7" t="s">
        <v>588</v>
      </c>
      <c r="F9" s="7" t="s">
        <v>33</v>
      </c>
      <c r="G9" s="14" t="s">
        <v>65</v>
      </c>
      <c r="H9" s="14" t="s">
        <v>223</v>
      </c>
      <c r="I9" s="14" t="s">
        <v>90</v>
      </c>
      <c r="J9" s="8"/>
      <c r="K9" s="8" t="str">
        <f>"65,0"</f>
        <v>65,0</v>
      </c>
      <c r="L9" s="8" t="str">
        <f>"59,5920"</f>
        <v>59,5920</v>
      </c>
      <c r="M9" s="7" t="s">
        <v>155</v>
      </c>
    </row>
    <row r="10" spans="1:13">
      <c r="B10" s="5" t="s">
        <v>26</v>
      </c>
    </row>
    <row r="11" spans="1:13" ht="16">
      <c r="A11" s="33" t="s">
        <v>103</v>
      </c>
      <c r="B11" s="33"/>
      <c r="C11" s="33"/>
      <c r="D11" s="33"/>
      <c r="E11" s="33"/>
      <c r="F11" s="33"/>
      <c r="G11" s="33"/>
      <c r="H11" s="33"/>
      <c r="I11" s="33"/>
      <c r="J11" s="33"/>
    </row>
    <row r="12" spans="1:13">
      <c r="A12" s="17" t="s">
        <v>25</v>
      </c>
      <c r="B12" s="16" t="s">
        <v>309</v>
      </c>
      <c r="C12" s="16" t="s">
        <v>310</v>
      </c>
      <c r="D12" s="16" t="s">
        <v>251</v>
      </c>
      <c r="E12" s="16" t="s">
        <v>585</v>
      </c>
      <c r="F12" s="16" t="s">
        <v>192</v>
      </c>
      <c r="G12" s="20" t="s">
        <v>30</v>
      </c>
      <c r="H12" s="21" t="s">
        <v>31</v>
      </c>
      <c r="I12" s="17"/>
      <c r="J12" s="17"/>
      <c r="K12" s="17" t="str">
        <f>"165,0"</f>
        <v>165,0</v>
      </c>
      <c r="L12" s="17" t="str">
        <f>"117,5790"</f>
        <v>117,5790</v>
      </c>
      <c r="M12" s="16" t="s">
        <v>155</v>
      </c>
    </row>
    <row r="13" spans="1:13">
      <c r="A13" s="19" t="s">
        <v>202</v>
      </c>
      <c r="B13" s="18" t="s">
        <v>311</v>
      </c>
      <c r="C13" s="18" t="s">
        <v>312</v>
      </c>
      <c r="D13" s="18" t="s">
        <v>313</v>
      </c>
      <c r="E13" s="18" t="s">
        <v>585</v>
      </c>
      <c r="F13" s="18" t="s">
        <v>314</v>
      </c>
      <c r="G13" s="22" t="s">
        <v>74</v>
      </c>
      <c r="H13" s="22" t="s">
        <v>165</v>
      </c>
      <c r="I13" s="22" t="s">
        <v>29</v>
      </c>
      <c r="J13" s="19"/>
      <c r="K13" s="19" t="str">
        <f>"155,0"</f>
        <v>155,0</v>
      </c>
      <c r="L13" s="19" t="str">
        <f>"111,3830"</f>
        <v>111,3830</v>
      </c>
      <c r="M13" s="18"/>
    </row>
    <row r="14" spans="1:13">
      <c r="B14" s="5" t="s">
        <v>26</v>
      </c>
    </row>
    <row r="15" spans="1:13" ht="16">
      <c r="A15" s="33" t="s">
        <v>67</v>
      </c>
      <c r="B15" s="33"/>
      <c r="C15" s="33"/>
      <c r="D15" s="33"/>
      <c r="E15" s="33"/>
      <c r="F15" s="33"/>
      <c r="G15" s="33"/>
      <c r="H15" s="33"/>
      <c r="I15" s="33"/>
      <c r="J15" s="33"/>
    </row>
    <row r="16" spans="1:13">
      <c r="A16" s="8" t="s">
        <v>25</v>
      </c>
      <c r="B16" s="7" t="s">
        <v>315</v>
      </c>
      <c r="C16" s="7" t="s">
        <v>316</v>
      </c>
      <c r="D16" s="7" t="s">
        <v>317</v>
      </c>
      <c r="E16" s="7" t="s">
        <v>585</v>
      </c>
      <c r="F16" s="7" t="s">
        <v>555</v>
      </c>
      <c r="G16" s="14" t="s">
        <v>48</v>
      </c>
      <c r="H16" s="14" t="s">
        <v>52</v>
      </c>
      <c r="I16" s="15" t="s">
        <v>318</v>
      </c>
      <c r="J16" s="8"/>
      <c r="K16" s="8" t="str">
        <f>"230,0"</f>
        <v>230,0</v>
      </c>
      <c r="L16" s="8" t="str">
        <f>"147,5910"</f>
        <v>147,5910</v>
      </c>
      <c r="M16" s="7" t="s">
        <v>319</v>
      </c>
    </row>
    <row r="17" spans="1:13">
      <c r="B17" s="5" t="s">
        <v>26</v>
      </c>
    </row>
    <row r="18" spans="1:13" ht="16">
      <c r="A18" s="33" t="s">
        <v>32</v>
      </c>
      <c r="B18" s="33"/>
      <c r="C18" s="33"/>
      <c r="D18" s="33"/>
      <c r="E18" s="33"/>
      <c r="F18" s="33"/>
      <c r="G18" s="33"/>
      <c r="H18" s="33"/>
      <c r="I18" s="33"/>
      <c r="J18" s="33"/>
    </row>
    <row r="19" spans="1:13">
      <c r="A19" s="17" t="s">
        <v>25</v>
      </c>
      <c r="B19" s="16" t="s">
        <v>156</v>
      </c>
      <c r="C19" s="16" t="s">
        <v>157</v>
      </c>
      <c r="D19" s="16" t="s">
        <v>151</v>
      </c>
      <c r="E19" s="16" t="s">
        <v>585</v>
      </c>
      <c r="F19" s="16" t="s">
        <v>126</v>
      </c>
      <c r="G19" s="20" t="s">
        <v>158</v>
      </c>
      <c r="H19" s="20" t="s">
        <v>72</v>
      </c>
      <c r="I19" s="20" t="s">
        <v>159</v>
      </c>
      <c r="J19" s="17"/>
      <c r="K19" s="17" t="str">
        <f>"192,5"</f>
        <v>192,5</v>
      </c>
      <c r="L19" s="17" t="str">
        <f>"117,2903"</f>
        <v>117,2903</v>
      </c>
      <c r="M19" s="16" t="s">
        <v>160</v>
      </c>
    </row>
    <row r="20" spans="1:13">
      <c r="A20" s="25" t="s">
        <v>202</v>
      </c>
      <c r="B20" s="24" t="s">
        <v>320</v>
      </c>
      <c r="C20" s="24" t="s">
        <v>321</v>
      </c>
      <c r="D20" s="24" t="s">
        <v>322</v>
      </c>
      <c r="E20" s="24" t="s">
        <v>585</v>
      </c>
      <c r="F20" s="24" t="s">
        <v>107</v>
      </c>
      <c r="G20" s="26" t="s">
        <v>75</v>
      </c>
      <c r="H20" s="27" t="s">
        <v>164</v>
      </c>
      <c r="I20" s="27" t="s">
        <v>119</v>
      </c>
      <c r="J20" s="25"/>
      <c r="K20" s="25" t="str">
        <f>"190,0"</f>
        <v>190,0</v>
      </c>
      <c r="L20" s="25" t="str">
        <f>"116,2420"</f>
        <v>116,2420</v>
      </c>
      <c r="M20" s="24" t="s">
        <v>323</v>
      </c>
    </row>
    <row r="21" spans="1:13">
      <c r="A21" s="25" t="s">
        <v>203</v>
      </c>
      <c r="B21" s="24" t="s">
        <v>149</v>
      </c>
      <c r="C21" s="24" t="s">
        <v>150</v>
      </c>
      <c r="D21" s="24" t="s">
        <v>151</v>
      </c>
      <c r="E21" s="24" t="s">
        <v>585</v>
      </c>
      <c r="F21" s="24" t="s">
        <v>33</v>
      </c>
      <c r="G21" s="26" t="s">
        <v>111</v>
      </c>
      <c r="H21" s="26" t="s">
        <v>72</v>
      </c>
      <c r="I21" s="27" t="s">
        <v>112</v>
      </c>
      <c r="J21" s="25"/>
      <c r="K21" s="25" t="str">
        <f>"185,0"</f>
        <v>185,0</v>
      </c>
      <c r="L21" s="25" t="str">
        <f>"112,7205"</f>
        <v>112,7205</v>
      </c>
      <c r="M21" s="24" t="s">
        <v>155</v>
      </c>
    </row>
    <row r="22" spans="1:13">
      <c r="A22" s="19" t="s">
        <v>25</v>
      </c>
      <c r="B22" s="18" t="s">
        <v>324</v>
      </c>
      <c r="C22" s="18" t="s">
        <v>325</v>
      </c>
      <c r="D22" s="18" t="s">
        <v>151</v>
      </c>
      <c r="E22" s="18" t="s">
        <v>586</v>
      </c>
      <c r="F22" s="18" t="s">
        <v>33</v>
      </c>
      <c r="G22" s="22" t="s">
        <v>62</v>
      </c>
      <c r="H22" s="22" t="s">
        <v>27</v>
      </c>
      <c r="I22" s="23" t="s">
        <v>216</v>
      </c>
      <c r="J22" s="19"/>
      <c r="K22" s="19" t="str">
        <f>"120,0"</f>
        <v>120,0</v>
      </c>
      <c r="L22" s="19" t="str">
        <f>"82,7673"</f>
        <v>82,7673</v>
      </c>
      <c r="M22" s="18" t="s">
        <v>95</v>
      </c>
    </row>
    <row r="23" spans="1:13">
      <c r="B23" s="5" t="s">
        <v>26</v>
      </c>
    </row>
    <row r="24" spans="1:13" ht="16">
      <c r="A24" s="33" t="s">
        <v>8</v>
      </c>
      <c r="B24" s="33"/>
      <c r="C24" s="33"/>
      <c r="D24" s="33"/>
      <c r="E24" s="33"/>
      <c r="F24" s="33"/>
      <c r="G24" s="33"/>
      <c r="H24" s="33"/>
      <c r="I24" s="33"/>
      <c r="J24" s="33"/>
    </row>
    <row r="25" spans="1:13">
      <c r="A25" s="17" t="s">
        <v>25</v>
      </c>
      <c r="B25" s="16" t="s">
        <v>326</v>
      </c>
      <c r="C25" s="16" t="s">
        <v>327</v>
      </c>
      <c r="D25" s="16" t="s">
        <v>328</v>
      </c>
      <c r="E25" s="16" t="s">
        <v>585</v>
      </c>
      <c r="F25" s="16" t="s">
        <v>555</v>
      </c>
      <c r="G25" s="20" t="s">
        <v>52</v>
      </c>
      <c r="H25" s="20" t="s">
        <v>50</v>
      </c>
      <c r="I25" s="20" t="s">
        <v>122</v>
      </c>
      <c r="J25" s="17"/>
      <c r="K25" s="17" t="str">
        <f>"245,0"</f>
        <v>245,0</v>
      </c>
      <c r="L25" s="17" t="str">
        <f>"144,4275"</f>
        <v>144,4275</v>
      </c>
      <c r="M25" s="16"/>
    </row>
    <row r="26" spans="1:13">
      <c r="A26" s="25" t="s">
        <v>202</v>
      </c>
      <c r="B26" s="24" t="s">
        <v>329</v>
      </c>
      <c r="C26" s="24" t="s">
        <v>330</v>
      </c>
      <c r="D26" s="24" t="s">
        <v>331</v>
      </c>
      <c r="E26" s="16" t="s">
        <v>585</v>
      </c>
      <c r="F26" s="24" t="s">
        <v>567</v>
      </c>
      <c r="G26" s="26" t="s">
        <v>72</v>
      </c>
      <c r="H26" s="27" t="s">
        <v>75</v>
      </c>
      <c r="I26" s="25"/>
      <c r="J26" s="25"/>
      <c r="K26" s="25" t="str">
        <f>"185,0"</f>
        <v>185,0</v>
      </c>
      <c r="L26" s="25" t="str">
        <f>"112,1100"</f>
        <v>112,1100</v>
      </c>
      <c r="M26" s="24"/>
    </row>
    <row r="27" spans="1:13">
      <c r="A27" s="25" t="s">
        <v>203</v>
      </c>
      <c r="B27" s="24" t="s">
        <v>332</v>
      </c>
      <c r="C27" s="24" t="s">
        <v>333</v>
      </c>
      <c r="D27" s="24" t="s">
        <v>334</v>
      </c>
      <c r="E27" s="16" t="s">
        <v>585</v>
      </c>
      <c r="F27" s="24" t="s">
        <v>554</v>
      </c>
      <c r="G27" s="26" t="s">
        <v>111</v>
      </c>
      <c r="H27" s="26" t="s">
        <v>82</v>
      </c>
      <c r="I27" s="26" t="s">
        <v>72</v>
      </c>
      <c r="J27" s="25"/>
      <c r="K27" s="25" t="str">
        <f>"185,0"</f>
        <v>185,0</v>
      </c>
      <c r="L27" s="25" t="str">
        <f>"109,5385"</f>
        <v>109,5385</v>
      </c>
      <c r="M27" s="24" t="s">
        <v>211</v>
      </c>
    </row>
    <row r="28" spans="1:13">
      <c r="A28" s="25" t="s">
        <v>204</v>
      </c>
      <c r="B28" s="24" t="s">
        <v>179</v>
      </c>
      <c r="C28" s="24" t="s">
        <v>180</v>
      </c>
      <c r="D28" s="24" t="s">
        <v>181</v>
      </c>
      <c r="E28" s="16" t="s">
        <v>585</v>
      </c>
      <c r="F28" s="24" t="s">
        <v>558</v>
      </c>
      <c r="G28" s="26" t="s">
        <v>71</v>
      </c>
      <c r="H28" s="27" t="s">
        <v>31</v>
      </c>
      <c r="I28" s="27" t="s">
        <v>31</v>
      </c>
      <c r="J28" s="25"/>
      <c r="K28" s="25" t="str">
        <f>"160,0"</f>
        <v>160,0</v>
      </c>
      <c r="L28" s="25" t="str">
        <f>"94,7040"</f>
        <v>94,7040</v>
      </c>
      <c r="M28" s="24"/>
    </row>
    <row r="29" spans="1:13">
      <c r="A29" s="19" t="s">
        <v>25</v>
      </c>
      <c r="B29" s="18" t="s">
        <v>179</v>
      </c>
      <c r="C29" s="18" t="s">
        <v>182</v>
      </c>
      <c r="D29" s="18" t="s">
        <v>181</v>
      </c>
      <c r="E29" s="18" t="s">
        <v>586</v>
      </c>
      <c r="F29" s="18" t="s">
        <v>558</v>
      </c>
      <c r="G29" s="22" t="s">
        <v>71</v>
      </c>
      <c r="H29" s="23" t="s">
        <v>31</v>
      </c>
      <c r="I29" s="23" t="s">
        <v>31</v>
      </c>
      <c r="J29" s="19"/>
      <c r="K29" s="19" t="str">
        <f>"160,0"</f>
        <v>160,0</v>
      </c>
      <c r="L29" s="19" t="str">
        <f>"100,3862"</f>
        <v>100,3862</v>
      </c>
      <c r="M29" s="18"/>
    </row>
    <row r="30" spans="1:13">
      <c r="B30" s="5" t="s">
        <v>26</v>
      </c>
    </row>
    <row r="31" spans="1:13" ht="16">
      <c r="A31" s="33" t="s">
        <v>12</v>
      </c>
      <c r="B31" s="33"/>
      <c r="C31" s="33"/>
      <c r="D31" s="33"/>
      <c r="E31" s="33"/>
      <c r="F31" s="33"/>
      <c r="G31" s="33"/>
      <c r="H31" s="33"/>
      <c r="I31" s="33"/>
      <c r="J31" s="33"/>
    </row>
    <row r="32" spans="1:13">
      <c r="A32" s="17" t="s">
        <v>25</v>
      </c>
      <c r="B32" s="16" t="s">
        <v>335</v>
      </c>
      <c r="C32" s="16" t="s">
        <v>336</v>
      </c>
      <c r="D32" s="16" t="s">
        <v>337</v>
      </c>
      <c r="E32" s="16" t="s">
        <v>585</v>
      </c>
      <c r="F32" s="16" t="s">
        <v>338</v>
      </c>
      <c r="G32" s="20" t="s">
        <v>71</v>
      </c>
      <c r="H32" s="20" t="s">
        <v>31</v>
      </c>
      <c r="I32" s="21" t="s">
        <v>111</v>
      </c>
      <c r="J32" s="17"/>
      <c r="K32" s="17" t="str">
        <f>"170,0"</f>
        <v>170,0</v>
      </c>
      <c r="L32" s="17" t="str">
        <f>"99,7730"</f>
        <v>99,7730</v>
      </c>
      <c r="M32" s="16"/>
    </row>
    <row r="33" spans="1:13">
      <c r="A33" s="25" t="s">
        <v>202</v>
      </c>
      <c r="B33" s="24" t="s">
        <v>339</v>
      </c>
      <c r="C33" s="24" t="s">
        <v>340</v>
      </c>
      <c r="D33" s="24" t="s">
        <v>341</v>
      </c>
      <c r="E33" s="24" t="s">
        <v>585</v>
      </c>
      <c r="F33" s="24" t="s">
        <v>314</v>
      </c>
      <c r="G33" s="26" t="s">
        <v>30</v>
      </c>
      <c r="H33" s="27" t="s">
        <v>31</v>
      </c>
      <c r="I33" s="27" t="s">
        <v>31</v>
      </c>
      <c r="J33" s="25"/>
      <c r="K33" s="25" t="str">
        <f>"165,0"</f>
        <v>165,0</v>
      </c>
      <c r="L33" s="25" t="str">
        <f>"95,6835"</f>
        <v>95,6835</v>
      </c>
      <c r="M33" s="24" t="s">
        <v>155</v>
      </c>
    </row>
    <row r="34" spans="1:13">
      <c r="A34" s="19" t="s">
        <v>203</v>
      </c>
      <c r="B34" s="18" t="s">
        <v>342</v>
      </c>
      <c r="C34" s="18" t="s">
        <v>343</v>
      </c>
      <c r="D34" s="18" t="s">
        <v>344</v>
      </c>
      <c r="E34" s="18" t="s">
        <v>585</v>
      </c>
      <c r="F34" s="18" t="s">
        <v>555</v>
      </c>
      <c r="G34" s="23" t="s">
        <v>74</v>
      </c>
      <c r="H34" s="22" t="s">
        <v>71</v>
      </c>
      <c r="I34" s="23" t="s">
        <v>111</v>
      </c>
      <c r="J34" s="19"/>
      <c r="K34" s="19" t="str">
        <f>"160,0"</f>
        <v>160,0</v>
      </c>
      <c r="L34" s="19" t="str">
        <f>"92,8800"</f>
        <v>92,8800</v>
      </c>
      <c r="M34" s="18" t="s">
        <v>345</v>
      </c>
    </row>
    <row r="35" spans="1:13">
      <c r="B35" s="5" t="s">
        <v>26</v>
      </c>
    </row>
    <row r="36" spans="1:13">
      <c r="B36" s="5" t="s">
        <v>26</v>
      </c>
    </row>
    <row r="37" spans="1:13">
      <c r="B37" s="5" t="s">
        <v>26</v>
      </c>
    </row>
    <row r="38" spans="1:13" ht="18">
      <c r="B38" s="9" t="s">
        <v>13</v>
      </c>
      <c r="C38" s="9"/>
      <c r="F38" s="3"/>
    </row>
    <row r="39" spans="1:13" ht="16">
      <c r="B39" s="10" t="s">
        <v>14</v>
      </c>
      <c r="C39" s="10"/>
      <c r="F39" s="3"/>
    </row>
    <row r="40" spans="1:13" ht="14">
      <c r="B40" s="11"/>
      <c r="C40" s="12" t="s">
        <v>15</v>
      </c>
      <c r="F40" s="3"/>
    </row>
    <row r="41" spans="1:13" ht="14">
      <c r="B41" s="13" t="s">
        <v>16</v>
      </c>
      <c r="C41" s="13" t="s">
        <v>17</v>
      </c>
      <c r="D41" s="13" t="s">
        <v>566</v>
      </c>
      <c r="E41" s="13" t="s">
        <v>20</v>
      </c>
      <c r="F41" s="13" t="s">
        <v>55</v>
      </c>
    </row>
    <row r="42" spans="1:13">
      <c r="B42" s="5" t="s">
        <v>315</v>
      </c>
      <c r="C42" s="5" t="s">
        <v>15</v>
      </c>
      <c r="D42" s="6" t="s">
        <v>86</v>
      </c>
      <c r="E42" s="6" t="s">
        <v>52</v>
      </c>
      <c r="F42" s="6" t="s">
        <v>346</v>
      </c>
    </row>
    <row r="43" spans="1:13">
      <c r="B43" s="5" t="s">
        <v>326</v>
      </c>
      <c r="C43" s="5" t="s">
        <v>15</v>
      </c>
      <c r="D43" s="6" t="s">
        <v>21</v>
      </c>
      <c r="E43" s="6" t="s">
        <v>122</v>
      </c>
      <c r="F43" s="6" t="s">
        <v>347</v>
      </c>
    </row>
    <row r="44" spans="1:13">
      <c r="B44" s="5" t="s">
        <v>309</v>
      </c>
      <c r="C44" s="5" t="s">
        <v>15</v>
      </c>
      <c r="D44" s="6" t="s">
        <v>194</v>
      </c>
      <c r="E44" s="6" t="s">
        <v>30</v>
      </c>
      <c r="F44" s="6" t="s">
        <v>348</v>
      </c>
    </row>
  </sheetData>
  <mergeCells count="18">
    <mergeCell ref="A1:M2"/>
    <mergeCell ref="A3:A4"/>
    <mergeCell ref="C3:C4"/>
    <mergeCell ref="D3:D4"/>
    <mergeCell ref="E3:E4"/>
    <mergeCell ref="F3:F4"/>
    <mergeCell ref="G3:J3"/>
    <mergeCell ref="A31:J31"/>
    <mergeCell ref="K3:K4"/>
    <mergeCell ref="L3:L4"/>
    <mergeCell ref="M3:M4"/>
    <mergeCell ref="A5:J5"/>
    <mergeCell ref="B3:B4"/>
    <mergeCell ref="A8:J8"/>
    <mergeCell ref="A11:J11"/>
    <mergeCell ref="A15:J15"/>
    <mergeCell ref="A18:J18"/>
    <mergeCell ref="A24:J2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1.6640625" style="5" customWidth="1"/>
    <col min="3" max="3" width="26.5" style="5" bestFit="1" customWidth="1"/>
    <col min="4" max="4" width="15.5" style="5" bestFit="1" customWidth="1"/>
    <col min="5" max="5" width="6.83203125" style="5" bestFit="1" customWidth="1"/>
    <col min="6" max="6" width="31.1640625" style="5" bestFit="1" customWidth="1"/>
    <col min="7" max="9" width="5.5" style="6" customWidth="1"/>
    <col min="10" max="10" width="4.83203125" style="6" customWidth="1"/>
    <col min="11" max="11" width="10.5" style="28" bestFit="1" customWidth="1"/>
    <col min="12" max="12" width="9.5" style="6" customWidth="1"/>
    <col min="13" max="13" width="20.33203125" style="5" customWidth="1"/>
    <col min="14" max="16384" width="9.1640625" style="3"/>
  </cols>
  <sheetData>
    <row r="1" spans="1:13" s="2" customFormat="1" ht="29" customHeight="1">
      <c r="A1" s="44" t="s">
        <v>549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582</v>
      </c>
      <c r="B3" s="42" t="s">
        <v>0</v>
      </c>
      <c r="C3" s="54" t="s">
        <v>583</v>
      </c>
      <c r="D3" s="54" t="s">
        <v>7</v>
      </c>
      <c r="E3" s="36" t="s">
        <v>584</v>
      </c>
      <c r="F3" s="36" t="s">
        <v>6</v>
      </c>
      <c r="G3" s="36" t="s">
        <v>43</v>
      </c>
      <c r="H3" s="36"/>
      <c r="I3" s="36"/>
      <c r="J3" s="36"/>
      <c r="K3" s="34" t="s">
        <v>24</v>
      </c>
      <c r="L3" s="36" t="s">
        <v>3</v>
      </c>
      <c r="M3" s="38" t="s">
        <v>2</v>
      </c>
    </row>
    <row r="4" spans="1:13" s="1" customFormat="1" ht="21" customHeight="1" thickBot="1">
      <c r="A4" s="53"/>
      <c r="B4" s="43"/>
      <c r="C4" s="37"/>
      <c r="D4" s="37"/>
      <c r="E4" s="37"/>
      <c r="F4" s="37"/>
      <c r="G4" s="4">
        <v>1</v>
      </c>
      <c r="H4" s="4">
        <v>2</v>
      </c>
      <c r="I4" s="4">
        <v>3</v>
      </c>
      <c r="J4" s="4" t="s">
        <v>4</v>
      </c>
      <c r="K4" s="35"/>
      <c r="L4" s="37"/>
      <c r="M4" s="39"/>
    </row>
    <row r="5" spans="1:13" ht="16">
      <c r="A5" s="40" t="s">
        <v>103</v>
      </c>
      <c r="B5" s="40"/>
      <c r="C5" s="41"/>
      <c r="D5" s="41"/>
      <c r="E5" s="41"/>
      <c r="F5" s="41"/>
      <c r="G5" s="41"/>
      <c r="H5" s="41"/>
      <c r="I5" s="41"/>
      <c r="J5" s="41"/>
    </row>
    <row r="6" spans="1:13">
      <c r="A6" s="8" t="s">
        <v>34</v>
      </c>
      <c r="B6" s="7" t="s">
        <v>299</v>
      </c>
      <c r="C6" s="7" t="s">
        <v>300</v>
      </c>
      <c r="D6" s="7" t="s">
        <v>251</v>
      </c>
      <c r="E6" s="7" t="s">
        <v>589</v>
      </c>
      <c r="F6" s="7" t="s">
        <v>33</v>
      </c>
      <c r="G6" s="15" t="s">
        <v>75</v>
      </c>
      <c r="H6" s="15" t="s">
        <v>75</v>
      </c>
      <c r="I6" s="15" t="s">
        <v>75</v>
      </c>
      <c r="J6" s="8"/>
      <c r="K6" s="29">
        <v>0</v>
      </c>
      <c r="L6" s="8" t="str">
        <f>"0,0000"</f>
        <v>0,0000</v>
      </c>
      <c r="M6" s="7" t="s">
        <v>301</v>
      </c>
    </row>
    <row r="7" spans="1:13">
      <c r="B7" s="5" t="s">
        <v>26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WRPF ПЛ без экипировки ДК</vt:lpstr>
      <vt:lpstr>WRPF ПЛ без экипировки</vt:lpstr>
      <vt:lpstr>WRPF ПЛ в бинтах ДК</vt:lpstr>
      <vt:lpstr>WRPF ПЛ в бинтах</vt:lpstr>
      <vt:lpstr>WRPF Двоеборье без экип ДК</vt:lpstr>
      <vt:lpstr>WRPF Двоеборье без экип</vt:lpstr>
      <vt:lpstr>WRPF Жим лежа без экип ДК</vt:lpstr>
      <vt:lpstr>WRPF Жим лежа без экип</vt:lpstr>
      <vt:lpstr>WEPF Жим софт однопетельная</vt:lpstr>
      <vt:lpstr>WEPF Жим софт многопетельная</vt:lpstr>
      <vt:lpstr>WRPF Тяга без экипировки ДК</vt:lpstr>
      <vt:lpstr>WRPF Тяга без экипировки</vt:lpstr>
      <vt:lpstr>WRPF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2021-03-24T12:08:03Z</dcterms:modified>
</cp:coreProperties>
</file>