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9EC8DDFF-D0E5-324D-9655-7C11F005BFA7}" xr6:coauthVersionLast="45" xr6:coauthVersionMax="45" xr10:uidLastSave="{00000000-0000-0000-0000-000000000000}"/>
  <bookViews>
    <workbookView xWindow="480" yWindow="460" windowWidth="28240" windowHeight="15980" firstSheet="4" activeTab="9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14" r:id="rId5"/>
    <sheet name="WRPF Двоеборье без экип" sheetId="13" r:id="rId6"/>
    <sheet name="WRPF Жим лежа без экип ДК" sheetId="10" r:id="rId7"/>
    <sheet name="WRPF Жим лежа без экип" sheetId="9" r:id="rId8"/>
    <sheet name="WRPF Тяга без экипировки ДК" sheetId="12" r:id="rId9"/>
    <sheet name="WRPF Тяга без экипировки" sheetId="11" r:id="rId10"/>
  </sheets>
  <definedNames>
    <definedName name="_FilterDatabase" localSheetId="3" hidden="1">'WRPF ПЛ в бинтах'!$A$1:$S$3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0" l="1"/>
  <c r="P9" i="14" l="1"/>
  <c r="O9" i="14"/>
  <c r="P6" i="14"/>
  <c r="O6" i="14"/>
  <c r="P9" i="13"/>
  <c r="O9" i="13"/>
  <c r="P6" i="13"/>
  <c r="O6" i="13"/>
  <c r="L18" i="12"/>
  <c r="K18" i="12"/>
  <c r="L17" i="12"/>
  <c r="K17" i="12"/>
  <c r="L16" i="12"/>
  <c r="K16" i="12"/>
  <c r="L15" i="12"/>
  <c r="K15" i="12"/>
  <c r="L12" i="12"/>
  <c r="K12" i="12"/>
  <c r="L9" i="12"/>
  <c r="K9" i="12"/>
  <c r="L6" i="12"/>
  <c r="K6" i="12"/>
  <c r="L13" i="11"/>
  <c r="K13" i="11"/>
  <c r="L10" i="11"/>
  <c r="K10" i="11"/>
  <c r="L9" i="11"/>
  <c r="K9" i="11"/>
  <c r="L6" i="11"/>
  <c r="K6" i="11"/>
  <c r="L52" i="10"/>
  <c r="K52" i="10"/>
  <c r="L51" i="10"/>
  <c r="K51" i="10"/>
  <c r="L48" i="10"/>
  <c r="K48" i="10"/>
  <c r="L47" i="10"/>
  <c r="K47" i="10"/>
  <c r="L46" i="10"/>
  <c r="K46" i="10"/>
  <c r="L45" i="10"/>
  <c r="K45" i="10"/>
  <c r="L44" i="10"/>
  <c r="K44" i="10"/>
  <c r="L43" i="10"/>
  <c r="K43" i="10"/>
  <c r="L40" i="10"/>
  <c r="K40" i="10"/>
  <c r="L39" i="10"/>
  <c r="K39" i="10"/>
  <c r="L38" i="10"/>
  <c r="K38" i="10"/>
  <c r="L37" i="10"/>
  <c r="K37" i="10"/>
  <c r="K33" i="10"/>
  <c r="L32" i="10"/>
  <c r="K32" i="10"/>
  <c r="K31" i="10"/>
  <c r="L31" i="10" s="1"/>
  <c r="L28" i="10"/>
  <c r="K28" i="10"/>
  <c r="L27" i="10"/>
  <c r="K27" i="10"/>
  <c r="L26" i="10"/>
  <c r="K26" i="10"/>
  <c r="L25" i="10"/>
  <c r="K25" i="10"/>
  <c r="L24" i="10"/>
  <c r="K24" i="10"/>
  <c r="L21" i="10"/>
  <c r="K21" i="10"/>
  <c r="L18" i="10"/>
  <c r="K18" i="10"/>
  <c r="L15" i="10"/>
  <c r="K15" i="10"/>
  <c r="L14" i="10"/>
  <c r="K14" i="10"/>
  <c r="L13" i="10"/>
  <c r="K13" i="10"/>
  <c r="L10" i="10"/>
  <c r="K10" i="10"/>
  <c r="L7" i="10"/>
  <c r="K7" i="10"/>
  <c r="L6" i="10"/>
  <c r="K6" i="10"/>
  <c r="L66" i="9"/>
  <c r="K66" i="9"/>
  <c r="L63" i="9"/>
  <c r="K63" i="9"/>
  <c r="L62" i="9"/>
  <c r="L61" i="9"/>
  <c r="K61" i="9"/>
  <c r="L60" i="9"/>
  <c r="K60" i="9"/>
  <c r="L59" i="9"/>
  <c r="K59" i="9"/>
  <c r="L58" i="9"/>
  <c r="K58" i="9"/>
  <c r="L57" i="9"/>
  <c r="K57" i="9"/>
  <c r="L54" i="9"/>
  <c r="K54" i="9"/>
  <c r="L53" i="9"/>
  <c r="K53" i="9"/>
  <c r="L52" i="9"/>
  <c r="K52" i="9"/>
  <c r="L51" i="9"/>
  <c r="K51" i="9"/>
  <c r="L50" i="9"/>
  <c r="K50" i="9"/>
  <c r="L49" i="9"/>
  <c r="K49" i="9"/>
  <c r="L46" i="9"/>
  <c r="L45" i="9"/>
  <c r="K45" i="9"/>
  <c r="L44" i="9"/>
  <c r="K44" i="9"/>
  <c r="L41" i="9"/>
  <c r="K41" i="9"/>
  <c r="L40" i="9"/>
  <c r="K40" i="9"/>
  <c r="L39" i="9"/>
  <c r="K39" i="9"/>
  <c r="L38" i="9"/>
  <c r="K38" i="9"/>
  <c r="L37" i="9"/>
  <c r="K37" i="9"/>
  <c r="L36" i="9"/>
  <c r="K36" i="9"/>
  <c r="L33" i="9"/>
  <c r="K33" i="9"/>
  <c r="L32" i="9"/>
  <c r="K32" i="9"/>
  <c r="L31" i="9"/>
  <c r="K31" i="9"/>
  <c r="L30" i="9"/>
  <c r="K30" i="9"/>
  <c r="L27" i="9"/>
  <c r="K27" i="9"/>
  <c r="L26" i="9"/>
  <c r="K26" i="9"/>
  <c r="L23" i="9"/>
  <c r="K23" i="9"/>
  <c r="L20" i="9"/>
  <c r="K20" i="9"/>
  <c r="L17" i="9"/>
  <c r="K17" i="9"/>
  <c r="L14" i="9"/>
  <c r="K14" i="9"/>
  <c r="L13" i="9"/>
  <c r="K13" i="9"/>
  <c r="L12" i="9"/>
  <c r="K12" i="9"/>
  <c r="L9" i="9"/>
  <c r="K9" i="9"/>
  <c r="L6" i="9"/>
  <c r="K6" i="9"/>
  <c r="T47" i="8"/>
  <c r="S47" i="8"/>
  <c r="T44" i="8"/>
  <c r="T43" i="8"/>
  <c r="S43" i="8"/>
  <c r="T42" i="8"/>
  <c r="S42" i="8"/>
  <c r="T41" i="8"/>
  <c r="S41" i="8"/>
  <c r="T38" i="8"/>
  <c r="S38" i="8"/>
  <c r="T37" i="8"/>
  <c r="S37" i="8"/>
  <c r="T34" i="8"/>
  <c r="S34" i="8"/>
  <c r="T31" i="8"/>
  <c r="S31" i="8"/>
  <c r="T28" i="8"/>
  <c r="S28" i="8"/>
  <c r="T25" i="8"/>
  <c r="T24" i="8"/>
  <c r="S24" i="8"/>
  <c r="T23" i="8"/>
  <c r="S23" i="8"/>
  <c r="T20" i="8"/>
  <c r="S20" i="8"/>
  <c r="T17" i="8"/>
  <c r="S17" i="8"/>
  <c r="T14" i="8"/>
  <c r="S14" i="8"/>
  <c r="T13" i="8"/>
  <c r="S13" i="8"/>
  <c r="T10" i="8"/>
  <c r="S10" i="8"/>
  <c r="T7" i="8"/>
  <c r="S7" i="8"/>
  <c r="T6" i="8"/>
  <c r="S6" i="8"/>
  <c r="T18" i="7"/>
  <c r="S18" i="7"/>
  <c r="T17" i="7"/>
  <c r="S17" i="7"/>
  <c r="T14" i="7"/>
  <c r="S14" i="7"/>
  <c r="T11" i="7"/>
  <c r="S11" i="7"/>
  <c r="T10" i="7"/>
  <c r="S10" i="7"/>
  <c r="T9" i="7"/>
  <c r="S9" i="7"/>
  <c r="T6" i="7"/>
  <c r="S6" i="7"/>
  <c r="T26" i="6"/>
  <c r="S26" i="6"/>
  <c r="T23" i="6"/>
  <c r="S23" i="6"/>
  <c r="T22" i="6"/>
  <c r="T21" i="6"/>
  <c r="S21" i="6"/>
  <c r="T18" i="6"/>
  <c r="S18" i="6"/>
  <c r="T15" i="6"/>
  <c r="S15" i="6"/>
  <c r="T12" i="6"/>
  <c r="S12" i="6"/>
  <c r="T9" i="6"/>
  <c r="S9" i="6"/>
  <c r="T6" i="6"/>
  <c r="T38" i="5"/>
  <c r="S38" i="5"/>
  <c r="T35" i="5"/>
  <c r="S35" i="5"/>
  <c r="T32" i="5"/>
  <c r="T31" i="5"/>
  <c r="T30" i="5"/>
  <c r="S30" i="5"/>
  <c r="T29" i="5"/>
  <c r="S29" i="5"/>
  <c r="T26" i="5"/>
  <c r="S26" i="5"/>
  <c r="T25" i="5"/>
  <c r="S25" i="5"/>
  <c r="T24" i="5"/>
  <c r="S24" i="5"/>
  <c r="T21" i="5"/>
  <c r="S21" i="5"/>
  <c r="T18" i="5"/>
  <c r="T17" i="5"/>
  <c r="S17" i="5"/>
  <c r="T14" i="5"/>
  <c r="S14" i="5"/>
  <c r="T13" i="5"/>
  <c r="S13" i="5"/>
  <c r="T12" i="5"/>
  <c r="S12" i="5"/>
  <c r="T9" i="5"/>
  <c r="T6" i="5"/>
  <c r="S6" i="5"/>
</calcChain>
</file>

<file path=xl/sharedStrings.xml><?xml version="1.0" encoding="utf-8"?>
<sst xmlns="http://schemas.openxmlformats.org/spreadsheetml/2006/main" count="2037" uniqueCount="577">
  <si>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</si>
  <si>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</si>
  <si>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</si>
  <si>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</si>
  <si>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</si>
  <si>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</si>
  <si>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</si>
  <si>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</si>
  <si>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</si>
  <si>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</si>
  <si>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</si>
  <si>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Куртеева Наталья</t>
  </si>
  <si>
    <t>Открытая (12.07.1996)/24</t>
  </si>
  <si>
    <t>88,80</t>
  </si>
  <si>
    <t xml:space="preserve">Киров/Кировская область </t>
  </si>
  <si>
    <t>150,0</t>
  </si>
  <si>
    <t>160,0</t>
  </si>
  <si>
    <t>167,5</t>
  </si>
  <si>
    <t>100,0</t>
  </si>
  <si>
    <t>105,0</t>
  </si>
  <si>
    <t>107,5</t>
  </si>
  <si>
    <t>170,0</t>
  </si>
  <si>
    <t>ВЕСОВАЯ КАТЕГОРИЯ   75</t>
  </si>
  <si>
    <t>Шуклин Артём</t>
  </si>
  <si>
    <t>Юноши 14-16 (06.09.2008)/12</t>
  </si>
  <si>
    <t>70,20</t>
  </si>
  <si>
    <t>90,0</t>
  </si>
  <si>
    <t>55,0</t>
  </si>
  <si>
    <t>ВЕСОВАЯ КАТЕГОРИЯ   82.5</t>
  </si>
  <si>
    <t>Менщиков Сергей</t>
  </si>
  <si>
    <t>Открытая (18.08.1986)/34</t>
  </si>
  <si>
    <t>81,10</t>
  </si>
  <si>
    <t xml:space="preserve">Слободской/Кировская область </t>
  </si>
  <si>
    <t>220,0</t>
  </si>
  <si>
    <t>230,0</t>
  </si>
  <si>
    <t>240,0</t>
  </si>
  <si>
    <t>130,0</t>
  </si>
  <si>
    <t>140,0</t>
  </si>
  <si>
    <t xml:space="preserve">Обухов Ф. </t>
  </si>
  <si>
    <t>Гущин Александр</t>
  </si>
  <si>
    <t>Открытая (03.07.1990)/30</t>
  </si>
  <si>
    <t>82,30</t>
  </si>
  <si>
    <t>237,5</t>
  </si>
  <si>
    <t>147,5</t>
  </si>
  <si>
    <t>152,5</t>
  </si>
  <si>
    <t>155,0</t>
  </si>
  <si>
    <t>215,0</t>
  </si>
  <si>
    <t xml:space="preserve">Меркулов С. </t>
  </si>
  <si>
    <t>Крекнин Дмитрий</t>
  </si>
  <si>
    <t>Открытая (09.07.1995)/25</t>
  </si>
  <si>
    <t>80,40</t>
  </si>
  <si>
    <t xml:space="preserve">Кирово-Чепецк/Кировская область </t>
  </si>
  <si>
    <t>180,0</t>
  </si>
  <si>
    <t>125,0</t>
  </si>
  <si>
    <t>132,5</t>
  </si>
  <si>
    <t>190,0</t>
  </si>
  <si>
    <t>Асапов Антон</t>
  </si>
  <si>
    <t>Открытая (15.01.1985)/36</t>
  </si>
  <si>
    <t>88,00</t>
  </si>
  <si>
    <t>245,0</t>
  </si>
  <si>
    <t>250,0</t>
  </si>
  <si>
    <t>265,0</t>
  </si>
  <si>
    <t>Суслов Павел</t>
  </si>
  <si>
    <t>Открытая (18.07.1990)/30</t>
  </si>
  <si>
    <t>87,50</t>
  </si>
  <si>
    <t>255,0</t>
  </si>
  <si>
    <t>270,0</t>
  </si>
  <si>
    <t>247,5</t>
  </si>
  <si>
    <t>ВЕСОВАЯ КАТЕГОРИЯ   100</t>
  </si>
  <si>
    <t>Суетин Лев</t>
  </si>
  <si>
    <t>Открытая (16.03.1982)/39</t>
  </si>
  <si>
    <t>97,20</t>
  </si>
  <si>
    <t>145,0</t>
  </si>
  <si>
    <t>200,0</t>
  </si>
  <si>
    <t>ВЕСОВАЯ КАТЕГОРИЯ   110</t>
  </si>
  <si>
    <t>Новоселов Дмитрий</t>
  </si>
  <si>
    <t>Открытая (03.04.1994)/27</t>
  </si>
  <si>
    <t>107,90</t>
  </si>
  <si>
    <t>290,0</t>
  </si>
  <si>
    <t>300,0</t>
  </si>
  <si>
    <t>205,0</t>
  </si>
  <si>
    <t>322,5</t>
  </si>
  <si>
    <t>335,0</t>
  </si>
  <si>
    <t>352,5</t>
  </si>
  <si>
    <t>Чакин Сергей</t>
  </si>
  <si>
    <t>Открытая (24.03.1974)/47</t>
  </si>
  <si>
    <t>108,30</t>
  </si>
  <si>
    <t>310,0</t>
  </si>
  <si>
    <t>320,0</t>
  </si>
  <si>
    <t>280,0</t>
  </si>
  <si>
    <t>Мастера 40-49 (24.03.1974)/47</t>
  </si>
  <si>
    <t>ВЕСОВАЯ КАТЕГОРИЯ   125</t>
  </si>
  <si>
    <t>Решетов Дмитрий</t>
  </si>
  <si>
    <t>Открытая (27.04.1974)/46</t>
  </si>
  <si>
    <t>114,20</t>
  </si>
  <si>
    <t>195,0</t>
  </si>
  <si>
    <t>202,5</t>
  </si>
  <si>
    <t>207,5</t>
  </si>
  <si>
    <t>260,0</t>
  </si>
  <si>
    <t>Шепелин Кирилл</t>
  </si>
  <si>
    <t>Открытая (23.04.1993)/27</t>
  </si>
  <si>
    <t>122,70</t>
  </si>
  <si>
    <t>285,0</t>
  </si>
  <si>
    <t>295,0</t>
  </si>
  <si>
    <t>Фетисов Александр</t>
  </si>
  <si>
    <t>Открытая (08.05.1993)/27</t>
  </si>
  <si>
    <t>112,50</t>
  </si>
  <si>
    <t>175,0</t>
  </si>
  <si>
    <t>Гужавин Артем</t>
  </si>
  <si>
    <t>Открытая (01.07.1987)/33</t>
  </si>
  <si>
    <t>122,20</t>
  </si>
  <si>
    <t>185,0</t>
  </si>
  <si>
    <t>ВЕСОВАЯ КАТЕГОРИЯ   140</t>
  </si>
  <si>
    <t>Одегов Сергей</t>
  </si>
  <si>
    <t>Мастера 40-49 (02.10.1976)/44</t>
  </si>
  <si>
    <t>127,30</t>
  </si>
  <si>
    <t xml:space="preserve">Пермь/Пермский край </t>
  </si>
  <si>
    <t>315,0</t>
  </si>
  <si>
    <t>330,0</t>
  </si>
  <si>
    <t>350,0</t>
  </si>
  <si>
    <t>365,0</t>
  </si>
  <si>
    <t>ВЕСОВАЯ КАТЕГОРИЯ   90+</t>
  </si>
  <si>
    <t>Хлебников Егор</t>
  </si>
  <si>
    <t>Открытая (28.06.1995)/25</t>
  </si>
  <si>
    <t>96,90</t>
  </si>
  <si>
    <t>110,0</t>
  </si>
  <si>
    <t>115,0</t>
  </si>
  <si>
    <t>120,0</t>
  </si>
  <si>
    <t>210,0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</si>
  <si>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</si>
  <si>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</si>
  <si>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</si>
  <si>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</si>
  <si>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</si>
  <si>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</si>
  <si>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</si>
  <si>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90</t>
  </si>
  <si>
    <t xml:space="preserve">Мужчины </t>
  </si>
  <si>
    <t>110</t>
  </si>
  <si>
    <t>825,0</t>
  </si>
  <si>
    <t>488,4825</t>
  </si>
  <si>
    <t>800,0</t>
  </si>
  <si>
    <t>473,1200</t>
  </si>
  <si>
    <t>125</t>
  </si>
  <si>
    <t>792,5</t>
  </si>
  <si>
    <t>461,3142</t>
  </si>
  <si>
    <t xml:space="preserve">Мастера </t>
  </si>
  <si>
    <t xml:space="preserve">Мастера 40-49 </t>
  </si>
  <si>
    <t>1</t>
  </si>
  <si>
    <t/>
  </si>
  <si>
    <t>-</t>
  </si>
  <si>
    <t>2</t>
  </si>
  <si>
    <t>3</t>
  </si>
  <si>
    <t>ВЕСОВАЯ КАТЕГОРИЯ   44</t>
  </si>
  <si>
    <t>Загидуллина Диана</t>
  </si>
  <si>
    <t>Открытая (17.08.1996)/24</t>
  </si>
  <si>
    <t>43,60</t>
  </si>
  <si>
    <t>75,0</t>
  </si>
  <si>
    <t>37,5</t>
  </si>
  <si>
    <t>67,5</t>
  </si>
  <si>
    <t>ВЕСОВАЯ КАТЕГОРИЯ   52</t>
  </si>
  <si>
    <t>Кропотова Анастасия</t>
  </si>
  <si>
    <t>Открытая (30.01.1994)/27</t>
  </si>
  <si>
    <t>52,00</t>
  </si>
  <si>
    <t>95,0</t>
  </si>
  <si>
    <t>52,5</t>
  </si>
  <si>
    <t>57,5</t>
  </si>
  <si>
    <t>117,5</t>
  </si>
  <si>
    <t>ВЕСОВАЯ КАТЕГОРИЯ   67.5</t>
  </si>
  <si>
    <t>Буторина Наталья</t>
  </si>
  <si>
    <t>Открытая (27.02.1985)/36</t>
  </si>
  <si>
    <t>64,70</t>
  </si>
  <si>
    <t>60,0</t>
  </si>
  <si>
    <t>62,5</t>
  </si>
  <si>
    <t>Караваев Артем</t>
  </si>
  <si>
    <t>Открытая (07.09.1995)/25</t>
  </si>
  <si>
    <t>89,10</t>
  </si>
  <si>
    <t>222,5</t>
  </si>
  <si>
    <t>135,0</t>
  </si>
  <si>
    <t>Кучергин Артем</t>
  </si>
  <si>
    <t>Открытая (02.05.1990)/30</t>
  </si>
  <si>
    <t>80,90</t>
  </si>
  <si>
    <t>Баранцев Илья</t>
  </si>
  <si>
    <t>Юниоры (13.07.1998)/22</t>
  </si>
  <si>
    <t>89,30</t>
  </si>
  <si>
    <t>127,5</t>
  </si>
  <si>
    <t>192,5</t>
  </si>
  <si>
    <t>Пантюхин Артём</t>
  </si>
  <si>
    <t>Юниоры (23.11.2000)/20</t>
  </si>
  <si>
    <t>84,60</t>
  </si>
  <si>
    <t>Воронов Дмитрий</t>
  </si>
  <si>
    <t>Открытая (17.12.1989)/31</t>
  </si>
  <si>
    <t>86,70</t>
  </si>
  <si>
    <t xml:space="preserve">Омутнинск/Кировская область </t>
  </si>
  <si>
    <t>Ельцов Сергей</t>
  </si>
  <si>
    <t>Открытая (07.12.1991)/29</t>
  </si>
  <si>
    <t>94,70</t>
  </si>
  <si>
    <t>67.5</t>
  </si>
  <si>
    <t>82.5</t>
  </si>
  <si>
    <t>100</t>
  </si>
  <si>
    <t>Слудников Никита</t>
  </si>
  <si>
    <t>Открытая (26.04.1988)/32</t>
  </si>
  <si>
    <t>81,30</t>
  </si>
  <si>
    <t>165,0</t>
  </si>
  <si>
    <t>Решетников Александр</t>
  </si>
  <si>
    <t>Юниоры (22.02.1999)/22</t>
  </si>
  <si>
    <t>99,60</t>
  </si>
  <si>
    <t>302,5</t>
  </si>
  <si>
    <t>312,5</t>
  </si>
  <si>
    <t>345,0</t>
  </si>
  <si>
    <t>Шатунов Иван</t>
  </si>
  <si>
    <t>Юниоры (14.11.1997)/23</t>
  </si>
  <si>
    <t>97,70</t>
  </si>
  <si>
    <t>137,5</t>
  </si>
  <si>
    <t>Открытая (22.02.1999)/22</t>
  </si>
  <si>
    <t>Ямшанов Олег</t>
  </si>
  <si>
    <t>Открытая (21.05.1992)/28</t>
  </si>
  <si>
    <t>109,70</t>
  </si>
  <si>
    <t>262,5</t>
  </si>
  <si>
    <t>Макаренко Алексей</t>
  </si>
  <si>
    <t>Открытая (22.02.1981)/40</t>
  </si>
  <si>
    <t>120,00</t>
  </si>
  <si>
    <t xml:space="preserve">Подольск/Московская область </t>
  </si>
  <si>
    <t>162,5</t>
  </si>
  <si>
    <t>235,0</t>
  </si>
  <si>
    <t>Вотинцев Олег</t>
  </si>
  <si>
    <t>Мастера 50-59 (03.05.1969)/51</t>
  </si>
  <si>
    <t>118,00</t>
  </si>
  <si>
    <t>ВЕСОВАЯ КАТЕГОРИЯ   48</t>
  </si>
  <si>
    <t>Шулепова Екатерина</t>
  </si>
  <si>
    <t>Юниорки (10.05.1997)/23</t>
  </si>
  <si>
    <t>46,60</t>
  </si>
  <si>
    <t>50,0</t>
  </si>
  <si>
    <t>27,5</t>
  </si>
  <si>
    <t>30,0</t>
  </si>
  <si>
    <t>32,5</t>
  </si>
  <si>
    <t>80,0</t>
  </si>
  <si>
    <t>85,0</t>
  </si>
  <si>
    <t xml:space="preserve">Дудинец А. </t>
  </si>
  <si>
    <t>Петухова Марина</t>
  </si>
  <si>
    <t>Открытая (11.02.1993)/28</t>
  </si>
  <si>
    <t>47,90</t>
  </si>
  <si>
    <t>42,5</t>
  </si>
  <si>
    <t>45,0</t>
  </si>
  <si>
    <t>47,5</t>
  </si>
  <si>
    <t>77,5</t>
  </si>
  <si>
    <t>82,5</t>
  </si>
  <si>
    <t>Вохминцева Ирина</t>
  </si>
  <si>
    <t>Открытая (26.12.1989)/31</t>
  </si>
  <si>
    <t>70,0</t>
  </si>
  <si>
    <t>72,5</t>
  </si>
  <si>
    <t xml:space="preserve">Мухаметдинов В. </t>
  </si>
  <si>
    <t>ВЕСОВАЯ КАТЕГОРИЯ   56</t>
  </si>
  <si>
    <t>Мальщукова Екатерина</t>
  </si>
  <si>
    <t>Открытая (22.12.1990)/30</t>
  </si>
  <si>
    <t>54,70</t>
  </si>
  <si>
    <t>87,5</t>
  </si>
  <si>
    <t>92,5</t>
  </si>
  <si>
    <t>Скрыпник Наталья</t>
  </si>
  <si>
    <t>Мастера 40-49 (06.06.1976)/44</t>
  </si>
  <si>
    <t>55,90</t>
  </si>
  <si>
    <t>ВЕСОВАЯ КАТЕГОРИЯ   60</t>
  </si>
  <si>
    <t>Костина Валерия</t>
  </si>
  <si>
    <t>Юниорки (12.05.1999)/21</t>
  </si>
  <si>
    <t>58,30</t>
  </si>
  <si>
    <t xml:space="preserve">Котлас/Архангельская область </t>
  </si>
  <si>
    <t>40,0</t>
  </si>
  <si>
    <t>Голохвастова Елизавета</t>
  </si>
  <si>
    <t>Юниорки (07.10.1997)/23</t>
  </si>
  <si>
    <t>64,40</t>
  </si>
  <si>
    <t>65,0</t>
  </si>
  <si>
    <t>Досхоева Марет</t>
  </si>
  <si>
    <t>Открытая (03.12.1999)/21</t>
  </si>
  <si>
    <t>74,30</t>
  </si>
  <si>
    <t xml:space="preserve">Котельнич/Кировская область </t>
  </si>
  <si>
    <t>Кислицына Анастасия</t>
  </si>
  <si>
    <t>Открытая (05.12.1994)/26</t>
  </si>
  <si>
    <t>73,00</t>
  </si>
  <si>
    <t>Бакшаева Ульяна</t>
  </si>
  <si>
    <t>Открытая (07.10.1996)/24</t>
  </si>
  <si>
    <t>122,5</t>
  </si>
  <si>
    <t>Юферев Владислав</t>
  </si>
  <si>
    <t>Открытая (02.08.1995)/25</t>
  </si>
  <si>
    <t>59,80</t>
  </si>
  <si>
    <t>Перминов Николай</t>
  </si>
  <si>
    <t>Юноши 14-16 (21.06.2005)/15</t>
  </si>
  <si>
    <t>65,10</t>
  </si>
  <si>
    <t>Махнев Андрей</t>
  </si>
  <si>
    <t>Открытая (08.08.1995)/25</t>
  </si>
  <si>
    <t>72,90</t>
  </si>
  <si>
    <t>212,5</t>
  </si>
  <si>
    <t>Чебаков Сергей</t>
  </si>
  <si>
    <t>Открытая (18.01.1996)/25</t>
  </si>
  <si>
    <t>76,60</t>
  </si>
  <si>
    <t>182,5</t>
  </si>
  <si>
    <t>Братухин Дмитрий</t>
  </si>
  <si>
    <t>Открытая (09.10.1994)/26</t>
  </si>
  <si>
    <t>80,10</t>
  </si>
  <si>
    <t>Истомин Владислав</t>
  </si>
  <si>
    <t>Юниоры (14.05.1997)/23</t>
  </si>
  <si>
    <t>83,40</t>
  </si>
  <si>
    <t>Пенегин Михаил</t>
  </si>
  <si>
    <t>Открытая (17.08.1992)/28</t>
  </si>
  <si>
    <t>87,60</t>
  </si>
  <si>
    <t>252,5</t>
  </si>
  <si>
    <t>Чепурных Роман</t>
  </si>
  <si>
    <t>Открытая (09.06.1992)/28</t>
  </si>
  <si>
    <t>88,60</t>
  </si>
  <si>
    <t>217,5</t>
  </si>
  <si>
    <t>Курилов Роман</t>
  </si>
  <si>
    <t>Открытая (13.07.1991)/29</t>
  </si>
  <si>
    <t>83,10</t>
  </si>
  <si>
    <t>Стариков Роман</t>
  </si>
  <si>
    <t>Открытая (21.02.1987)/34</t>
  </si>
  <si>
    <t>104,40</t>
  </si>
  <si>
    <t>48</t>
  </si>
  <si>
    <t>60</t>
  </si>
  <si>
    <t>197,5</t>
  </si>
  <si>
    <t>56</t>
  </si>
  <si>
    <t>267,5</t>
  </si>
  <si>
    <t>320,5988</t>
  </si>
  <si>
    <t>75</t>
  </si>
  <si>
    <t>306,0160</t>
  </si>
  <si>
    <t>292,5780</t>
  </si>
  <si>
    <t>542,5</t>
  </si>
  <si>
    <t>394,4518</t>
  </si>
  <si>
    <t>547,5</t>
  </si>
  <si>
    <t>354,5062</t>
  </si>
  <si>
    <t>502,5</t>
  </si>
  <si>
    <t>352,9058</t>
  </si>
  <si>
    <t>Гулина Татьяна</t>
  </si>
  <si>
    <t>Открытая (28.04.1973)/47</t>
  </si>
  <si>
    <t>47,20</t>
  </si>
  <si>
    <t xml:space="preserve">Лялин М. </t>
  </si>
  <si>
    <t>Василькова Наталья</t>
  </si>
  <si>
    <t>Открытая (04.09.1986)/34</t>
  </si>
  <si>
    <t>54,80</t>
  </si>
  <si>
    <t>35,0</t>
  </si>
  <si>
    <t>Смертина Екатерина</t>
  </si>
  <si>
    <t>Девушки 17-19 (18.08.2002)/18</t>
  </si>
  <si>
    <t>59,70</t>
  </si>
  <si>
    <t xml:space="preserve">Ашуралиева Д. </t>
  </si>
  <si>
    <t>Кузнецова Татьяна</t>
  </si>
  <si>
    <t>Открытая (29.06.1991)/29</t>
  </si>
  <si>
    <t>59,10</t>
  </si>
  <si>
    <t>Толмачева Наталья</t>
  </si>
  <si>
    <t>Мастера 40-49 (08.04.1979)/42</t>
  </si>
  <si>
    <t>57,20</t>
  </si>
  <si>
    <t>Шаламова Ольга</t>
  </si>
  <si>
    <t>Мастера 40-49 (15.09.1977)/43</t>
  </si>
  <si>
    <t>69,90</t>
  </si>
  <si>
    <t>Юрлов Игорь</t>
  </si>
  <si>
    <t>Открытая (16.11.1996)/24</t>
  </si>
  <si>
    <t>61,20</t>
  </si>
  <si>
    <t>112,5</t>
  </si>
  <si>
    <t xml:space="preserve">Красильников П. </t>
  </si>
  <si>
    <t>Дёмин Сергей</t>
  </si>
  <si>
    <t>Открытая (24.05.1984)/36</t>
  </si>
  <si>
    <t>73,10</t>
  </si>
  <si>
    <t>Лялин Михаил</t>
  </si>
  <si>
    <t>Мастера 40-49 (28.06.1976)/44</t>
  </si>
  <si>
    <t>72,10</t>
  </si>
  <si>
    <t>102,5</t>
  </si>
  <si>
    <t>Сыромолотов Михаил</t>
  </si>
  <si>
    <t>Юниоры (22.05.2000)/20</t>
  </si>
  <si>
    <t>78,60</t>
  </si>
  <si>
    <t>Южаков Антон</t>
  </si>
  <si>
    <t>Открытая (18.02.1995)/26</t>
  </si>
  <si>
    <t>77,40</t>
  </si>
  <si>
    <t xml:space="preserve">Верещагино/Пермский край </t>
  </si>
  <si>
    <t>Боярченко Валерий</t>
  </si>
  <si>
    <t>Мастера 40-49 (28.11.1974)/46</t>
  </si>
  <si>
    <t>80,30</t>
  </si>
  <si>
    <t>Николаев Александр</t>
  </si>
  <si>
    <t>Мастера 60-69 (08.07.1959)/61</t>
  </si>
  <si>
    <t>79,70</t>
  </si>
  <si>
    <t>Малых Кирилл</t>
  </si>
  <si>
    <t>Юниоры (19.11.1997)/23</t>
  </si>
  <si>
    <t>88,50</t>
  </si>
  <si>
    <t>Петухов Андрей</t>
  </si>
  <si>
    <t>Юниоры (01.03.1999)/22</t>
  </si>
  <si>
    <t>89,40</t>
  </si>
  <si>
    <t>Иванов Дмитрий</t>
  </si>
  <si>
    <t>Мастера 40-49 (07.07.1976)/44</t>
  </si>
  <si>
    <t>89,00</t>
  </si>
  <si>
    <t>Смертин Владимир</t>
  </si>
  <si>
    <t>Мастера 50-59 (20.07.1966)/54</t>
  </si>
  <si>
    <t>84,30</t>
  </si>
  <si>
    <t>Баженов Валерий</t>
  </si>
  <si>
    <t>Мастера 60-69 (16.08.1960)/60</t>
  </si>
  <si>
    <t>85,80</t>
  </si>
  <si>
    <t>Лапшин Александр</t>
  </si>
  <si>
    <t>Открытая (14.07.1976)/44</t>
  </si>
  <si>
    <t>99,10</t>
  </si>
  <si>
    <t>172,5</t>
  </si>
  <si>
    <t>Дмитриев Константин</t>
  </si>
  <si>
    <t>Открытая (15.11.1982)/38</t>
  </si>
  <si>
    <t>98,90</t>
  </si>
  <si>
    <t>Сенин Денис</t>
  </si>
  <si>
    <t>Открытая (28.05.1985)/35</t>
  </si>
  <si>
    <t>Ахмат-Газизов Марат</t>
  </si>
  <si>
    <t>Открытая (25.04.1980)/40</t>
  </si>
  <si>
    <t>101,90</t>
  </si>
  <si>
    <t>Шургин Станислав</t>
  </si>
  <si>
    <t>Открытая (14.08.1986)/34</t>
  </si>
  <si>
    <t>104,60</t>
  </si>
  <si>
    <t>Мальков Дмитрий</t>
  </si>
  <si>
    <t>Открытая (13.06.1983)/37</t>
  </si>
  <si>
    <t>109,20</t>
  </si>
  <si>
    <t>177,5</t>
  </si>
  <si>
    <t>Прокопчук Дмитрий</t>
  </si>
  <si>
    <t>Открытая (24.07.1988)/32</t>
  </si>
  <si>
    <t>103,00</t>
  </si>
  <si>
    <t>Шумихин Сергей</t>
  </si>
  <si>
    <t>Мастера 40-49 (12.10.1972)/48</t>
  </si>
  <si>
    <t>101,30</t>
  </si>
  <si>
    <t>Бахтин Станислав</t>
  </si>
  <si>
    <t>Открытая (06.06.1989)/31</t>
  </si>
  <si>
    <t>116,00</t>
  </si>
  <si>
    <t xml:space="preserve">Советск/Тульская область </t>
  </si>
  <si>
    <t>Злобин Алексей</t>
  </si>
  <si>
    <t>Открытая (02.01.1981)/40</t>
  </si>
  <si>
    <t>112,00</t>
  </si>
  <si>
    <t>Цыбелев Алексей</t>
  </si>
  <si>
    <t>Мастера 40-49 (13.06.1973)/47</t>
  </si>
  <si>
    <t>113,00</t>
  </si>
  <si>
    <t xml:space="preserve">Уржум/Кировская область </t>
  </si>
  <si>
    <t>Мастера 40-49 (02.01.1981)/40</t>
  </si>
  <si>
    <t>Зяблицев Андрей</t>
  </si>
  <si>
    <t>Мастера 40-49 (28.12.1978)/42</t>
  </si>
  <si>
    <t>111,60</t>
  </si>
  <si>
    <t>Завидонов Игорь</t>
  </si>
  <si>
    <t>Мастера 50-59 (17.11.1969)/51</t>
  </si>
  <si>
    <t>115,20</t>
  </si>
  <si>
    <t>142,5</t>
  </si>
  <si>
    <t>Бронников Игорь</t>
  </si>
  <si>
    <t>Открытая (11.01.1975)/46</t>
  </si>
  <si>
    <t>134,50</t>
  </si>
  <si>
    <t xml:space="preserve">Результат </t>
  </si>
  <si>
    <t>95,8885</t>
  </si>
  <si>
    <t>87,1520</t>
  </si>
  <si>
    <t>63,1620</t>
  </si>
  <si>
    <t>139,5000</t>
  </si>
  <si>
    <t>132,9020</t>
  </si>
  <si>
    <t>127,5340</t>
  </si>
  <si>
    <t>124,7911</t>
  </si>
  <si>
    <t>124,7875</t>
  </si>
  <si>
    <t>110,6081</t>
  </si>
  <si>
    <t>Результат</t>
  </si>
  <si>
    <t>4</t>
  </si>
  <si>
    <t>5</t>
  </si>
  <si>
    <t>Аверкова Майя</t>
  </si>
  <si>
    <t>Девушки 17-19 (20.03.2003)/18</t>
  </si>
  <si>
    <t>46,90</t>
  </si>
  <si>
    <t>25,0</t>
  </si>
  <si>
    <t xml:space="preserve">Кузнецова Т. </t>
  </si>
  <si>
    <t>Степанова Виктория</t>
  </si>
  <si>
    <t>Юниорки (16.12.1999)/21</t>
  </si>
  <si>
    <t>55,50</t>
  </si>
  <si>
    <t>Геташвили Мария</t>
  </si>
  <si>
    <t>Открытая (18.06.1980)/40</t>
  </si>
  <si>
    <t>55,00</t>
  </si>
  <si>
    <t>Калугина Маргарита</t>
  </si>
  <si>
    <t>Открытая (25.05.1987)/33</t>
  </si>
  <si>
    <t>60,00</t>
  </si>
  <si>
    <t xml:space="preserve">Малиновский С. </t>
  </si>
  <si>
    <t>Фукс Артем</t>
  </si>
  <si>
    <t>Юноши 14-16 (18.04.2006)/14</t>
  </si>
  <si>
    <t>73,70</t>
  </si>
  <si>
    <t>Фукс Максим</t>
  </si>
  <si>
    <t>Юноши 17-19 (18.04.2003)/17</t>
  </si>
  <si>
    <t>73,40</t>
  </si>
  <si>
    <t>Однороженко Андрей</t>
  </si>
  <si>
    <t>Открытая (20.12.1990)/30</t>
  </si>
  <si>
    <t>73,80</t>
  </si>
  <si>
    <t xml:space="preserve">Прозоров Д. </t>
  </si>
  <si>
    <t>Ширунов Андрей</t>
  </si>
  <si>
    <t>Открытая (21.05.1998)/22</t>
  </si>
  <si>
    <t>75,00</t>
  </si>
  <si>
    <t xml:space="preserve">Ширунов А. </t>
  </si>
  <si>
    <t>Плюснин Олег</t>
  </si>
  <si>
    <t>Открытая (22.03.1963)/58</t>
  </si>
  <si>
    <t>78,90</t>
  </si>
  <si>
    <t xml:space="preserve">Васев А. </t>
  </si>
  <si>
    <t>Кобелев Артем</t>
  </si>
  <si>
    <t>Открытая (11.03.1991)/30</t>
  </si>
  <si>
    <t>82,10</t>
  </si>
  <si>
    <t>Мастера 50-59 (22.03.1963)/58</t>
  </si>
  <si>
    <t>Семакин Дмитрий</t>
  </si>
  <si>
    <t>Открытая (14.11.1993)/27</t>
  </si>
  <si>
    <t>Лусников Антон</t>
  </si>
  <si>
    <t>Открытая (10.09.1990)/30</t>
  </si>
  <si>
    <t>Вахидов Шухрат</t>
  </si>
  <si>
    <t>Мастера 40-49 (31.10.1975)/45</t>
  </si>
  <si>
    <t>88,70</t>
  </si>
  <si>
    <t>Ефимовский Владислав</t>
  </si>
  <si>
    <t>Открытая (20.12.1995)/25</t>
  </si>
  <si>
    <t>Маликов Сергей</t>
  </si>
  <si>
    <t>Открытая (30.05.1986)/34</t>
  </si>
  <si>
    <t>99,70</t>
  </si>
  <si>
    <t xml:space="preserve">Шарья/Костромская область </t>
  </si>
  <si>
    <t>Лузянин Александр</t>
  </si>
  <si>
    <t>Открытая (09.04.1992)/29</t>
  </si>
  <si>
    <t>95,10</t>
  </si>
  <si>
    <t>Фомкин Павел</t>
  </si>
  <si>
    <t>Открытая (11.07.1988)/32</t>
  </si>
  <si>
    <t>99,80</t>
  </si>
  <si>
    <t>Мамедов Мубариз</t>
  </si>
  <si>
    <t>Мастера 40-49 (01.09.1975)/45</t>
  </si>
  <si>
    <t>96,70</t>
  </si>
  <si>
    <t>Лапин Никита</t>
  </si>
  <si>
    <t>Открытая (15.08.1995)/25</t>
  </si>
  <si>
    <t>104,90</t>
  </si>
  <si>
    <t>Бажуков Никита</t>
  </si>
  <si>
    <t>Открытая (31.07.1985)/35</t>
  </si>
  <si>
    <t xml:space="preserve">Баландин С. </t>
  </si>
  <si>
    <t>95,6300</t>
  </si>
  <si>
    <t>89,4975</t>
  </si>
  <si>
    <t>68,9138</t>
  </si>
  <si>
    <t>109,0650</t>
  </si>
  <si>
    <t>108,4170</t>
  </si>
  <si>
    <t>Ляпустин Дмитрий</t>
  </si>
  <si>
    <t>Открытая (06.12.1992)/28</t>
  </si>
  <si>
    <t>103,60</t>
  </si>
  <si>
    <t>Кулеша Дмитрий</t>
  </si>
  <si>
    <t>Открытая (08.07.1986)/34</t>
  </si>
  <si>
    <t>Шадрина Татьяна</t>
  </si>
  <si>
    <t>Открытая (09.08.1993)/27</t>
  </si>
  <si>
    <t>Морев Артемий</t>
  </si>
  <si>
    <t>Юноши 14-16 (03.12.2008)/12</t>
  </si>
  <si>
    <t>56,00</t>
  </si>
  <si>
    <t>Всероссийский мастерский турнир “Живая сталь”
WRPF любители Силовое двоеборье без экипировки ДК
Киров/Кировская область, 10 апреля 2021 года</t>
  </si>
  <si>
    <t>Всероссийский мастерский турнир “Живая сталь”
WRPF любители Силовое двоеборье без экипировки
Киров/Кировская область, 10 апреля 2021 года</t>
  </si>
  <si>
    <t>Всероссийский мастерский турнир “Живая сталь”
WRPF любители Становая тяга без экипировки ДК
Киров/Кировская область, 10 апреля 2021 года</t>
  </si>
  <si>
    <t>Всероссийский мастерский турнир “Живая сталь”
WRPF любители Становая тяга без экипировки
Киров/Кировская область, 10 апреля 2021 года</t>
  </si>
  <si>
    <t>Всероссийский мастерский турнир “Живая сталь”
WRPF любители Жим лежа без экипировки ДК
Киров/Кировская область, 10 апреля 2021 года</t>
  </si>
  <si>
    <t>Всероссийский мастерский турнир “Живая сталь”
WRPF любители Жим лежа без экипировки
Киров/Кировская область, 10 апреля 2021 года</t>
  </si>
  <si>
    <t>Всероссийский мастерский турнир “Живая сталь”
WRPF любители Пауэрлифтинг без экипировки ДК
Киров/Кировская область, 10 апреля 2021 года</t>
  </si>
  <si>
    <t>Всероссийский мастерский турнир “Живая сталь”
WRPF любители Пауэрлифтинг без экипировки
Киров/Кировская область, 10 апреля 2021 года</t>
  </si>
  <si>
    <t>Всероссийский мастерский турнир “Живая сталь”
WRPF любители Пауэрлифтинг классический в бинтах ДК
Киров/Кировская область, 10 апреля 2021 года</t>
  </si>
  <si>
    <t>Всероссийский мастерский турнир “Живая сталь”
WRPF любители Пауэрлифтинг классический в бинтах
Киров/Кировская область, 10 апреля 2021 года</t>
  </si>
  <si>
    <t xml:space="preserve">Сыктывкар/Республика Коми </t>
  </si>
  <si>
    <t>Весовая категория</t>
  </si>
  <si>
    <t xml:space="preserve">Нижний Новгород/Нижегородская область </t>
  </si>
  <si>
    <t>Юферев В.</t>
  </si>
  <si>
    <t>Юфереф В.</t>
  </si>
  <si>
    <t>Обухов Ф.</t>
  </si>
  <si>
    <t>Радашкевич Я.</t>
  </si>
  <si>
    <t>Смирнов Д.</t>
  </si>
  <si>
    <t xml:space="preserve">Ижевск/Республика Удмуртия </t>
  </si>
  <si>
    <t>Суслов Н.</t>
  </si>
  <si>
    <t>Дудинец А.</t>
  </si>
  <si>
    <t>Крылов В.</t>
  </si>
  <si>
    <t>Новоселов Д.</t>
  </si>
  <si>
    <t>Шуклин М.</t>
  </si>
  <si>
    <t>Стрекалов Н.</t>
  </si>
  <si>
    <t>106,6275</t>
  </si>
  <si>
    <t>Нижний Новгород/Нижегородская область</t>
  </si>
  <si>
    <t>пгт. Юрья/Кировская область</t>
  </si>
  <si>
    <t>Баландин С.</t>
  </si>
  <si>
    <t>Прозоров Д.</t>
  </si>
  <si>
    <t>Кузнецова Т.</t>
  </si>
  <si>
    <t>Воронин Е.</t>
  </si>
  <si>
    <t>Решетников А.</t>
  </si>
  <si>
    <t>Морев В.</t>
  </si>
  <si>
    <t xml:space="preserve">Глазов/Республика Удмуртия </t>
  </si>
  <si>
    <t>Тимофеев Д.</t>
  </si>
  <si>
    <t>№</t>
  </si>
  <si>
    <t xml:space="preserve">
Дата рождения/Возраст</t>
  </si>
  <si>
    <t>Возрастная группа</t>
  </si>
  <si>
    <t>J</t>
  </si>
  <si>
    <t>O</t>
  </si>
  <si>
    <t>M1</t>
  </si>
  <si>
    <t>T1</t>
  </si>
  <si>
    <t>M2</t>
  </si>
  <si>
    <t>T2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</si>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</sst>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165" fontId="1" fillId="0" borderId="25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65"/>
  <sheetViews>
    <sheetView workbookViewId="0">
      <selection activeCell="E48" sqref="E48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8.3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0.5" style="5" bestFit="1" customWidth="1"/>
    <col min="22" max="16384" width="9.1640625" style="3"/>
  </cols>
  <sheetData>
    <row r="1" spans="1:21" s="2" customFormat="1" ht="29" customHeight="1">
      <c r="A1" s="57" t="s">
        <v>537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7</v>
      </c>
      <c r="H3" s="69"/>
      <c r="I3" s="69"/>
      <c r="J3" s="69"/>
      <c r="K3" s="69" t="s">
        <v>8</v>
      </c>
      <c r="L3" s="69"/>
      <c r="M3" s="69"/>
      <c r="N3" s="69"/>
      <c r="O3" s="69" t="s">
        <v>9</v>
      </c>
      <c r="P3" s="69"/>
      <c r="Q3" s="69"/>
      <c r="R3" s="69"/>
      <c r="S3" s="71" t="s">
        <v>1</v>
      </c>
      <c r="T3" s="69" t="s">
        <v>3</v>
      </c>
      <c r="U3" s="73" t="s">
        <v>2</v>
      </c>
    </row>
    <row r="4" spans="1:21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2"/>
      <c r="T4" s="68"/>
      <c r="U4" s="74"/>
    </row>
    <row r="5" spans="1:21" ht="16">
      <c r="A5" s="75" t="s">
        <v>228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21">
      <c r="A6" s="10" t="s">
        <v>148</v>
      </c>
      <c r="B6" s="9" t="s">
        <v>229</v>
      </c>
      <c r="C6" s="9" t="s">
        <v>230</v>
      </c>
      <c r="D6" s="9" t="s">
        <v>231</v>
      </c>
      <c r="E6" s="9" t="s">
        <v>570</v>
      </c>
      <c r="F6" s="9" t="s">
        <v>14</v>
      </c>
      <c r="G6" s="22" t="s">
        <v>232</v>
      </c>
      <c r="H6" s="22" t="s">
        <v>166</v>
      </c>
      <c r="I6" s="27" t="s">
        <v>173</v>
      </c>
      <c r="J6" s="10"/>
      <c r="K6" s="22" t="s">
        <v>233</v>
      </c>
      <c r="L6" s="22" t="s">
        <v>234</v>
      </c>
      <c r="M6" s="22" t="s">
        <v>235</v>
      </c>
      <c r="N6" s="10"/>
      <c r="O6" s="22" t="s">
        <v>236</v>
      </c>
      <c r="P6" s="22" t="s">
        <v>237</v>
      </c>
      <c r="Q6" s="22" t="s">
        <v>26</v>
      </c>
      <c r="R6" s="10"/>
      <c r="S6" s="29" t="str">
        <f>"180,0"</f>
        <v>180,0</v>
      </c>
      <c r="T6" s="10" t="str">
        <f>"243,5760"</f>
        <v>243,5760</v>
      </c>
      <c r="U6" s="9" t="s">
        <v>238</v>
      </c>
    </row>
    <row r="7" spans="1:21">
      <c r="A7" s="14" t="s">
        <v>148</v>
      </c>
      <c r="B7" s="13" t="s">
        <v>239</v>
      </c>
      <c r="C7" s="13" t="s">
        <v>240</v>
      </c>
      <c r="D7" s="13" t="s">
        <v>241</v>
      </c>
      <c r="E7" s="13" t="s">
        <v>571</v>
      </c>
      <c r="F7" s="13" t="s">
        <v>14</v>
      </c>
      <c r="G7" s="25" t="s">
        <v>236</v>
      </c>
      <c r="H7" s="26" t="s">
        <v>237</v>
      </c>
      <c r="I7" s="25" t="s">
        <v>237</v>
      </c>
      <c r="J7" s="14"/>
      <c r="K7" s="25" t="s">
        <v>242</v>
      </c>
      <c r="L7" s="25" t="s">
        <v>243</v>
      </c>
      <c r="M7" s="25" t="s">
        <v>244</v>
      </c>
      <c r="N7" s="14"/>
      <c r="O7" s="25" t="s">
        <v>245</v>
      </c>
      <c r="P7" s="25" t="s">
        <v>236</v>
      </c>
      <c r="Q7" s="26" t="s">
        <v>246</v>
      </c>
      <c r="R7" s="14"/>
      <c r="S7" s="30" t="str">
        <f>"212,5"</f>
        <v>212,5</v>
      </c>
      <c r="T7" s="14" t="str">
        <f>"281,8813"</f>
        <v>281,8813</v>
      </c>
      <c r="U7" s="13" t="s">
        <v>238</v>
      </c>
    </row>
    <row r="8" spans="1:21">
      <c r="B8" s="5" t="s">
        <v>149</v>
      </c>
    </row>
    <row r="9" spans="1:21" ht="16">
      <c r="A9" s="70" t="s">
        <v>160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1:21">
      <c r="A10" s="8" t="s">
        <v>148</v>
      </c>
      <c r="B10" s="7" t="s">
        <v>247</v>
      </c>
      <c r="C10" s="7" t="s">
        <v>248</v>
      </c>
      <c r="D10" s="7" t="s">
        <v>163</v>
      </c>
      <c r="E10" s="7" t="s">
        <v>571</v>
      </c>
      <c r="F10" s="7" t="s">
        <v>14</v>
      </c>
      <c r="G10" s="20" t="s">
        <v>159</v>
      </c>
      <c r="H10" s="20" t="s">
        <v>249</v>
      </c>
      <c r="I10" s="20" t="s">
        <v>250</v>
      </c>
      <c r="J10" s="8"/>
      <c r="K10" s="20" t="s">
        <v>242</v>
      </c>
      <c r="L10" s="21" t="s">
        <v>243</v>
      </c>
      <c r="M10" s="21" t="s">
        <v>243</v>
      </c>
      <c r="N10" s="8"/>
      <c r="O10" s="20" t="s">
        <v>159</v>
      </c>
      <c r="P10" s="21" t="s">
        <v>250</v>
      </c>
      <c r="Q10" s="21" t="s">
        <v>250</v>
      </c>
      <c r="R10" s="8"/>
      <c r="S10" s="31" t="str">
        <f>"182,5"</f>
        <v>182,5</v>
      </c>
      <c r="T10" s="8" t="str">
        <f>"227,5045"</f>
        <v>227,5045</v>
      </c>
      <c r="U10" s="7" t="s">
        <v>251</v>
      </c>
    </row>
    <row r="11" spans="1:21">
      <c r="B11" s="5" t="s">
        <v>149</v>
      </c>
    </row>
    <row r="12" spans="1:21" ht="16">
      <c r="A12" s="70" t="s">
        <v>252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21">
      <c r="A13" s="10" t="s">
        <v>148</v>
      </c>
      <c r="B13" s="9" t="s">
        <v>253</v>
      </c>
      <c r="C13" s="9" t="s">
        <v>254</v>
      </c>
      <c r="D13" s="9" t="s">
        <v>255</v>
      </c>
      <c r="E13" s="9" t="s">
        <v>571</v>
      </c>
      <c r="F13" s="9" t="s">
        <v>14</v>
      </c>
      <c r="G13" s="22" t="s">
        <v>256</v>
      </c>
      <c r="H13" s="22" t="s">
        <v>26</v>
      </c>
      <c r="I13" s="27" t="s">
        <v>257</v>
      </c>
      <c r="J13" s="10"/>
      <c r="K13" s="22" t="s">
        <v>27</v>
      </c>
      <c r="L13" s="22" t="s">
        <v>166</v>
      </c>
      <c r="M13" s="27" t="s">
        <v>172</v>
      </c>
      <c r="N13" s="10"/>
      <c r="O13" s="22" t="s">
        <v>19</v>
      </c>
      <c r="P13" s="22" t="s">
        <v>126</v>
      </c>
      <c r="Q13" s="22" t="s">
        <v>127</v>
      </c>
      <c r="R13" s="10"/>
      <c r="S13" s="29" t="str">
        <f>"267,5"</f>
        <v>267,5</v>
      </c>
      <c r="T13" s="10" t="str">
        <f>"320,5988"</f>
        <v>320,5988</v>
      </c>
      <c r="U13" s="9" t="s">
        <v>251</v>
      </c>
    </row>
    <row r="14" spans="1:21">
      <c r="A14" s="14" t="s">
        <v>148</v>
      </c>
      <c r="B14" s="13" t="s">
        <v>258</v>
      </c>
      <c r="C14" s="13" t="s">
        <v>259</v>
      </c>
      <c r="D14" s="13" t="s">
        <v>260</v>
      </c>
      <c r="E14" s="13" t="s">
        <v>572</v>
      </c>
      <c r="F14" s="13" t="s">
        <v>543</v>
      </c>
      <c r="G14" s="26" t="s">
        <v>18</v>
      </c>
      <c r="H14" s="26" t="s">
        <v>18</v>
      </c>
      <c r="I14" s="25" t="s">
        <v>18</v>
      </c>
      <c r="J14" s="14"/>
      <c r="K14" s="25" t="s">
        <v>242</v>
      </c>
      <c r="L14" s="25" t="s">
        <v>243</v>
      </c>
      <c r="M14" s="26" t="s">
        <v>244</v>
      </c>
      <c r="N14" s="14"/>
      <c r="O14" s="25" t="s">
        <v>126</v>
      </c>
      <c r="P14" s="25" t="s">
        <v>127</v>
      </c>
      <c r="Q14" s="25" t="s">
        <v>53</v>
      </c>
      <c r="R14" s="14"/>
      <c r="S14" s="30" t="str">
        <f>"270,0"</f>
        <v>270,0</v>
      </c>
      <c r="T14" s="14" t="str">
        <f>"332,1392"</f>
        <v>332,1392</v>
      </c>
      <c r="U14" s="13"/>
    </row>
    <row r="15" spans="1:21">
      <c r="B15" s="5" t="s">
        <v>149</v>
      </c>
    </row>
    <row r="16" spans="1:21" ht="16">
      <c r="A16" s="70" t="s">
        <v>261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21">
      <c r="A17" s="8" t="s">
        <v>148</v>
      </c>
      <c r="B17" s="7" t="s">
        <v>262</v>
      </c>
      <c r="C17" s="7" t="s">
        <v>263</v>
      </c>
      <c r="D17" s="7" t="s">
        <v>264</v>
      </c>
      <c r="E17" s="7" t="s">
        <v>570</v>
      </c>
      <c r="F17" s="7" t="s">
        <v>265</v>
      </c>
      <c r="G17" s="20" t="s">
        <v>249</v>
      </c>
      <c r="H17" s="20" t="s">
        <v>157</v>
      </c>
      <c r="I17" s="21" t="s">
        <v>237</v>
      </c>
      <c r="J17" s="8"/>
      <c r="K17" s="20" t="s">
        <v>266</v>
      </c>
      <c r="L17" s="21" t="s">
        <v>242</v>
      </c>
      <c r="M17" s="21" t="s">
        <v>243</v>
      </c>
      <c r="N17" s="8"/>
      <c r="O17" s="20" t="s">
        <v>157</v>
      </c>
      <c r="P17" s="21" t="s">
        <v>237</v>
      </c>
      <c r="Q17" s="21" t="s">
        <v>237</v>
      </c>
      <c r="R17" s="8"/>
      <c r="S17" s="31" t="str">
        <f>"190,0"</f>
        <v>190,0</v>
      </c>
      <c r="T17" s="8" t="str">
        <f>"216,6190"</f>
        <v>216,6190</v>
      </c>
      <c r="U17" s="7" t="s">
        <v>544</v>
      </c>
    </row>
    <row r="18" spans="1:21">
      <c r="B18" s="5" t="s">
        <v>149</v>
      </c>
    </row>
    <row r="19" spans="1:21" ht="16">
      <c r="A19" s="70" t="s">
        <v>168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</row>
    <row r="20" spans="1:21">
      <c r="A20" s="8" t="s">
        <v>148</v>
      </c>
      <c r="B20" s="7" t="s">
        <v>267</v>
      </c>
      <c r="C20" s="7" t="s">
        <v>268</v>
      </c>
      <c r="D20" s="7" t="s">
        <v>269</v>
      </c>
      <c r="E20" s="7" t="s">
        <v>570</v>
      </c>
      <c r="F20" s="7" t="s">
        <v>14</v>
      </c>
      <c r="G20" s="20" t="s">
        <v>172</v>
      </c>
      <c r="H20" s="20" t="s">
        <v>270</v>
      </c>
      <c r="I20" s="20" t="s">
        <v>157</v>
      </c>
      <c r="J20" s="8"/>
      <c r="K20" s="20" t="s">
        <v>158</v>
      </c>
      <c r="L20" s="20" t="s">
        <v>242</v>
      </c>
      <c r="M20" s="21" t="s">
        <v>243</v>
      </c>
      <c r="N20" s="8"/>
      <c r="O20" s="20" t="s">
        <v>172</v>
      </c>
      <c r="P20" s="20" t="s">
        <v>249</v>
      </c>
      <c r="Q20" s="20" t="s">
        <v>236</v>
      </c>
      <c r="R20" s="8"/>
      <c r="S20" s="31" t="str">
        <f>"197,5"</f>
        <v>197,5</v>
      </c>
      <c r="T20" s="8" t="str">
        <f>"208,6390"</f>
        <v>208,6390</v>
      </c>
      <c r="U20" s="7" t="s">
        <v>545</v>
      </c>
    </row>
    <row r="21" spans="1:21">
      <c r="B21" s="5" t="s">
        <v>149</v>
      </c>
    </row>
    <row r="22" spans="1:21" ht="16">
      <c r="A22" s="70" t="s">
        <v>22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</row>
    <row r="23" spans="1:21">
      <c r="A23" s="10" t="s">
        <v>148</v>
      </c>
      <c r="B23" s="9" t="s">
        <v>271</v>
      </c>
      <c r="C23" s="9" t="s">
        <v>272</v>
      </c>
      <c r="D23" s="9" t="s">
        <v>273</v>
      </c>
      <c r="E23" s="9" t="s">
        <v>571</v>
      </c>
      <c r="F23" s="9" t="s">
        <v>274</v>
      </c>
      <c r="G23" s="22" t="s">
        <v>18</v>
      </c>
      <c r="H23" s="22" t="s">
        <v>125</v>
      </c>
      <c r="I23" s="27" t="s">
        <v>126</v>
      </c>
      <c r="J23" s="10"/>
      <c r="K23" s="22" t="s">
        <v>18</v>
      </c>
      <c r="L23" s="27" t="s">
        <v>20</v>
      </c>
      <c r="M23" s="27" t="s">
        <v>20</v>
      </c>
      <c r="N23" s="10"/>
      <c r="O23" s="22" t="s">
        <v>18</v>
      </c>
      <c r="P23" s="22" t="s">
        <v>125</v>
      </c>
      <c r="Q23" s="27" t="s">
        <v>127</v>
      </c>
      <c r="R23" s="10"/>
      <c r="S23" s="29" t="str">
        <f>"320,0"</f>
        <v>320,0</v>
      </c>
      <c r="T23" s="10" t="str">
        <f>"306,0160"</f>
        <v>306,0160</v>
      </c>
      <c r="U23" s="9" t="s">
        <v>546</v>
      </c>
    </row>
    <row r="24" spans="1:21">
      <c r="A24" s="12" t="s">
        <v>151</v>
      </c>
      <c r="B24" s="11" t="s">
        <v>275</v>
      </c>
      <c r="C24" s="11" t="s">
        <v>276</v>
      </c>
      <c r="D24" s="11" t="s">
        <v>277</v>
      </c>
      <c r="E24" s="11" t="s">
        <v>571</v>
      </c>
      <c r="F24" s="11" t="s">
        <v>14</v>
      </c>
      <c r="G24" s="23" t="s">
        <v>127</v>
      </c>
      <c r="H24" s="23" t="s">
        <v>185</v>
      </c>
      <c r="I24" s="24" t="s">
        <v>178</v>
      </c>
      <c r="J24" s="12"/>
      <c r="K24" s="23" t="s">
        <v>27</v>
      </c>
      <c r="L24" s="23" t="s">
        <v>172</v>
      </c>
      <c r="M24" s="24" t="s">
        <v>270</v>
      </c>
      <c r="N24" s="12"/>
      <c r="O24" s="23" t="s">
        <v>20</v>
      </c>
      <c r="P24" s="23" t="s">
        <v>126</v>
      </c>
      <c r="Q24" s="12"/>
      <c r="R24" s="12"/>
      <c r="S24" s="32" t="str">
        <f>"302,5"</f>
        <v>302,5</v>
      </c>
      <c r="T24" s="12" t="str">
        <f>"292,5780"</f>
        <v>292,5780</v>
      </c>
      <c r="U24" s="11"/>
    </row>
    <row r="25" spans="1:21">
      <c r="A25" s="14" t="s">
        <v>150</v>
      </c>
      <c r="B25" s="13" t="s">
        <v>278</v>
      </c>
      <c r="C25" s="13" t="s">
        <v>279</v>
      </c>
      <c r="D25" s="13" t="s">
        <v>273</v>
      </c>
      <c r="E25" s="13" t="s">
        <v>571</v>
      </c>
      <c r="F25" s="13" t="s">
        <v>14</v>
      </c>
      <c r="G25" s="26" t="s">
        <v>125</v>
      </c>
      <c r="H25" s="26" t="s">
        <v>125</v>
      </c>
      <c r="I25" s="26" t="s">
        <v>125</v>
      </c>
      <c r="J25" s="14"/>
      <c r="K25" s="26"/>
      <c r="L25" s="14"/>
      <c r="M25" s="14"/>
      <c r="N25" s="14"/>
      <c r="O25" s="26"/>
      <c r="P25" s="14"/>
      <c r="Q25" s="14"/>
      <c r="R25" s="14"/>
      <c r="S25" s="30">
        <v>0</v>
      </c>
      <c r="T25" s="14" t="str">
        <f>"0,0000"</f>
        <v>0,0000</v>
      </c>
      <c r="U25" s="13"/>
    </row>
    <row r="26" spans="1:21">
      <c r="B26" s="5" t="s">
        <v>149</v>
      </c>
    </row>
    <row r="27" spans="1:21" ht="16">
      <c r="A27" s="70" t="s">
        <v>261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21">
      <c r="A28" s="8" t="s">
        <v>148</v>
      </c>
      <c r="B28" s="7" t="s">
        <v>281</v>
      </c>
      <c r="C28" s="7" t="s">
        <v>282</v>
      </c>
      <c r="D28" s="7" t="s">
        <v>283</v>
      </c>
      <c r="E28" s="7" t="s">
        <v>571</v>
      </c>
      <c r="F28" s="7" t="s">
        <v>14</v>
      </c>
      <c r="G28" s="20" t="s">
        <v>127</v>
      </c>
      <c r="H28" s="21" t="s">
        <v>36</v>
      </c>
      <c r="I28" s="21" t="s">
        <v>54</v>
      </c>
      <c r="J28" s="8"/>
      <c r="K28" s="20" t="s">
        <v>18</v>
      </c>
      <c r="L28" s="20" t="s">
        <v>19</v>
      </c>
      <c r="M28" s="21" t="s">
        <v>125</v>
      </c>
      <c r="N28" s="8"/>
      <c r="O28" s="20" t="s">
        <v>21</v>
      </c>
      <c r="P28" s="20" t="s">
        <v>52</v>
      </c>
      <c r="Q28" s="21" t="s">
        <v>55</v>
      </c>
      <c r="R28" s="8"/>
      <c r="S28" s="31" t="str">
        <f>"405,0"</f>
        <v>405,0</v>
      </c>
      <c r="T28" s="8" t="str">
        <f>"346,4775"</f>
        <v>346,4775</v>
      </c>
      <c r="U28" s="7"/>
    </row>
    <row r="29" spans="1:21">
      <c r="B29" s="5" t="s">
        <v>149</v>
      </c>
    </row>
    <row r="30" spans="1:21" ht="16">
      <c r="A30" s="70" t="s">
        <v>168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21">
      <c r="A31" s="8" t="s">
        <v>148</v>
      </c>
      <c r="B31" s="7" t="s">
        <v>284</v>
      </c>
      <c r="C31" s="7" t="s">
        <v>285</v>
      </c>
      <c r="D31" s="7" t="s">
        <v>286</v>
      </c>
      <c r="E31" s="7" t="s">
        <v>573</v>
      </c>
      <c r="F31" s="7" t="s">
        <v>14</v>
      </c>
      <c r="G31" s="20" t="s">
        <v>236</v>
      </c>
      <c r="H31" s="20" t="s">
        <v>237</v>
      </c>
      <c r="I31" s="20" t="s">
        <v>26</v>
      </c>
      <c r="J31" s="8"/>
      <c r="K31" s="20" t="s">
        <v>159</v>
      </c>
      <c r="L31" s="20" t="s">
        <v>250</v>
      </c>
      <c r="M31" s="21" t="s">
        <v>236</v>
      </c>
      <c r="N31" s="8"/>
      <c r="O31" s="20" t="s">
        <v>164</v>
      </c>
      <c r="P31" s="20" t="s">
        <v>19</v>
      </c>
      <c r="Q31" s="20" t="s">
        <v>126</v>
      </c>
      <c r="R31" s="8"/>
      <c r="S31" s="31" t="str">
        <f>"277,5"</f>
        <v>277,5</v>
      </c>
      <c r="T31" s="8" t="str">
        <f>"220,3905"</f>
        <v>220,3905</v>
      </c>
      <c r="U31" s="7" t="s">
        <v>544</v>
      </c>
    </row>
    <row r="32" spans="1:21">
      <c r="B32" s="5" t="s">
        <v>149</v>
      </c>
    </row>
    <row r="33" spans="1:21" ht="16">
      <c r="A33" s="70" t="s">
        <v>22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</row>
    <row r="34" spans="1:21">
      <c r="A34" s="8" t="s">
        <v>148</v>
      </c>
      <c r="B34" s="7" t="s">
        <v>287</v>
      </c>
      <c r="C34" s="7" t="s">
        <v>288</v>
      </c>
      <c r="D34" s="7" t="s">
        <v>289</v>
      </c>
      <c r="E34" s="7" t="s">
        <v>571</v>
      </c>
      <c r="F34" s="7" t="s">
        <v>193</v>
      </c>
      <c r="G34" s="21" t="s">
        <v>21</v>
      </c>
      <c r="H34" s="20" t="s">
        <v>21</v>
      </c>
      <c r="I34" s="20" t="s">
        <v>52</v>
      </c>
      <c r="J34" s="8"/>
      <c r="K34" s="20" t="s">
        <v>37</v>
      </c>
      <c r="L34" s="20" t="s">
        <v>15</v>
      </c>
      <c r="M34" s="21" t="s">
        <v>45</v>
      </c>
      <c r="N34" s="8"/>
      <c r="O34" s="20" t="s">
        <v>290</v>
      </c>
      <c r="P34" s="21" t="s">
        <v>33</v>
      </c>
      <c r="Q34" s="21" t="s">
        <v>33</v>
      </c>
      <c r="R34" s="8"/>
      <c r="S34" s="31" t="str">
        <f>"542,5"</f>
        <v>542,5</v>
      </c>
      <c r="T34" s="8" t="str">
        <f>"394,4518"</f>
        <v>394,4518</v>
      </c>
      <c r="U34" s="7"/>
    </row>
    <row r="35" spans="1:21">
      <c r="B35" s="5" t="s">
        <v>149</v>
      </c>
    </row>
    <row r="36" spans="1:21" ht="16">
      <c r="A36" s="70" t="s">
        <v>28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</row>
    <row r="37" spans="1:21">
      <c r="A37" s="10" t="s">
        <v>148</v>
      </c>
      <c r="B37" s="9" t="s">
        <v>291</v>
      </c>
      <c r="C37" s="9" t="s">
        <v>292</v>
      </c>
      <c r="D37" s="9" t="s">
        <v>293</v>
      </c>
      <c r="E37" s="9" t="s">
        <v>571</v>
      </c>
      <c r="F37" s="9" t="s">
        <v>14</v>
      </c>
      <c r="G37" s="22" t="s">
        <v>52</v>
      </c>
      <c r="H37" s="22" t="s">
        <v>55</v>
      </c>
      <c r="I37" s="27" t="s">
        <v>73</v>
      </c>
      <c r="J37" s="10"/>
      <c r="K37" s="22" t="s">
        <v>125</v>
      </c>
      <c r="L37" s="27" t="s">
        <v>126</v>
      </c>
      <c r="M37" s="27" t="s">
        <v>126</v>
      </c>
      <c r="N37" s="10"/>
      <c r="O37" s="22" t="s">
        <v>294</v>
      </c>
      <c r="P37" s="22" t="s">
        <v>186</v>
      </c>
      <c r="Q37" s="22" t="s">
        <v>96</v>
      </c>
      <c r="R37" s="10"/>
      <c r="S37" s="29" t="str">
        <f>"502,5"</f>
        <v>502,5</v>
      </c>
      <c r="T37" s="10" t="str">
        <f>"352,9058"</f>
        <v>352,9058</v>
      </c>
      <c r="U37" s="9"/>
    </row>
    <row r="38" spans="1:21">
      <c r="A38" s="14" t="s">
        <v>151</v>
      </c>
      <c r="B38" s="13" t="s">
        <v>295</v>
      </c>
      <c r="C38" s="13" t="s">
        <v>296</v>
      </c>
      <c r="D38" s="13" t="s">
        <v>297</v>
      </c>
      <c r="E38" s="13" t="s">
        <v>571</v>
      </c>
      <c r="F38" s="13" t="s">
        <v>14</v>
      </c>
      <c r="G38" s="25" t="s">
        <v>21</v>
      </c>
      <c r="H38" s="26" t="s">
        <v>52</v>
      </c>
      <c r="I38" s="26" t="s">
        <v>52</v>
      </c>
      <c r="J38" s="14"/>
      <c r="K38" s="25" t="s">
        <v>126</v>
      </c>
      <c r="L38" s="25" t="s">
        <v>127</v>
      </c>
      <c r="M38" s="25" t="s">
        <v>280</v>
      </c>
      <c r="N38" s="14"/>
      <c r="O38" s="25" t="s">
        <v>73</v>
      </c>
      <c r="P38" s="25" t="s">
        <v>128</v>
      </c>
      <c r="Q38" s="26" t="s">
        <v>33</v>
      </c>
      <c r="R38" s="14"/>
      <c r="S38" s="30" t="str">
        <f>"502,5"</f>
        <v>502,5</v>
      </c>
      <c r="T38" s="14" t="str">
        <f>"342,8055"</f>
        <v>342,8055</v>
      </c>
      <c r="U38" s="13"/>
    </row>
    <row r="39" spans="1:21">
      <c r="B39" s="5" t="s">
        <v>149</v>
      </c>
    </row>
    <row r="40" spans="1:21" ht="16">
      <c r="A40" s="70" t="s">
        <v>10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1:21">
      <c r="A41" s="10" t="s">
        <v>148</v>
      </c>
      <c r="B41" s="9" t="s">
        <v>298</v>
      </c>
      <c r="C41" s="9" t="s">
        <v>299</v>
      </c>
      <c r="D41" s="9" t="s">
        <v>300</v>
      </c>
      <c r="E41" s="9" t="s">
        <v>570</v>
      </c>
      <c r="F41" s="9" t="s">
        <v>14</v>
      </c>
      <c r="G41" s="27" t="s">
        <v>45</v>
      </c>
      <c r="H41" s="22" t="s">
        <v>16</v>
      </c>
      <c r="I41" s="22" t="s">
        <v>203</v>
      </c>
      <c r="J41" s="10"/>
      <c r="K41" s="22" t="s">
        <v>126</v>
      </c>
      <c r="L41" s="22" t="s">
        <v>127</v>
      </c>
      <c r="M41" s="22" t="s">
        <v>280</v>
      </c>
      <c r="N41" s="10"/>
      <c r="O41" s="27" t="s">
        <v>45</v>
      </c>
      <c r="P41" s="22" t="s">
        <v>16</v>
      </c>
      <c r="Q41" s="22" t="s">
        <v>21</v>
      </c>
      <c r="R41" s="10"/>
      <c r="S41" s="29" t="str">
        <f>"457,5"</f>
        <v>457,5</v>
      </c>
      <c r="T41" s="10" t="str">
        <f>"304,5120"</f>
        <v>304,5120</v>
      </c>
      <c r="U41" s="9" t="s">
        <v>546</v>
      </c>
    </row>
    <row r="42" spans="1:21">
      <c r="A42" s="12" t="s">
        <v>148</v>
      </c>
      <c r="B42" s="11" t="s">
        <v>301</v>
      </c>
      <c r="C42" s="11" t="s">
        <v>302</v>
      </c>
      <c r="D42" s="11" t="s">
        <v>303</v>
      </c>
      <c r="E42" s="11" t="s">
        <v>571</v>
      </c>
      <c r="F42" s="11" t="s">
        <v>14</v>
      </c>
      <c r="G42" s="23" t="s">
        <v>107</v>
      </c>
      <c r="H42" s="24" t="s">
        <v>52</v>
      </c>
      <c r="I42" s="24" t="s">
        <v>55</v>
      </c>
      <c r="J42" s="12"/>
      <c r="K42" s="23" t="s">
        <v>125</v>
      </c>
      <c r="L42" s="23" t="s">
        <v>127</v>
      </c>
      <c r="M42" s="24" t="s">
        <v>53</v>
      </c>
      <c r="N42" s="12"/>
      <c r="O42" s="23" t="s">
        <v>224</v>
      </c>
      <c r="P42" s="23" t="s">
        <v>35</v>
      </c>
      <c r="Q42" s="23" t="s">
        <v>304</v>
      </c>
      <c r="R42" s="12"/>
      <c r="S42" s="32" t="str">
        <f>"547,5"</f>
        <v>547,5</v>
      </c>
      <c r="T42" s="12" t="str">
        <f>"354,5062"</f>
        <v>354,5062</v>
      </c>
      <c r="U42" s="11" t="s">
        <v>547</v>
      </c>
    </row>
    <row r="43" spans="1:21">
      <c r="A43" s="12" t="s">
        <v>151</v>
      </c>
      <c r="B43" s="11" t="s">
        <v>305</v>
      </c>
      <c r="C43" s="11" t="s">
        <v>306</v>
      </c>
      <c r="D43" s="11" t="s">
        <v>307</v>
      </c>
      <c r="E43" s="11" t="s">
        <v>571</v>
      </c>
      <c r="F43" s="11" t="s">
        <v>14</v>
      </c>
      <c r="G43" s="23" t="s">
        <v>203</v>
      </c>
      <c r="H43" s="23" t="s">
        <v>52</v>
      </c>
      <c r="I43" s="24" t="s">
        <v>55</v>
      </c>
      <c r="J43" s="12"/>
      <c r="K43" s="23" t="s">
        <v>53</v>
      </c>
      <c r="L43" s="23" t="s">
        <v>54</v>
      </c>
      <c r="M43" s="24" t="s">
        <v>37</v>
      </c>
      <c r="N43" s="12"/>
      <c r="O43" s="23" t="s">
        <v>95</v>
      </c>
      <c r="P43" s="23" t="s">
        <v>80</v>
      </c>
      <c r="Q43" s="23" t="s">
        <v>308</v>
      </c>
      <c r="R43" s="12"/>
      <c r="S43" s="32" t="str">
        <f>"530,0"</f>
        <v>530,0</v>
      </c>
      <c r="T43" s="12" t="str">
        <f>"341,1080"</f>
        <v>341,1080</v>
      </c>
      <c r="U43" s="11" t="s">
        <v>548</v>
      </c>
    </row>
    <row r="44" spans="1:21">
      <c r="A44" s="14" t="s">
        <v>150</v>
      </c>
      <c r="B44" s="13" t="s">
        <v>309</v>
      </c>
      <c r="C44" s="13" t="s">
        <v>310</v>
      </c>
      <c r="D44" s="13" t="s">
        <v>311</v>
      </c>
      <c r="E44" s="13" t="s">
        <v>571</v>
      </c>
      <c r="F44" s="13" t="s">
        <v>193</v>
      </c>
      <c r="G44" s="26" t="s">
        <v>21</v>
      </c>
      <c r="H44" s="26" t="s">
        <v>21</v>
      </c>
      <c r="I44" s="26" t="s">
        <v>21</v>
      </c>
      <c r="J44" s="14"/>
      <c r="K44" s="26"/>
      <c r="L44" s="14"/>
      <c r="M44" s="14"/>
      <c r="N44" s="14"/>
      <c r="O44" s="26"/>
      <c r="P44" s="14"/>
      <c r="Q44" s="14"/>
      <c r="R44" s="14"/>
      <c r="S44" s="30">
        <v>0</v>
      </c>
      <c r="T44" s="14" t="str">
        <f>"0,0000"</f>
        <v>0,0000</v>
      </c>
      <c r="U44" s="13"/>
    </row>
    <row r="45" spans="1:21">
      <c r="B45" s="5" t="s">
        <v>149</v>
      </c>
    </row>
    <row r="46" spans="1:21" ht="16">
      <c r="A46" s="70" t="s">
        <v>74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</row>
    <row r="47" spans="1:21">
      <c r="A47" s="8" t="s">
        <v>148</v>
      </c>
      <c r="B47" s="7" t="s">
        <v>312</v>
      </c>
      <c r="C47" s="7" t="s">
        <v>313</v>
      </c>
      <c r="D47" s="7" t="s">
        <v>314</v>
      </c>
      <c r="E47" s="7" t="s">
        <v>571</v>
      </c>
      <c r="F47" s="7" t="s">
        <v>14</v>
      </c>
      <c r="G47" s="20" t="s">
        <v>21</v>
      </c>
      <c r="H47" s="20" t="s">
        <v>52</v>
      </c>
      <c r="I47" s="21" t="s">
        <v>55</v>
      </c>
      <c r="J47" s="8"/>
      <c r="K47" s="21" t="s">
        <v>126</v>
      </c>
      <c r="L47" s="20" t="s">
        <v>127</v>
      </c>
      <c r="M47" s="20" t="s">
        <v>53</v>
      </c>
      <c r="N47" s="8"/>
      <c r="O47" s="21" t="s">
        <v>55</v>
      </c>
      <c r="P47" s="21" t="s">
        <v>73</v>
      </c>
      <c r="Q47" s="20" t="s">
        <v>73</v>
      </c>
      <c r="R47" s="8"/>
      <c r="S47" s="31" t="str">
        <f>"505,0"</f>
        <v>505,0</v>
      </c>
      <c r="T47" s="8" t="str">
        <f>"302,3940"</f>
        <v>302,3940</v>
      </c>
      <c r="U47" s="7" t="s">
        <v>546</v>
      </c>
    </row>
    <row r="48" spans="1:21">
      <c r="B48" s="5" t="s">
        <v>149</v>
      </c>
    </row>
    <row r="49" spans="2:6">
      <c r="B49" s="5" t="s">
        <v>149</v>
      </c>
    </row>
    <row r="50" spans="2:6">
      <c r="B50" s="5" t="s">
        <v>149</v>
      </c>
    </row>
    <row r="51" spans="2:6" ht="18">
      <c r="B51" s="15" t="s">
        <v>129</v>
      </c>
      <c r="C51" s="15"/>
      <c r="F51" s="3"/>
    </row>
    <row r="52" spans="2:6" ht="16">
      <c r="B52" s="16" t="s">
        <v>130</v>
      </c>
      <c r="C52" s="16"/>
      <c r="F52" s="3"/>
    </row>
    <row r="53" spans="2:6" ht="14">
      <c r="B53" s="17"/>
      <c r="C53" s="18" t="s">
        <v>131</v>
      </c>
      <c r="F53" s="3"/>
    </row>
    <row r="54" spans="2:6" ht="14">
      <c r="B54" s="19" t="s">
        <v>132</v>
      </c>
      <c r="C54" s="19" t="s">
        <v>133</v>
      </c>
      <c r="D54" s="19" t="s">
        <v>542</v>
      </c>
      <c r="E54" s="19" t="s">
        <v>134</v>
      </c>
      <c r="F54" s="19" t="s">
        <v>135</v>
      </c>
    </row>
    <row r="55" spans="2:6">
      <c r="B55" s="5" t="s">
        <v>253</v>
      </c>
      <c r="C55" s="5" t="s">
        <v>131</v>
      </c>
      <c r="D55" s="6" t="s">
        <v>318</v>
      </c>
      <c r="E55" s="6" t="s">
        <v>319</v>
      </c>
      <c r="F55" s="6" t="s">
        <v>320</v>
      </c>
    </row>
    <row r="56" spans="2:6">
      <c r="B56" s="5" t="s">
        <v>271</v>
      </c>
      <c r="C56" s="5" t="s">
        <v>131</v>
      </c>
      <c r="D56" s="6" t="s">
        <v>321</v>
      </c>
      <c r="E56" s="6" t="s">
        <v>88</v>
      </c>
      <c r="F56" s="6" t="s">
        <v>322</v>
      </c>
    </row>
    <row r="57" spans="2:6">
      <c r="B57" s="5" t="s">
        <v>275</v>
      </c>
      <c r="C57" s="5" t="s">
        <v>131</v>
      </c>
      <c r="D57" s="6" t="s">
        <v>321</v>
      </c>
      <c r="E57" s="6" t="s">
        <v>207</v>
      </c>
      <c r="F57" s="6" t="s">
        <v>323</v>
      </c>
    </row>
    <row r="59" spans="2:6" ht="16">
      <c r="B59" s="16" t="s">
        <v>137</v>
      </c>
      <c r="C59" s="16"/>
    </row>
    <row r="60" spans="2:6" ht="14">
      <c r="B60" s="17"/>
      <c r="C60" s="18" t="s">
        <v>131</v>
      </c>
    </row>
    <row r="61" spans="2:6" ht="14">
      <c r="B61" s="19" t="s">
        <v>132</v>
      </c>
      <c r="C61" s="19" t="s">
        <v>133</v>
      </c>
      <c r="D61" s="19" t="s">
        <v>542</v>
      </c>
      <c r="E61" s="19" t="s">
        <v>134</v>
      </c>
      <c r="F61" s="19" t="s">
        <v>135</v>
      </c>
    </row>
    <row r="62" spans="2:6">
      <c r="B62" s="5" t="s">
        <v>287</v>
      </c>
      <c r="C62" s="5" t="s">
        <v>131</v>
      </c>
      <c r="D62" s="6" t="s">
        <v>321</v>
      </c>
      <c r="E62" s="6" t="s">
        <v>324</v>
      </c>
      <c r="F62" s="6" t="s">
        <v>325</v>
      </c>
    </row>
    <row r="63" spans="2:6">
      <c r="B63" s="5" t="s">
        <v>301</v>
      </c>
      <c r="C63" s="5" t="s">
        <v>131</v>
      </c>
      <c r="D63" s="6" t="s">
        <v>136</v>
      </c>
      <c r="E63" s="6" t="s">
        <v>326</v>
      </c>
      <c r="F63" s="6" t="s">
        <v>327</v>
      </c>
    </row>
    <row r="64" spans="2:6">
      <c r="B64" s="5" t="s">
        <v>291</v>
      </c>
      <c r="C64" s="5" t="s">
        <v>131</v>
      </c>
      <c r="D64" s="6" t="s">
        <v>198</v>
      </c>
      <c r="E64" s="6" t="s">
        <v>328</v>
      </c>
      <c r="F64" s="6" t="s">
        <v>329</v>
      </c>
    </row>
    <row r="65" spans="2:2">
      <c r="B65" s="5" t="s">
        <v>149</v>
      </c>
    </row>
  </sheetData>
  <mergeCells count="25">
    <mergeCell ref="A30:R30"/>
    <mergeCell ref="A33:R33"/>
    <mergeCell ref="A36:R36"/>
    <mergeCell ref="A40:R40"/>
    <mergeCell ref="A46:R46"/>
    <mergeCell ref="A22:R22"/>
    <mergeCell ref="A27:R27"/>
    <mergeCell ref="S3:S4"/>
    <mergeCell ref="T3:T4"/>
    <mergeCell ref="U3:U4"/>
    <mergeCell ref="A5:R5"/>
    <mergeCell ref="B3:B4"/>
    <mergeCell ref="A9:R9"/>
    <mergeCell ref="A12:R12"/>
    <mergeCell ref="A16:R16"/>
    <mergeCell ref="A19:R19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4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" style="5" bestFit="1" customWidth="1"/>
    <col min="14" max="16384" width="9.1640625" style="3"/>
  </cols>
  <sheetData>
    <row r="1" spans="1:13" s="2" customFormat="1" ht="29" customHeight="1">
      <c r="A1" s="57" t="s">
        <v>534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9</v>
      </c>
      <c r="H3" s="69"/>
      <c r="I3" s="69"/>
      <c r="J3" s="69"/>
      <c r="K3" s="69" t="s">
        <v>448</v>
      </c>
      <c r="L3" s="69" t="s">
        <v>3</v>
      </c>
      <c r="M3" s="73" t="s">
        <v>2</v>
      </c>
    </row>
    <row r="4" spans="1:13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4"/>
    </row>
    <row r="5" spans="1:13" ht="16">
      <c r="A5" s="75" t="s">
        <v>168</v>
      </c>
      <c r="B5" s="75"/>
      <c r="C5" s="76"/>
      <c r="D5" s="76"/>
      <c r="E5" s="76"/>
      <c r="F5" s="76"/>
      <c r="G5" s="76"/>
      <c r="H5" s="76"/>
      <c r="I5" s="76"/>
      <c r="J5" s="76"/>
    </row>
    <row r="6" spans="1:13">
      <c r="A6" s="8" t="s">
        <v>148</v>
      </c>
      <c r="B6" s="7" t="s">
        <v>169</v>
      </c>
      <c r="C6" s="7" t="s">
        <v>170</v>
      </c>
      <c r="D6" s="7" t="s">
        <v>171</v>
      </c>
      <c r="E6" s="7" t="s">
        <v>571</v>
      </c>
      <c r="F6" s="7" t="s">
        <v>14</v>
      </c>
      <c r="G6" s="20" t="s">
        <v>125</v>
      </c>
      <c r="H6" s="20" t="s">
        <v>126</v>
      </c>
      <c r="I6" s="20" t="s">
        <v>167</v>
      </c>
      <c r="J6" s="8"/>
      <c r="K6" s="8" t="str">
        <f>"117,5"</f>
        <v>117,5</v>
      </c>
      <c r="L6" s="8" t="str">
        <f>"123,6923"</f>
        <v>123,6923</v>
      </c>
      <c r="M6" s="7" t="s">
        <v>546</v>
      </c>
    </row>
    <row r="7" spans="1:13">
      <c r="B7" s="5" t="s">
        <v>149</v>
      </c>
    </row>
    <row r="8" spans="1:13" ht="16">
      <c r="A8" s="70" t="s">
        <v>74</v>
      </c>
      <c r="B8" s="70"/>
      <c r="C8" s="70"/>
      <c r="D8" s="70"/>
      <c r="E8" s="70"/>
      <c r="F8" s="70"/>
      <c r="G8" s="70"/>
      <c r="H8" s="70"/>
      <c r="I8" s="70"/>
      <c r="J8" s="70"/>
    </row>
    <row r="9" spans="1:13">
      <c r="A9" s="10" t="s">
        <v>148</v>
      </c>
      <c r="B9" s="9" t="s">
        <v>75</v>
      </c>
      <c r="C9" s="9" t="s">
        <v>76</v>
      </c>
      <c r="D9" s="9" t="s">
        <v>77</v>
      </c>
      <c r="E9" s="9" t="s">
        <v>571</v>
      </c>
      <c r="F9" s="9" t="s">
        <v>14</v>
      </c>
      <c r="G9" s="22" t="s">
        <v>81</v>
      </c>
      <c r="H9" s="22" t="s">
        <v>82</v>
      </c>
      <c r="I9" s="27" t="s">
        <v>83</v>
      </c>
      <c r="J9" s="10"/>
      <c r="K9" s="10" t="str">
        <f>"335,0"</f>
        <v>335,0</v>
      </c>
      <c r="L9" s="10" t="str">
        <f>"198,3535"</f>
        <v>198,3535</v>
      </c>
      <c r="M9" s="9"/>
    </row>
    <row r="10" spans="1:13">
      <c r="A10" s="14" t="s">
        <v>151</v>
      </c>
      <c r="B10" s="13" t="s">
        <v>521</v>
      </c>
      <c r="C10" s="13" t="s">
        <v>522</v>
      </c>
      <c r="D10" s="13" t="s">
        <v>523</v>
      </c>
      <c r="E10" s="13" t="s">
        <v>571</v>
      </c>
      <c r="F10" s="13" t="s">
        <v>14</v>
      </c>
      <c r="G10" s="25" t="s">
        <v>102</v>
      </c>
      <c r="H10" s="26" t="s">
        <v>79</v>
      </c>
      <c r="I10" s="26" t="s">
        <v>79</v>
      </c>
      <c r="J10" s="14"/>
      <c r="K10" s="14" t="str">
        <f>"285,0"</f>
        <v>285,0</v>
      </c>
      <c r="L10" s="14" t="str">
        <f>"171,1140"</f>
        <v>171,1140</v>
      </c>
      <c r="M10" s="13" t="s">
        <v>544</v>
      </c>
    </row>
    <row r="11" spans="1:13">
      <c r="B11" s="5" t="s">
        <v>149</v>
      </c>
    </row>
    <row r="12" spans="1:13" ht="16">
      <c r="A12" s="70" t="s">
        <v>91</v>
      </c>
      <c r="B12" s="70"/>
      <c r="C12" s="70"/>
      <c r="D12" s="70"/>
      <c r="E12" s="70"/>
      <c r="F12" s="70"/>
      <c r="G12" s="70"/>
      <c r="H12" s="70"/>
      <c r="I12" s="70"/>
      <c r="J12" s="70"/>
    </row>
    <row r="13" spans="1:13">
      <c r="A13" s="8" t="s">
        <v>148</v>
      </c>
      <c r="B13" s="7" t="s">
        <v>524</v>
      </c>
      <c r="C13" s="7" t="s">
        <v>525</v>
      </c>
      <c r="D13" s="7" t="s">
        <v>430</v>
      </c>
      <c r="E13" s="7" t="s">
        <v>571</v>
      </c>
      <c r="F13" s="7" t="s">
        <v>14</v>
      </c>
      <c r="G13" s="20" t="s">
        <v>60</v>
      </c>
      <c r="H13" s="20" t="s">
        <v>218</v>
      </c>
      <c r="I13" s="8"/>
      <c r="J13" s="8"/>
      <c r="K13" s="8" t="str">
        <f>"262,5"</f>
        <v>262,5</v>
      </c>
      <c r="L13" s="8" t="str">
        <f>"153,8250"</f>
        <v>153,8250</v>
      </c>
      <c r="M13" s="7" t="s">
        <v>551</v>
      </c>
    </row>
    <row r="14" spans="1:13">
      <c r="B14" s="5" t="s">
        <v>149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9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7" style="5" bestFit="1" customWidth="1"/>
    <col min="22" max="16384" width="9.1640625" style="3"/>
  </cols>
  <sheetData>
    <row r="1" spans="1:21" s="2" customFormat="1" ht="29" customHeight="1">
      <c r="A1" s="57" t="s">
        <v>538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7</v>
      </c>
      <c r="H3" s="69"/>
      <c r="I3" s="69"/>
      <c r="J3" s="69"/>
      <c r="K3" s="69" t="s">
        <v>8</v>
      </c>
      <c r="L3" s="69"/>
      <c r="M3" s="69"/>
      <c r="N3" s="69"/>
      <c r="O3" s="69" t="s">
        <v>9</v>
      </c>
      <c r="P3" s="69"/>
      <c r="Q3" s="69"/>
      <c r="R3" s="69"/>
      <c r="S3" s="69" t="s">
        <v>1</v>
      </c>
      <c r="T3" s="69" t="s">
        <v>3</v>
      </c>
      <c r="U3" s="73" t="s">
        <v>2</v>
      </c>
    </row>
    <row r="4" spans="1:21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8"/>
      <c r="T4" s="68"/>
      <c r="U4" s="74"/>
    </row>
    <row r="5" spans="1:21" ht="16">
      <c r="A5" s="75" t="s">
        <v>28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21">
      <c r="A6" s="8" t="s">
        <v>148</v>
      </c>
      <c r="B6" s="7" t="s">
        <v>200</v>
      </c>
      <c r="C6" s="7" t="s">
        <v>201</v>
      </c>
      <c r="D6" s="7" t="s">
        <v>202</v>
      </c>
      <c r="E6" s="7" t="s">
        <v>571</v>
      </c>
      <c r="F6" s="7" t="s">
        <v>14</v>
      </c>
      <c r="G6" s="21" t="s">
        <v>73</v>
      </c>
      <c r="H6" s="21" t="s">
        <v>73</v>
      </c>
      <c r="I6" s="20" t="s">
        <v>73</v>
      </c>
      <c r="J6" s="8"/>
      <c r="K6" s="20" t="s">
        <v>15</v>
      </c>
      <c r="L6" s="21" t="s">
        <v>16</v>
      </c>
      <c r="M6" s="21" t="s">
        <v>203</v>
      </c>
      <c r="N6" s="8"/>
      <c r="O6" s="20" t="s">
        <v>35</v>
      </c>
      <c r="P6" s="20" t="s">
        <v>98</v>
      </c>
      <c r="Q6" s="21" t="s">
        <v>66</v>
      </c>
      <c r="R6" s="8"/>
      <c r="S6" s="8" t="str">
        <f>"610,0"</f>
        <v>610,0</v>
      </c>
      <c r="T6" s="8" t="str">
        <f>"412,2990"</f>
        <v>412,2990</v>
      </c>
      <c r="U6" s="7"/>
    </row>
    <row r="7" spans="1:21">
      <c r="B7" s="5" t="s">
        <v>149</v>
      </c>
    </row>
    <row r="8" spans="1:21" ht="16">
      <c r="A8" s="70" t="s">
        <v>68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21">
      <c r="A9" s="10" t="s">
        <v>148</v>
      </c>
      <c r="B9" s="9" t="s">
        <v>204</v>
      </c>
      <c r="C9" s="9" t="s">
        <v>205</v>
      </c>
      <c r="D9" s="9" t="s">
        <v>206</v>
      </c>
      <c r="E9" s="9" t="s">
        <v>570</v>
      </c>
      <c r="F9" s="9" t="s">
        <v>14</v>
      </c>
      <c r="G9" s="22" t="s">
        <v>78</v>
      </c>
      <c r="H9" s="22" t="s">
        <v>207</v>
      </c>
      <c r="I9" s="22" t="s">
        <v>208</v>
      </c>
      <c r="J9" s="10"/>
      <c r="K9" s="22" t="s">
        <v>55</v>
      </c>
      <c r="L9" s="22" t="s">
        <v>73</v>
      </c>
      <c r="M9" s="22" t="s">
        <v>97</v>
      </c>
      <c r="N9" s="10"/>
      <c r="O9" s="22" t="s">
        <v>117</v>
      </c>
      <c r="P9" s="22" t="s">
        <v>82</v>
      </c>
      <c r="Q9" s="27" t="s">
        <v>209</v>
      </c>
      <c r="R9" s="10"/>
      <c r="S9" s="10" t="str">
        <f>"855,0"</f>
        <v>855,0</v>
      </c>
      <c r="T9" s="10" t="str">
        <f>"521,2080"</f>
        <v>521,2080</v>
      </c>
      <c r="U9" s="9" t="s">
        <v>550</v>
      </c>
    </row>
    <row r="10" spans="1:21">
      <c r="A10" s="12" t="s">
        <v>151</v>
      </c>
      <c r="B10" s="11" t="s">
        <v>210</v>
      </c>
      <c r="C10" s="11" t="s">
        <v>211</v>
      </c>
      <c r="D10" s="11" t="s">
        <v>212</v>
      </c>
      <c r="E10" s="11" t="s">
        <v>570</v>
      </c>
      <c r="F10" s="11" t="s">
        <v>14</v>
      </c>
      <c r="G10" s="24" t="s">
        <v>95</v>
      </c>
      <c r="H10" s="23" t="s">
        <v>80</v>
      </c>
      <c r="I10" s="23" t="s">
        <v>33</v>
      </c>
      <c r="J10" s="12"/>
      <c r="K10" s="23" t="s">
        <v>213</v>
      </c>
      <c r="L10" s="24" t="s">
        <v>72</v>
      </c>
      <c r="M10" s="23" t="s">
        <v>15</v>
      </c>
      <c r="N10" s="12"/>
      <c r="O10" s="23" t="s">
        <v>95</v>
      </c>
      <c r="P10" s="23" t="s">
        <v>80</v>
      </c>
      <c r="Q10" s="24" t="s">
        <v>46</v>
      </c>
      <c r="R10" s="12"/>
      <c r="S10" s="12" t="str">
        <f>"575,0"</f>
        <v>575,0</v>
      </c>
      <c r="T10" s="12" t="str">
        <f>"353,2800"</f>
        <v>353,2800</v>
      </c>
      <c r="U10" s="11" t="s">
        <v>546</v>
      </c>
    </row>
    <row r="11" spans="1:21">
      <c r="A11" s="14" t="s">
        <v>148</v>
      </c>
      <c r="B11" s="13" t="s">
        <v>204</v>
      </c>
      <c r="C11" s="13" t="s">
        <v>214</v>
      </c>
      <c r="D11" s="13" t="s">
        <v>206</v>
      </c>
      <c r="E11" s="13" t="s">
        <v>571</v>
      </c>
      <c r="F11" s="13" t="s">
        <v>14</v>
      </c>
      <c r="G11" s="25" t="s">
        <v>78</v>
      </c>
      <c r="H11" s="25" t="s">
        <v>207</v>
      </c>
      <c r="I11" s="25" t="s">
        <v>208</v>
      </c>
      <c r="J11" s="14"/>
      <c r="K11" s="25" t="s">
        <v>55</v>
      </c>
      <c r="L11" s="25" t="s">
        <v>73</v>
      </c>
      <c r="M11" s="25" t="s">
        <v>97</v>
      </c>
      <c r="N11" s="14"/>
      <c r="O11" s="25" t="s">
        <v>117</v>
      </c>
      <c r="P11" s="25" t="s">
        <v>82</v>
      </c>
      <c r="Q11" s="26" t="s">
        <v>209</v>
      </c>
      <c r="R11" s="14"/>
      <c r="S11" s="14" t="str">
        <f>"855,0"</f>
        <v>855,0</v>
      </c>
      <c r="T11" s="14" t="str">
        <f>"521,2080"</f>
        <v>521,2080</v>
      </c>
      <c r="U11" s="13" t="s">
        <v>550</v>
      </c>
    </row>
    <row r="12" spans="1:21">
      <c r="B12" s="5" t="s">
        <v>149</v>
      </c>
    </row>
    <row r="13" spans="1:21" ht="16">
      <c r="A13" s="70" t="s">
        <v>74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21">
      <c r="A14" s="8" t="s">
        <v>148</v>
      </c>
      <c r="B14" s="7" t="s">
        <v>215</v>
      </c>
      <c r="C14" s="7" t="s">
        <v>216</v>
      </c>
      <c r="D14" s="7" t="s">
        <v>217</v>
      </c>
      <c r="E14" s="7" t="s">
        <v>571</v>
      </c>
      <c r="F14" s="7" t="s">
        <v>14</v>
      </c>
      <c r="G14" s="20" t="s">
        <v>98</v>
      </c>
      <c r="H14" s="20" t="s">
        <v>89</v>
      </c>
      <c r="I14" s="21" t="s">
        <v>103</v>
      </c>
      <c r="J14" s="8"/>
      <c r="K14" s="20" t="s">
        <v>52</v>
      </c>
      <c r="L14" s="20" t="s">
        <v>186</v>
      </c>
      <c r="M14" s="8"/>
      <c r="N14" s="8"/>
      <c r="O14" s="20" t="s">
        <v>60</v>
      </c>
      <c r="P14" s="20" t="s">
        <v>218</v>
      </c>
      <c r="Q14" s="21" t="s">
        <v>66</v>
      </c>
      <c r="R14" s="8"/>
      <c r="S14" s="8" t="str">
        <f>"735,0"</f>
        <v>735,0</v>
      </c>
      <c r="T14" s="8" t="str">
        <f>"432,9150"</f>
        <v>432,9150</v>
      </c>
      <c r="U14" s="7" t="s">
        <v>551</v>
      </c>
    </row>
    <row r="15" spans="1:21">
      <c r="B15" s="5" t="s">
        <v>149</v>
      </c>
    </row>
    <row r="16" spans="1:21" ht="16">
      <c r="A16" s="70" t="s">
        <v>91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21">
      <c r="A17" s="10" t="s">
        <v>148</v>
      </c>
      <c r="B17" s="9" t="s">
        <v>219</v>
      </c>
      <c r="C17" s="9" t="s">
        <v>220</v>
      </c>
      <c r="D17" s="9" t="s">
        <v>221</v>
      </c>
      <c r="E17" s="9" t="s">
        <v>571</v>
      </c>
      <c r="F17" s="9" t="s">
        <v>222</v>
      </c>
      <c r="G17" s="22" t="s">
        <v>55</v>
      </c>
      <c r="H17" s="22" t="s">
        <v>46</v>
      </c>
      <c r="I17" s="27" t="s">
        <v>33</v>
      </c>
      <c r="J17" s="10"/>
      <c r="K17" s="22" t="s">
        <v>15</v>
      </c>
      <c r="L17" s="22" t="s">
        <v>223</v>
      </c>
      <c r="M17" s="10"/>
      <c r="N17" s="10"/>
      <c r="O17" s="22" t="s">
        <v>128</v>
      </c>
      <c r="P17" s="22" t="s">
        <v>224</v>
      </c>
      <c r="Q17" s="10"/>
      <c r="R17" s="10"/>
      <c r="S17" s="10" t="str">
        <f>"612,5"</f>
        <v>612,5</v>
      </c>
      <c r="T17" s="10" t="str">
        <f>"352,1262"</f>
        <v>352,1262</v>
      </c>
      <c r="U17" s="9" t="s">
        <v>552</v>
      </c>
    </row>
    <row r="18" spans="1:21">
      <c r="A18" s="14" t="s">
        <v>148</v>
      </c>
      <c r="B18" s="13" t="s">
        <v>225</v>
      </c>
      <c r="C18" s="13" t="s">
        <v>226</v>
      </c>
      <c r="D18" s="13" t="s">
        <v>227</v>
      </c>
      <c r="E18" s="13" t="s">
        <v>574</v>
      </c>
      <c r="F18" s="13" t="s">
        <v>549</v>
      </c>
      <c r="G18" s="25" t="s">
        <v>203</v>
      </c>
      <c r="H18" s="25" t="s">
        <v>111</v>
      </c>
      <c r="I18" s="25" t="s">
        <v>80</v>
      </c>
      <c r="J18" s="14"/>
      <c r="K18" s="25" t="s">
        <v>36</v>
      </c>
      <c r="L18" s="25" t="s">
        <v>37</v>
      </c>
      <c r="M18" s="25" t="s">
        <v>72</v>
      </c>
      <c r="N18" s="14"/>
      <c r="O18" s="25" t="s">
        <v>35</v>
      </c>
      <c r="P18" s="25" t="s">
        <v>61</v>
      </c>
      <c r="Q18" s="25" t="s">
        <v>89</v>
      </c>
      <c r="R18" s="14"/>
      <c r="S18" s="14" t="str">
        <f>"630,0"</f>
        <v>630,0</v>
      </c>
      <c r="T18" s="14" t="str">
        <f>"424,7268"</f>
        <v>424,7268</v>
      </c>
      <c r="U18" s="13"/>
    </row>
    <row r="19" spans="1:21">
      <c r="B19" s="5" t="s">
        <v>149</v>
      </c>
    </row>
  </sheetData>
  <mergeCells count="17">
    <mergeCell ref="A8:R8"/>
    <mergeCell ref="A13:R13"/>
    <mergeCell ref="A16:R16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19" style="5" bestFit="1" customWidth="1"/>
    <col min="22" max="16384" width="9.1640625" style="3"/>
  </cols>
  <sheetData>
    <row r="1" spans="1:21" s="2" customFormat="1" ht="29" customHeight="1">
      <c r="A1" s="57" t="s">
        <v>539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7</v>
      </c>
      <c r="H3" s="69"/>
      <c r="I3" s="69"/>
      <c r="J3" s="69"/>
      <c r="K3" s="69" t="s">
        <v>8</v>
      </c>
      <c r="L3" s="69"/>
      <c r="M3" s="69"/>
      <c r="N3" s="69"/>
      <c r="O3" s="69" t="s">
        <v>9</v>
      </c>
      <c r="P3" s="69"/>
      <c r="Q3" s="69"/>
      <c r="R3" s="69"/>
      <c r="S3" s="71" t="s">
        <v>1</v>
      </c>
      <c r="T3" s="69" t="s">
        <v>3</v>
      </c>
      <c r="U3" s="73" t="s">
        <v>2</v>
      </c>
    </row>
    <row r="4" spans="1:21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2"/>
      <c r="T4" s="68"/>
      <c r="U4" s="74"/>
    </row>
    <row r="5" spans="1:21" ht="16">
      <c r="A5" s="75" t="s">
        <v>153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21">
      <c r="A6" s="8" t="s">
        <v>150</v>
      </c>
      <c r="B6" s="7" t="s">
        <v>154</v>
      </c>
      <c r="C6" s="7" t="s">
        <v>155</v>
      </c>
      <c r="D6" s="7" t="s">
        <v>156</v>
      </c>
      <c r="E6" s="7" t="s">
        <v>571</v>
      </c>
      <c r="F6" s="7" t="s">
        <v>14</v>
      </c>
      <c r="G6" s="21" t="s">
        <v>157</v>
      </c>
      <c r="H6" s="21" t="s">
        <v>157</v>
      </c>
      <c r="I6" s="21" t="s">
        <v>157</v>
      </c>
      <c r="J6" s="8"/>
      <c r="K6" s="21"/>
      <c r="L6" s="8"/>
      <c r="M6" s="8"/>
      <c r="N6" s="8"/>
      <c r="O6" s="21"/>
      <c r="P6" s="8"/>
      <c r="Q6" s="8"/>
      <c r="R6" s="8"/>
      <c r="S6" s="31">
        <v>0</v>
      </c>
      <c r="T6" s="8" t="str">
        <f>"0,0000"</f>
        <v>0,0000</v>
      </c>
      <c r="U6" s="7" t="s">
        <v>553</v>
      </c>
    </row>
    <row r="7" spans="1:21">
      <c r="B7" s="5" t="s">
        <v>149</v>
      </c>
    </row>
    <row r="8" spans="1:21" ht="16">
      <c r="A8" s="70" t="s">
        <v>160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21">
      <c r="A9" s="8" t="s">
        <v>148</v>
      </c>
      <c r="B9" s="7" t="s">
        <v>161</v>
      </c>
      <c r="C9" s="7" t="s">
        <v>162</v>
      </c>
      <c r="D9" s="7" t="s">
        <v>163</v>
      </c>
      <c r="E9" s="7" t="s">
        <v>571</v>
      </c>
      <c r="F9" s="7" t="s">
        <v>14</v>
      </c>
      <c r="G9" s="21" t="s">
        <v>164</v>
      </c>
      <c r="H9" s="20" t="s">
        <v>164</v>
      </c>
      <c r="I9" s="20" t="s">
        <v>18</v>
      </c>
      <c r="J9" s="8"/>
      <c r="K9" s="20" t="s">
        <v>165</v>
      </c>
      <c r="L9" s="20" t="s">
        <v>27</v>
      </c>
      <c r="M9" s="21" t="s">
        <v>166</v>
      </c>
      <c r="N9" s="8"/>
      <c r="O9" s="20" t="s">
        <v>126</v>
      </c>
      <c r="P9" s="21" t="s">
        <v>167</v>
      </c>
      <c r="Q9" s="20" t="s">
        <v>167</v>
      </c>
      <c r="R9" s="8"/>
      <c r="S9" s="31" t="str">
        <f>"272,5"</f>
        <v>272,5</v>
      </c>
      <c r="T9" s="8" t="str">
        <f>"339,6985"</f>
        <v>339,6985</v>
      </c>
      <c r="U9" s="7" t="s">
        <v>551</v>
      </c>
    </row>
    <row r="10" spans="1:21">
      <c r="B10" s="5" t="s">
        <v>149</v>
      </c>
    </row>
    <row r="11" spans="1:21" ht="16">
      <c r="A11" s="70" t="s">
        <v>168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21">
      <c r="A12" s="8" t="s">
        <v>148</v>
      </c>
      <c r="B12" s="7" t="s">
        <v>169</v>
      </c>
      <c r="C12" s="7" t="s">
        <v>170</v>
      </c>
      <c r="D12" s="7" t="s">
        <v>171</v>
      </c>
      <c r="E12" s="7" t="s">
        <v>571</v>
      </c>
      <c r="F12" s="7" t="s">
        <v>14</v>
      </c>
      <c r="G12" s="21" t="s">
        <v>19</v>
      </c>
      <c r="H12" s="20" t="s">
        <v>19</v>
      </c>
      <c r="I12" s="20" t="s">
        <v>125</v>
      </c>
      <c r="J12" s="8"/>
      <c r="K12" s="21" t="s">
        <v>166</v>
      </c>
      <c r="L12" s="20" t="s">
        <v>172</v>
      </c>
      <c r="M12" s="21" t="s">
        <v>173</v>
      </c>
      <c r="N12" s="8"/>
      <c r="O12" s="20" t="s">
        <v>125</v>
      </c>
      <c r="P12" s="20" t="s">
        <v>126</v>
      </c>
      <c r="Q12" s="20" t="s">
        <v>167</v>
      </c>
      <c r="R12" s="8"/>
      <c r="S12" s="31" t="str">
        <f>"287,5"</f>
        <v>287,5</v>
      </c>
      <c r="T12" s="8" t="str">
        <f>"302,6513"</f>
        <v>302,6513</v>
      </c>
      <c r="U12" s="7" t="s">
        <v>546</v>
      </c>
    </row>
    <row r="13" spans="1:21">
      <c r="B13" s="5" t="s">
        <v>149</v>
      </c>
    </row>
    <row r="14" spans="1:21" ht="16">
      <c r="A14" s="70" t="s">
        <v>10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21">
      <c r="A15" s="8" t="s">
        <v>148</v>
      </c>
      <c r="B15" s="7" t="s">
        <v>174</v>
      </c>
      <c r="C15" s="7" t="s">
        <v>175</v>
      </c>
      <c r="D15" s="7" t="s">
        <v>176</v>
      </c>
      <c r="E15" s="7" t="s">
        <v>571</v>
      </c>
      <c r="F15" s="7" t="s">
        <v>14</v>
      </c>
      <c r="G15" s="20" t="s">
        <v>73</v>
      </c>
      <c r="H15" s="20" t="s">
        <v>46</v>
      </c>
      <c r="I15" s="21" t="s">
        <v>177</v>
      </c>
      <c r="J15" s="8"/>
      <c r="K15" s="20" t="s">
        <v>36</v>
      </c>
      <c r="L15" s="21" t="s">
        <v>178</v>
      </c>
      <c r="M15" s="20" t="s">
        <v>178</v>
      </c>
      <c r="N15" s="8"/>
      <c r="O15" s="20" t="s">
        <v>73</v>
      </c>
      <c r="P15" s="21" t="s">
        <v>46</v>
      </c>
      <c r="Q15" s="20" t="s">
        <v>46</v>
      </c>
      <c r="R15" s="8"/>
      <c r="S15" s="31" t="str">
        <f>"565,0"</f>
        <v>565,0</v>
      </c>
      <c r="T15" s="8" t="str">
        <f>"490,2505"</f>
        <v>490,2505</v>
      </c>
      <c r="U15" s="7"/>
    </row>
    <row r="16" spans="1:21">
      <c r="B16" s="5" t="s">
        <v>149</v>
      </c>
    </row>
    <row r="17" spans="1:21" ht="16">
      <c r="A17" s="70" t="s">
        <v>28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</row>
    <row r="18" spans="1:21">
      <c r="A18" s="8" t="s">
        <v>148</v>
      </c>
      <c r="B18" s="7" t="s">
        <v>179</v>
      </c>
      <c r="C18" s="7" t="s">
        <v>180</v>
      </c>
      <c r="D18" s="7" t="s">
        <v>181</v>
      </c>
      <c r="E18" s="7" t="s">
        <v>571</v>
      </c>
      <c r="F18" s="7" t="s">
        <v>14</v>
      </c>
      <c r="G18" s="20" t="s">
        <v>55</v>
      </c>
      <c r="H18" s="21" t="s">
        <v>73</v>
      </c>
      <c r="I18" s="20" t="s">
        <v>128</v>
      </c>
      <c r="J18" s="8"/>
      <c r="K18" s="20" t="s">
        <v>19</v>
      </c>
      <c r="L18" s="21" t="s">
        <v>125</v>
      </c>
      <c r="M18" s="21" t="s">
        <v>125</v>
      </c>
      <c r="N18" s="8"/>
      <c r="O18" s="20" t="s">
        <v>46</v>
      </c>
      <c r="P18" s="20" t="s">
        <v>34</v>
      </c>
      <c r="Q18" s="21" t="s">
        <v>35</v>
      </c>
      <c r="R18" s="8"/>
      <c r="S18" s="31" t="str">
        <f>"545,0"</f>
        <v>545,0</v>
      </c>
      <c r="T18" s="8" t="str">
        <f>"369,4555"</f>
        <v>369,4555</v>
      </c>
      <c r="U18" s="7"/>
    </row>
    <row r="19" spans="1:21">
      <c r="B19" s="5" t="s">
        <v>149</v>
      </c>
    </row>
    <row r="20" spans="1:21" ht="16">
      <c r="A20" s="70" t="s">
        <v>10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21">
      <c r="A21" s="10" t="s">
        <v>148</v>
      </c>
      <c r="B21" s="9" t="s">
        <v>182</v>
      </c>
      <c r="C21" s="9" t="s">
        <v>183</v>
      </c>
      <c r="D21" s="9" t="s">
        <v>184</v>
      </c>
      <c r="E21" s="9" t="s">
        <v>570</v>
      </c>
      <c r="F21" s="9" t="s">
        <v>14</v>
      </c>
      <c r="G21" s="22" t="s">
        <v>52</v>
      </c>
      <c r="H21" s="22" t="s">
        <v>55</v>
      </c>
      <c r="I21" s="27" t="s">
        <v>73</v>
      </c>
      <c r="J21" s="10"/>
      <c r="K21" s="27" t="s">
        <v>185</v>
      </c>
      <c r="L21" s="22" t="s">
        <v>185</v>
      </c>
      <c r="M21" s="27" t="s">
        <v>54</v>
      </c>
      <c r="N21" s="10"/>
      <c r="O21" s="22" t="s">
        <v>186</v>
      </c>
      <c r="P21" s="22" t="s">
        <v>96</v>
      </c>
      <c r="Q21" s="27" t="s">
        <v>128</v>
      </c>
      <c r="R21" s="10"/>
      <c r="S21" s="29" t="str">
        <f>"520,0"</f>
        <v>520,0</v>
      </c>
      <c r="T21" s="10" t="str">
        <f>"333,3200"</f>
        <v>333,3200</v>
      </c>
      <c r="U21" s="9" t="s">
        <v>546</v>
      </c>
    </row>
    <row r="22" spans="1:21">
      <c r="A22" s="12" t="s">
        <v>150</v>
      </c>
      <c r="B22" s="11" t="s">
        <v>187</v>
      </c>
      <c r="C22" s="11" t="s">
        <v>188</v>
      </c>
      <c r="D22" s="11" t="s">
        <v>189</v>
      </c>
      <c r="E22" s="11" t="s">
        <v>570</v>
      </c>
      <c r="F22" s="11" t="s">
        <v>14</v>
      </c>
      <c r="G22" s="24" t="s">
        <v>21</v>
      </c>
      <c r="H22" s="24" t="s">
        <v>21</v>
      </c>
      <c r="I22" s="24" t="s">
        <v>21</v>
      </c>
      <c r="J22" s="12"/>
      <c r="K22" s="24"/>
      <c r="L22" s="12"/>
      <c r="M22" s="12"/>
      <c r="N22" s="12"/>
      <c r="O22" s="24"/>
      <c r="P22" s="12"/>
      <c r="Q22" s="12"/>
      <c r="R22" s="12"/>
      <c r="S22" s="32">
        <v>9</v>
      </c>
      <c r="T22" s="12" t="str">
        <f>"0,0000"</f>
        <v>0,0000</v>
      </c>
      <c r="U22" s="11" t="s">
        <v>546</v>
      </c>
    </row>
    <row r="23" spans="1:21">
      <c r="A23" s="14" t="s">
        <v>148</v>
      </c>
      <c r="B23" s="13" t="s">
        <v>190</v>
      </c>
      <c r="C23" s="13" t="s">
        <v>191</v>
      </c>
      <c r="D23" s="13" t="s">
        <v>192</v>
      </c>
      <c r="E23" s="13" t="s">
        <v>571</v>
      </c>
      <c r="F23" s="13" t="s">
        <v>193</v>
      </c>
      <c r="G23" s="25" t="s">
        <v>52</v>
      </c>
      <c r="H23" s="25" t="s">
        <v>55</v>
      </c>
      <c r="I23" s="26" t="s">
        <v>95</v>
      </c>
      <c r="J23" s="14"/>
      <c r="K23" s="26" t="s">
        <v>125</v>
      </c>
      <c r="L23" s="26" t="s">
        <v>125</v>
      </c>
      <c r="M23" s="25" t="s">
        <v>125</v>
      </c>
      <c r="N23" s="14"/>
      <c r="O23" s="25" t="s">
        <v>55</v>
      </c>
      <c r="P23" s="26" t="s">
        <v>73</v>
      </c>
      <c r="Q23" s="25" t="s">
        <v>80</v>
      </c>
      <c r="R23" s="14"/>
      <c r="S23" s="30" t="str">
        <f>"505,0"</f>
        <v>505,0</v>
      </c>
      <c r="T23" s="14" t="str">
        <f>"328,8055"</f>
        <v>328,8055</v>
      </c>
      <c r="U23" s="13" t="s">
        <v>546</v>
      </c>
    </row>
    <row r="24" spans="1:21">
      <c r="B24" s="5" t="s">
        <v>149</v>
      </c>
    </row>
    <row r="25" spans="1:21" ht="16">
      <c r="A25" s="70" t="s">
        <v>68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</row>
    <row r="26" spans="1:21">
      <c r="A26" s="8" t="s">
        <v>148</v>
      </c>
      <c r="B26" s="7" t="s">
        <v>194</v>
      </c>
      <c r="C26" s="7" t="s">
        <v>195</v>
      </c>
      <c r="D26" s="7" t="s">
        <v>196</v>
      </c>
      <c r="E26" s="7" t="s">
        <v>571</v>
      </c>
      <c r="F26" s="7" t="s">
        <v>193</v>
      </c>
      <c r="G26" s="20" t="s">
        <v>55</v>
      </c>
      <c r="H26" s="20" t="s">
        <v>73</v>
      </c>
      <c r="I26" s="20" t="s">
        <v>80</v>
      </c>
      <c r="J26" s="8"/>
      <c r="K26" s="21" t="s">
        <v>37</v>
      </c>
      <c r="L26" s="20" t="s">
        <v>37</v>
      </c>
      <c r="M26" s="21" t="s">
        <v>15</v>
      </c>
      <c r="N26" s="8"/>
      <c r="O26" s="20" t="s">
        <v>73</v>
      </c>
      <c r="P26" s="20" t="s">
        <v>128</v>
      </c>
      <c r="Q26" s="20" t="s">
        <v>33</v>
      </c>
      <c r="R26" s="8"/>
      <c r="S26" s="31" t="str">
        <f>"565,0"</f>
        <v>565,0</v>
      </c>
      <c r="T26" s="8" t="str">
        <f>"351,9385"</f>
        <v>351,9385</v>
      </c>
      <c r="U26" s="7" t="s">
        <v>546</v>
      </c>
    </row>
    <row r="27" spans="1:21">
      <c r="B27" s="5" t="s">
        <v>149</v>
      </c>
    </row>
  </sheetData>
  <mergeCells count="20">
    <mergeCell ref="A25:R25"/>
    <mergeCell ref="S3:S4"/>
    <mergeCell ref="T3:T4"/>
    <mergeCell ref="U3:U4"/>
    <mergeCell ref="A5:R5"/>
    <mergeCell ref="B3:B4"/>
    <mergeCell ref="A8:R8"/>
    <mergeCell ref="A11:R11"/>
    <mergeCell ref="A14:R14"/>
    <mergeCell ref="A17:R17"/>
    <mergeCell ref="A20:R20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5">
    <pageSetUpPr fitToPage="1"/>
  </sheetPr>
  <dimension ref="A1:U48"/>
  <sheetViews>
    <sheetView topLeftCell="A2" workbookViewId="0">
      <selection activeCell="E39" sqref="E39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2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2.33203125" style="5" customWidth="1"/>
    <col min="22" max="16384" width="9.1640625" style="3"/>
  </cols>
  <sheetData>
    <row r="1" spans="1:21" s="2" customFormat="1" ht="29" customHeight="1">
      <c r="A1" s="57" t="s">
        <v>540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7</v>
      </c>
      <c r="H3" s="69"/>
      <c r="I3" s="69"/>
      <c r="J3" s="69"/>
      <c r="K3" s="69" t="s">
        <v>8</v>
      </c>
      <c r="L3" s="69"/>
      <c r="M3" s="69"/>
      <c r="N3" s="69"/>
      <c r="O3" s="69" t="s">
        <v>9</v>
      </c>
      <c r="P3" s="69"/>
      <c r="Q3" s="69"/>
      <c r="R3" s="69"/>
      <c r="S3" s="71" t="s">
        <v>1</v>
      </c>
      <c r="T3" s="69" t="s">
        <v>3</v>
      </c>
      <c r="U3" s="73" t="s">
        <v>2</v>
      </c>
    </row>
    <row r="4" spans="1:21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2"/>
      <c r="T4" s="68"/>
      <c r="U4" s="74"/>
    </row>
    <row r="5" spans="1:21" ht="16">
      <c r="A5" s="75" t="s">
        <v>10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21">
      <c r="A6" s="8" t="s">
        <v>148</v>
      </c>
      <c r="B6" s="7" t="s">
        <v>11</v>
      </c>
      <c r="C6" s="7" t="s">
        <v>12</v>
      </c>
      <c r="D6" s="7" t="s">
        <v>13</v>
      </c>
      <c r="E6" s="7" t="s">
        <v>571</v>
      </c>
      <c r="F6" s="7" t="s">
        <v>14</v>
      </c>
      <c r="G6" s="20" t="s">
        <v>15</v>
      </c>
      <c r="H6" s="20" t="s">
        <v>16</v>
      </c>
      <c r="I6" s="20" t="s">
        <v>17</v>
      </c>
      <c r="J6" s="8"/>
      <c r="K6" s="20" t="s">
        <v>18</v>
      </c>
      <c r="L6" s="20" t="s">
        <v>19</v>
      </c>
      <c r="M6" s="20" t="s">
        <v>20</v>
      </c>
      <c r="N6" s="8"/>
      <c r="O6" s="20" t="s">
        <v>15</v>
      </c>
      <c r="P6" s="20" t="s">
        <v>16</v>
      </c>
      <c r="Q6" s="20" t="s">
        <v>21</v>
      </c>
      <c r="R6" s="8"/>
      <c r="S6" s="31" t="str">
        <f>"445,0"</f>
        <v>445,0</v>
      </c>
      <c r="T6" s="8" t="str">
        <f>"386,7050"</f>
        <v>386,7050</v>
      </c>
      <c r="U6" s="7" t="s">
        <v>38</v>
      </c>
    </row>
    <row r="7" spans="1:21">
      <c r="B7" s="5" t="s">
        <v>149</v>
      </c>
    </row>
    <row r="8" spans="1:21" ht="16">
      <c r="A8" s="70" t="s">
        <v>22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21">
      <c r="A9" s="8" t="s">
        <v>150</v>
      </c>
      <c r="B9" s="7" t="s">
        <v>23</v>
      </c>
      <c r="C9" s="7" t="s">
        <v>24</v>
      </c>
      <c r="D9" s="7" t="s">
        <v>25</v>
      </c>
      <c r="E9" s="7" t="s">
        <v>573</v>
      </c>
      <c r="F9" s="7" t="s">
        <v>14</v>
      </c>
      <c r="G9" s="21" t="s">
        <v>26</v>
      </c>
      <c r="H9" s="21" t="s">
        <v>26</v>
      </c>
      <c r="I9" s="21" t="s">
        <v>18</v>
      </c>
      <c r="J9" s="8"/>
      <c r="K9" s="21"/>
      <c r="L9" s="8"/>
      <c r="M9" s="8"/>
      <c r="N9" s="8"/>
      <c r="O9" s="21"/>
      <c r="P9" s="8"/>
      <c r="Q9" s="8"/>
      <c r="R9" s="8"/>
      <c r="S9" s="31">
        <v>0</v>
      </c>
      <c r="T9" s="8" t="str">
        <f>"0,0000"</f>
        <v>0,0000</v>
      </c>
      <c r="U9" s="7" t="s">
        <v>554</v>
      </c>
    </row>
    <row r="10" spans="1:21">
      <c r="B10" s="5" t="s">
        <v>149</v>
      </c>
    </row>
    <row r="11" spans="1:21" ht="16">
      <c r="A11" s="70" t="s">
        <v>28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21">
      <c r="A12" s="10" t="s">
        <v>148</v>
      </c>
      <c r="B12" s="9" t="s">
        <v>29</v>
      </c>
      <c r="C12" s="9" t="s">
        <v>30</v>
      </c>
      <c r="D12" s="9" t="s">
        <v>31</v>
      </c>
      <c r="E12" s="9" t="s">
        <v>571</v>
      </c>
      <c r="F12" s="9" t="s">
        <v>32</v>
      </c>
      <c r="G12" s="22" t="s">
        <v>33</v>
      </c>
      <c r="H12" s="22" t="s">
        <v>34</v>
      </c>
      <c r="I12" s="22" t="s">
        <v>35</v>
      </c>
      <c r="J12" s="10"/>
      <c r="K12" s="22" t="s">
        <v>36</v>
      </c>
      <c r="L12" s="22" t="s">
        <v>37</v>
      </c>
      <c r="M12" s="22" t="s">
        <v>15</v>
      </c>
      <c r="N12" s="10"/>
      <c r="O12" s="22" t="s">
        <v>33</v>
      </c>
      <c r="P12" s="22" t="s">
        <v>34</v>
      </c>
      <c r="Q12" s="22" t="s">
        <v>35</v>
      </c>
      <c r="R12" s="10"/>
      <c r="S12" s="29" t="str">
        <f>"630,0"</f>
        <v>630,0</v>
      </c>
      <c r="T12" s="10" t="str">
        <f>"426,4470"</f>
        <v>426,4470</v>
      </c>
      <c r="U12" s="9" t="s">
        <v>38</v>
      </c>
    </row>
    <row r="13" spans="1:21">
      <c r="A13" s="12" t="s">
        <v>151</v>
      </c>
      <c r="B13" s="11" t="s">
        <v>39</v>
      </c>
      <c r="C13" s="11" t="s">
        <v>40</v>
      </c>
      <c r="D13" s="11" t="s">
        <v>41</v>
      </c>
      <c r="E13" s="11" t="s">
        <v>571</v>
      </c>
      <c r="F13" s="11" t="s">
        <v>14</v>
      </c>
      <c r="G13" s="23" t="s">
        <v>33</v>
      </c>
      <c r="H13" s="23" t="s">
        <v>34</v>
      </c>
      <c r="I13" s="23" t="s">
        <v>42</v>
      </c>
      <c r="J13" s="12"/>
      <c r="K13" s="23" t="s">
        <v>43</v>
      </c>
      <c r="L13" s="23" t="s">
        <v>44</v>
      </c>
      <c r="M13" s="23" t="s">
        <v>45</v>
      </c>
      <c r="N13" s="12"/>
      <c r="O13" s="23" t="s">
        <v>46</v>
      </c>
      <c r="P13" s="24" t="s">
        <v>34</v>
      </c>
      <c r="Q13" s="24" t="s">
        <v>34</v>
      </c>
      <c r="R13" s="12"/>
      <c r="S13" s="32" t="str">
        <f>"607,5"</f>
        <v>607,5</v>
      </c>
      <c r="T13" s="12" t="str">
        <f>"407,5717"</f>
        <v>407,5717</v>
      </c>
      <c r="U13" s="11" t="s">
        <v>47</v>
      </c>
    </row>
    <row r="14" spans="1:21">
      <c r="A14" s="14" t="s">
        <v>152</v>
      </c>
      <c r="B14" s="13" t="s">
        <v>48</v>
      </c>
      <c r="C14" s="13" t="s">
        <v>49</v>
      </c>
      <c r="D14" s="13" t="s">
        <v>50</v>
      </c>
      <c r="E14" s="13" t="s">
        <v>571</v>
      </c>
      <c r="F14" s="13" t="s">
        <v>51</v>
      </c>
      <c r="G14" s="25" t="s">
        <v>21</v>
      </c>
      <c r="H14" s="26" t="s">
        <v>52</v>
      </c>
      <c r="I14" s="25" t="s">
        <v>52</v>
      </c>
      <c r="J14" s="14"/>
      <c r="K14" s="25" t="s">
        <v>53</v>
      </c>
      <c r="L14" s="25" t="s">
        <v>36</v>
      </c>
      <c r="M14" s="25" t="s">
        <v>54</v>
      </c>
      <c r="N14" s="14"/>
      <c r="O14" s="25" t="s">
        <v>52</v>
      </c>
      <c r="P14" s="26" t="s">
        <v>55</v>
      </c>
      <c r="Q14" s="14"/>
      <c r="R14" s="14"/>
      <c r="S14" s="30" t="str">
        <f>"492,5"</f>
        <v>492,5</v>
      </c>
      <c r="T14" s="14" t="str">
        <f>"335,1955"</f>
        <v>335,1955</v>
      </c>
      <c r="U14" s="13"/>
    </row>
    <row r="15" spans="1:21">
      <c r="B15" s="5" t="s">
        <v>149</v>
      </c>
    </row>
    <row r="16" spans="1:21" ht="16">
      <c r="A16" s="70" t="s">
        <v>10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21">
      <c r="A17" s="10" t="s">
        <v>148</v>
      </c>
      <c r="B17" s="9" t="s">
        <v>56</v>
      </c>
      <c r="C17" s="9" t="s">
        <v>57</v>
      </c>
      <c r="D17" s="9" t="s">
        <v>58</v>
      </c>
      <c r="E17" s="9" t="s">
        <v>571</v>
      </c>
      <c r="F17" s="9" t="s">
        <v>14</v>
      </c>
      <c r="G17" s="22" t="s">
        <v>34</v>
      </c>
      <c r="H17" s="27" t="s">
        <v>35</v>
      </c>
      <c r="I17" s="22" t="s">
        <v>59</v>
      </c>
      <c r="J17" s="10"/>
      <c r="K17" s="22" t="s">
        <v>15</v>
      </c>
      <c r="L17" s="22" t="s">
        <v>16</v>
      </c>
      <c r="M17" s="27" t="s">
        <v>21</v>
      </c>
      <c r="N17" s="10"/>
      <c r="O17" s="22" t="s">
        <v>35</v>
      </c>
      <c r="P17" s="22" t="s">
        <v>60</v>
      </c>
      <c r="Q17" s="27" t="s">
        <v>61</v>
      </c>
      <c r="R17" s="10"/>
      <c r="S17" s="29" t="str">
        <f>"655,0"</f>
        <v>655,0</v>
      </c>
      <c r="T17" s="10" t="str">
        <f>"423,0645"</f>
        <v>423,0645</v>
      </c>
      <c r="U17" s="9" t="s">
        <v>38</v>
      </c>
    </row>
    <row r="18" spans="1:21">
      <c r="A18" s="14" t="s">
        <v>150</v>
      </c>
      <c r="B18" s="13" t="s">
        <v>62</v>
      </c>
      <c r="C18" s="13" t="s">
        <v>63</v>
      </c>
      <c r="D18" s="13" t="s">
        <v>64</v>
      </c>
      <c r="E18" s="13" t="s">
        <v>571</v>
      </c>
      <c r="F18" s="13" t="s">
        <v>32</v>
      </c>
      <c r="G18" s="26" t="s">
        <v>65</v>
      </c>
      <c r="H18" s="25" t="s">
        <v>65</v>
      </c>
      <c r="I18" s="26" t="s">
        <v>66</v>
      </c>
      <c r="J18" s="14"/>
      <c r="K18" s="26" t="s">
        <v>16</v>
      </c>
      <c r="L18" s="26" t="s">
        <v>16</v>
      </c>
      <c r="M18" s="25" t="s">
        <v>16</v>
      </c>
      <c r="N18" s="14"/>
      <c r="O18" s="26" t="s">
        <v>67</v>
      </c>
      <c r="P18" s="26" t="s">
        <v>67</v>
      </c>
      <c r="Q18" s="26" t="s">
        <v>67</v>
      </c>
      <c r="R18" s="14"/>
      <c r="S18" s="30">
        <v>0</v>
      </c>
      <c r="T18" s="14" t="str">
        <f>"0,0000"</f>
        <v>0,0000</v>
      </c>
      <c r="U18" s="13"/>
    </row>
    <row r="19" spans="1:21">
      <c r="B19" s="5" t="s">
        <v>149</v>
      </c>
    </row>
    <row r="20" spans="1:21" ht="16">
      <c r="A20" s="70" t="s">
        <v>68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21">
      <c r="A21" s="8" t="s">
        <v>148</v>
      </c>
      <c r="B21" s="7" t="s">
        <v>69</v>
      </c>
      <c r="C21" s="7" t="s">
        <v>70</v>
      </c>
      <c r="D21" s="7" t="s">
        <v>71</v>
      </c>
      <c r="E21" s="7" t="s">
        <v>571</v>
      </c>
      <c r="F21" s="7" t="s">
        <v>14</v>
      </c>
      <c r="G21" s="21" t="s">
        <v>21</v>
      </c>
      <c r="H21" s="20" t="s">
        <v>21</v>
      </c>
      <c r="I21" s="21" t="s">
        <v>52</v>
      </c>
      <c r="J21" s="8"/>
      <c r="K21" s="20" t="s">
        <v>72</v>
      </c>
      <c r="L21" s="21" t="s">
        <v>15</v>
      </c>
      <c r="M21" s="20" t="s">
        <v>15</v>
      </c>
      <c r="N21" s="8"/>
      <c r="O21" s="20" t="s">
        <v>52</v>
      </c>
      <c r="P21" s="20" t="s">
        <v>55</v>
      </c>
      <c r="Q21" s="20" t="s">
        <v>73</v>
      </c>
      <c r="R21" s="8"/>
      <c r="S21" s="31" t="str">
        <f>"520,0"</f>
        <v>520,0</v>
      </c>
      <c r="T21" s="8" t="str">
        <f>"320,2160"</f>
        <v>320,2160</v>
      </c>
      <c r="U21" s="7"/>
    </row>
    <row r="22" spans="1:21">
      <c r="B22" s="5" t="s">
        <v>149</v>
      </c>
    </row>
    <row r="23" spans="1:21" ht="16">
      <c r="A23" s="70" t="s">
        <v>74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21">
      <c r="A24" s="10" t="s">
        <v>148</v>
      </c>
      <c r="B24" s="9" t="s">
        <v>75</v>
      </c>
      <c r="C24" s="9" t="s">
        <v>76</v>
      </c>
      <c r="D24" s="9" t="s">
        <v>77</v>
      </c>
      <c r="E24" s="9" t="s">
        <v>571</v>
      </c>
      <c r="F24" s="9" t="s">
        <v>14</v>
      </c>
      <c r="G24" s="22" t="s">
        <v>78</v>
      </c>
      <c r="H24" s="27" t="s">
        <v>79</v>
      </c>
      <c r="I24" s="27" t="s">
        <v>79</v>
      </c>
      <c r="J24" s="10"/>
      <c r="K24" s="22" t="s">
        <v>55</v>
      </c>
      <c r="L24" s="22" t="s">
        <v>73</v>
      </c>
      <c r="M24" s="27" t="s">
        <v>80</v>
      </c>
      <c r="N24" s="10"/>
      <c r="O24" s="22" t="s">
        <v>81</v>
      </c>
      <c r="P24" s="22" t="s">
        <v>82</v>
      </c>
      <c r="Q24" s="27" t="s">
        <v>83</v>
      </c>
      <c r="R24" s="10"/>
      <c r="S24" s="29" t="str">
        <f>"825,0"</f>
        <v>825,0</v>
      </c>
      <c r="T24" s="10" t="str">
        <f>"488,4825"</f>
        <v>488,4825</v>
      </c>
      <c r="U24" s="9"/>
    </row>
    <row r="25" spans="1:21">
      <c r="A25" s="12" t="s">
        <v>151</v>
      </c>
      <c r="B25" s="11" t="s">
        <v>84</v>
      </c>
      <c r="C25" s="11" t="s">
        <v>85</v>
      </c>
      <c r="D25" s="11" t="s">
        <v>86</v>
      </c>
      <c r="E25" s="11" t="s">
        <v>571</v>
      </c>
      <c r="F25" s="11" t="s">
        <v>14</v>
      </c>
      <c r="G25" s="24" t="s">
        <v>79</v>
      </c>
      <c r="H25" s="23" t="s">
        <v>87</v>
      </c>
      <c r="I25" s="23" t="s">
        <v>88</v>
      </c>
      <c r="J25" s="12"/>
      <c r="K25" s="23" t="s">
        <v>52</v>
      </c>
      <c r="L25" s="23" t="s">
        <v>55</v>
      </c>
      <c r="M25" s="24" t="s">
        <v>73</v>
      </c>
      <c r="N25" s="12"/>
      <c r="O25" s="23" t="s">
        <v>66</v>
      </c>
      <c r="P25" s="23" t="s">
        <v>89</v>
      </c>
      <c r="Q25" s="23" t="s">
        <v>78</v>
      </c>
      <c r="R25" s="12"/>
      <c r="S25" s="32" t="str">
        <f>"800,0"</f>
        <v>800,0</v>
      </c>
      <c r="T25" s="12" t="str">
        <f>"473,1200"</f>
        <v>473,1200</v>
      </c>
      <c r="U25" s="11" t="s">
        <v>38</v>
      </c>
    </row>
    <row r="26" spans="1:21">
      <c r="A26" s="14" t="s">
        <v>148</v>
      </c>
      <c r="B26" s="13" t="s">
        <v>84</v>
      </c>
      <c r="C26" s="13" t="s">
        <v>90</v>
      </c>
      <c r="D26" s="13" t="s">
        <v>86</v>
      </c>
      <c r="E26" s="13" t="s">
        <v>572</v>
      </c>
      <c r="F26" s="13" t="s">
        <v>14</v>
      </c>
      <c r="G26" s="26" t="s">
        <v>79</v>
      </c>
      <c r="H26" s="25" t="s">
        <v>87</v>
      </c>
      <c r="I26" s="25" t="s">
        <v>88</v>
      </c>
      <c r="J26" s="14"/>
      <c r="K26" s="25" t="s">
        <v>52</v>
      </c>
      <c r="L26" s="25" t="s">
        <v>55</v>
      </c>
      <c r="M26" s="26" t="s">
        <v>73</v>
      </c>
      <c r="N26" s="14"/>
      <c r="O26" s="25" t="s">
        <v>66</v>
      </c>
      <c r="P26" s="25" t="s">
        <v>89</v>
      </c>
      <c r="Q26" s="25" t="s">
        <v>78</v>
      </c>
      <c r="R26" s="14"/>
      <c r="S26" s="30" t="str">
        <f>"800,0"</f>
        <v>800,0</v>
      </c>
      <c r="T26" s="14" t="str">
        <f>"518,5395"</f>
        <v>518,5395</v>
      </c>
      <c r="U26" s="13" t="s">
        <v>38</v>
      </c>
    </row>
    <row r="27" spans="1:21">
      <c r="B27" s="5" t="s">
        <v>149</v>
      </c>
    </row>
    <row r="28" spans="1:21" ht="16">
      <c r="A28" s="70" t="s">
        <v>91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21">
      <c r="A29" s="10" t="s">
        <v>148</v>
      </c>
      <c r="B29" s="9" t="s">
        <v>92</v>
      </c>
      <c r="C29" s="9" t="s">
        <v>93</v>
      </c>
      <c r="D29" s="9" t="s">
        <v>94</v>
      </c>
      <c r="E29" s="9" t="s">
        <v>571</v>
      </c>
      <c r="F29" s="9" t="s">
        <v>14</v>
      </c>
      <c r="G29" s="27" t="s">
        <v>79</v>
      </c>
      <c r="H29" s="22" t="s">
        <v>79</v>
      </c>
      <c r="I29" s="22" t="s">
        <v>87</v>
      </c>
      <c r="J29" s="10"/>
      <c r="K29" s="22" t="s">
        <v>95</v>
      </c>
      <c r="L29" s="22" t="s">
        <v>96</v>
      </c>
      <c r="M29" s="27" t="s">
        <v>97</v>
      </c>
      <c r="N29" s="10"/>
      <c r="O29" s="22" t="s">
        <v>98</v>
      </c>
      <c r="P29" s="22" t="s">
        <v>66</v>
      </c>
      <c r="Q29" s="22" t="s">
        <v>89</v>
      </c>
      <c r="R29" s="10"/>
      <c r="S29" s="29" t="str">
        <f>"792,5"</f>
        <v>792,5</v>
      </c>
      <c r="T29" s="10" t="str">
        <f>"461,3142"</f>
        <v>461,3142</v>
      </c>
      <c r="U29" s="9"/>
    </row>
    <row r="30" spans="1:21">
      <c r="A30" s="12" t="s">
        <v>151</v>
      </c>
      <c r="B30" s="11" t="s">
        <v>99</v>
      </c>
      <c r="C30" s="11" t="s">
        <v>100</v>
      </c>
      <c r="D30" s="11" t="s">
        <v>101</v>
      </c>
      <c r="E30" s="11" t="s">
        <v>571</v>
      </c>
      <c r="F30" s="11" t="s">
        <v>32</v>
      </c>
      <c r="G30" s="23" t="s">
        <v>66</v>
      </c>
      <c r="H30" s="23" t="s">
        <v>102</v>
      </c>
      <c r="I30" s="23" t="s">
        <v>103</v>
      </c>
      <c r="J30" s="12"/>
      <c r="K30" s="23" t="s">
        <v>15</v>
      </c>
      <c r="L30" s="23" t="s">
        <v>16</v>
      </c>
      <c r="M30" s="24" t="s">
        <v>21</v>
      </c>
      <c r="N30" s="12"/>
      <c r="O30" s="23" t="s">
        <v>66</v>
      </c>
      <c r="P30" s="23" t="s">
        <v>102</v>
      </c>
      <c r="Q30" s="24" t="s">
        <v>103</v>
      </c>
      <c r="R30" s="12"/>
      <c r="S30" s="32" t="str">
        <f>"740,0"</f>
        <v>740,0</v>
      </c>
      <c r="T30" s="12" t="str">
        <f>"423,3540"</f>
        <v>423,3540</v>
      </c>
      <c r="U30" s="11" t="s">
        <v>38</v>
      </c>
    </row>
    <row r="31" spans="1:21">
      <c r="A31" s="12" t="s">
        <v>150</v>
      </c>
      <c r="B31" s="11" t="s">
        <v>104</v>
      </c>
      <c r="C31" s="11" t="s">
        <v>105</v>
      </c>
      <c r="D31" s="11" t="s">
        <v>106</v>
      </c>
      <c r="E31" s="11" t="s">
        <v>571</v>
      </c>
      <c r="F31" s="11" t="s">
        <v>14</v>
      </c>
      <c r="G31" s="24" t="s">
        <v>66</v>
      </c>
      <c r="H31" s="23" t="s">
        <v>66</v>
      </c>
      <c r="I31" s="24" t="s">
        <v>89</v>
      </c>
      <c r="J31" s="12"/>
      <c r="K31" s="24" t="s">
        <v>107</v>
      </c>
      <c r="L31" s="24" t="s">
        <v>107</v>
      </c>
      <c r="M31" s="24" t="s">
        <v>107</v>
      </c>
      <c r="N31" s="12"/>
      <c r="O31" s="24"/>
      <c r="P31" s="12"/>
      <c r="Q31" s="12"/>
      <c r="R31" s="12"/>
      <c r="S31" s="32">
        <v>0</v>
      </c>
      <c r="T31" s="12" t="str">
        <f>"0,0000"</f>
        <v>0,0000</v>
      </c>
      <c r="U31" s="11"/>
    </row>
    <row r="32" spans="1:21">
      <c r="A32" s="14" t="s">
        <v>150</v>
      </c>
      <c r="B32" s="13" t="s">
        <v>108</v>
      </c>
      <c r="C32" s="13" t="s">
        <v>109</v>
      </c>
      <c r="D32" s="13" t="s">
        <v>110</v>
      </c>
      <c r="E32" s="13" t="s">
        <v>571</v>
      </c>
      <c r="F32" s="13" t="s">
        <v>51</v>
      </c>
      <c r="G32" s="26" t="s">
        <v>60</v>
      </c>
      <c r="H32" s="26" t="s">
        <v>60</v>
      </c>
      <c r="I32" s="26" t="s">
        <v>60</v>
      </c>
      <c r="J32" s="14"/>
      <c r="K32" s="26"/>
      <c r="L32" s="14"/>
      <c r="M32" s="14"/>
      <c r="N32" s="14"/>
      <c r="O32" s="26"/>
      <c r="P32" s="14"/>
      <c r="Q32" s="14"/>
      <c r="R32" s="14"/>
      <c r="S32" s="30">
        <v>0</v>
      </c>
      <c r="T32" s="14" t="str">
        <f>"0,0000"</f>
        <v>0,0000</v>
      </c>
      <c r="U32" s="13" t="s">
        <v>38</v>
      </c>
    </row>
    <row r="33" spans="1:21">
      <c r="B33" s="5" t="s">
        <v>149</v>
      </c>
    </row>
    <row r="34" spans="1:21" ht="16">
      <c r="A34" s="70" t="s">
        <v>112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21">
      <c r="A35" s="8" t="s">
        <v>148</v>
      </c>
      <c r="B35" s="7" t="s">
        <v>113</v>
      </c>
      <c r="C35" s="7" t="s">
        <v>114</v>
      </c>
      <c r="D35" s="7" t="s">
        <v>115</v>
      </c>
      <c r="E35" s="7" t="s">
        <v>571</v>
      </c>
      <c r="F35" s="7" t="s">
        <v>116</v>
      </c>
      <c r="G35" s="20" t="s">
        <v>79</v>
      </c>
      <c r="H35" s="21" t="s">
        <v>117</v>
      </c>
      <c r="I35" s="20" t="s">
        <v>88</v>
      </c>
      <c r="J35" s="8"/>
      <c r="K35" s="20" t="s">
        <v>52</v>
      </c>
      <c r="L35" s="20" t="s">
        <v>55</v>
      </c>
      <c r="M35" s="21" t="s">
        <v>73</v>
      </c>
      <c r="N35" s="8"/>
      <c r="O35" s="20" t="s">
        <v>118</v>
      </c>
      <c r="P35" s="20" t="s">
        <v>119</v>
      </c>
      <c r="Q35" s="20" t="s">
        <v>120</v>
      </c>
      <c r="R35" s="8"/>
      <c r="S35" s="31" t="str">
        <f>"875,0"</f>
        <v>875,0</v>
      </c>
      <c r="T35" s="8" t="str">
        <f>"518,6853"</f>
        <v>518,6853</v>
      </c>
      <c r="U35" s="7"/>
    </row>
    <row r="36" spans="1:21">
      <c r="B36" s="5" t="s">
        <v>149</v>
      </c>
    </row>
    <row r="37" spans="1:21" ht="16">
      <c r="A37" s="70" t="s">
        <v>121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1:21">
      <c r="A38" s="8" t="s">
        <v>148</v>
      </c>
      <c r="B38" s="7" t="s">
        <v>122</v>
      </c>
      <c r="C38" s="7" t="s">
        <v>123</v>
      </c>
      <c r="D38" s="7" t="s">
        <v>124</v>
      </c>
      <c r="E38" s="7" t="s">
        <v>571</v>
      </c>
      <c r="F38" s="7" t="s">
        <v>14</v>
      </c>
      <c r="G38" s="20" t="s">
        <v>52</v>
      </c>
      <c r="H38" s="21" t="s">
        <v>55</v>
      </c>
      <c r="I38" s="21" t="s">
        <v>55</v>
      </c>
      <c r="J38" s="8"/>
      <c r="K38" s="20" t="s">
        <v>125</v>
      </c>
      <c r="L38" s="20" t="s">
        <v>126</v>
      </c>
      <c r="M38" s="20" t="s">
        <v>127</v>
      </c>
      <c r="N38" s="8"/>
      <c r="O38" s="20" t="s">
        <v>73</v>
      </c>
      <c r="P38" s="20" t="s">
        <v>128</v>
      </c>
      <c r="Q38" s="20" t="s">
        <v>46</v>
      </c>
      <c r="R38" s="8"/>
      <c r="S38" s="31" t="str">
        <f>"515,0"</f>
        <v>515,0</v>
      </c>
      <c r="T38" s="8" t="str">
        <f>"432,9605"</f>
        <v>432,9605</v>
      </c>
      <c r="U38" s="7"/>
    </row>
    <row r="39" spans="1:21">
      <c r="B39" s="5" t="s">
        <v>149</v>
      </c>
    </row>
    <row r="40" spans="1:21">
      <c r="B40" s="5" t="s">
        <v>149</v>
      </c>
    </row>
    <row r="41" spans="1:21">
      <c r="B41" s="5" t="s">
        <v>149</v>
      </c>
    </row>
    <row r="42" spans="1:21" ht="18">
      <c r="B42" s="15" t="s">
        <v>129</v>
      </c>
      <c r="C42" s="15"/>
      <c r="F42" s="3"/>
    </row>
    <row r="43" spans="1:21" ht="16">
      <c r="B43" s="16" t="s">
        <v>137</v>
      </c>
      <c r="C43" s="16"/>
      <c r="F43" s="3"/>
    </row>
    <row r="44" spans="1:21" ht="14">
      <c r="B44" s="17"/>
      <c r="C44" s="18" t="s">
        <v>131</v>
      </c>
      <c r="F44" s="3"/>
    </row>
    <row r="45" spans="1:21" ht="14">
      <c r="B45" s="19" t="s">
        <v>132</v>
      </c>
      <c r="C45" s="19" t="s">
        <v>133</v>
      </c>
      <c r="D45" s="19" t="s">
        <v>542</v>
      </c>
      <c r="E45" s="19" t="s">
        <v>134</v>
      </c>
      <c r="F45" s="19" t="s">
        <v>135</v>
      </c>
    </row>
    <row r="46" spans="1:21">
      <c r="B46" s="5" t="s">
        <v>75</v>
      </c>
      <c r="C46" s="5" t="s">
        <v>131</v>
      </c>
      <c r="D46" s="6" t="s">
        <v>138</v>
      </c>
      <c r="E46" s="6" t="s">
        <v>139</v>
      </c>
      <c r="F46" s="6" t="s">
        <v>140</v>
      </c>
    </row>
    <row r="47" spans="1:21">
      <c r="B47" s="5" t="s">
        <v>84</v>
      </c>
      <c r="C47" s="5" t="s">
        <v>131</v>
      </c>
      <c r="D47" s="6" t="s">
        <v>138</v>
      </c>
      <c r="E47" s="6" t="s">
        <v>141</v>
      </c>
      <c r="F47" s="6" t="s">
        <v>142</v>
      </c>
    </row>
    <row r="48" spans="1:21">
      <c r="B48" s="5" t="s">
        <v>92</v>
      </c>
      <c r="C48" s="5" t="s">
        <v>131</v>
      </c>
      <c r="D48" s="6" t="s">
        <v>143</v>
      </c>
      <c r="E48" s="6" t="s">
        <v>144</v>
      </c>
      <c r="F48" s="6" t="s">
        <v>145</v>
      </c>
    </row>
  </sheetData>
  <mergeCells count="22">
    <mergeCell ref="A23:R23"/>
    <mergeCell ref="A28:R28"/>
    <mergeCell ref="A34:R34"/>
    <mergeCell ref="A37:R37"/>
    <mergeCell ref="B3:B4"/>
    <mergeCell ref="A5:R5"/>
    <mergeCell ref="A8:R8"/>
    <mergeCell ref="A11:R11"/>
    <mergeCell ref="A16:R16"/>
    <mergeCell ref="A20:R20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57" t="s">
        <v>531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8</v>
      </c>
      <c r="H3" s="69"/>
      <c r="I3" s="69"/>
      <c r="J3" s="69"/>
      <c r="K3" s="69" t="s">
        <v>9</v>
      </c>
      <c r="L3" s="69"/>
      <c r="M3" s="69"/>
      <c r="N3" s="69"/>
      <c r="O3" s="69" t="s">
        <v>1</v>
      </c>
      <c r="P3" s="69" t="s">
        <v>3</v>
      </c>
      <c r="Q3" s="73" t="s">
        <v>2</v>
      </c>
    </row>
    <row r="4" spans="1:17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8"/>
      <c r="P4" s="68"/>
      <c r="Q4" s="74"/>
    </row>
    <row r="5" spans="1:17" ht="16">
      <c r="A5" s="75" t="s">
        <v>160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7">
      <c r="A6" s="8" t="s">
        <v>148</v>
      </c>
      <c r="B6" s="7" t="s">
        <v>161</v>
      </c>
      <c r="C6" s="7" t="s">
        <v>162</v>
      </c>
      <c r="D6" s="7" t="s">
        <v>163</v>
      </c>
      <c r="E6" s="7" t="s">
        <v>571</v>
      </c>
      <c r="F6" s="7" t="s">
        <v>14</v>
      </c>
      <c r="G6" s="20" t="s">
        <v>165</v>
      </c>
      <c r="H6" s="20" t="s">
        <v>27</v>
      </c>
      <c r="I6" s="21" t="s">
        <v>166</v>
      </c>
      <c r="J6" s="8"/>
      <c r="K6" s="20" t="s">
        <v>126</v>
      </c>
      <c r="L6" s="21" t="s">
        <v>167</v>
      </c>
      <c r="M6" s="20" t="s">
        <v>167</v>
      </c>
      <c r="N6" s="8"/>
      <c r="O6" s="8" t="str">
        <f>"172,5"</f>
        <v>172,5</v>
      </c>
      <c r="P6" s="8" t="str">
        <f>"215,0385"</f>
        <v>215,0385</v>
      </c>
      <c r="Q6" s="7" t="s">
        <v>551</v>
      </c>
    </row>
    <row r="7" spans="1:17">
      <c r="B7" s="5" t="s">
        <v>149</v>
      </c>
    </row>
    <row r="8" spans="1:17" ht="16">
      <c r="A8" s="70" t="s">
        <v>22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7">
      <c r="A9" s="8" t="s">
        <v>148</v>
      </c>
      <c r="B9" s="7" t="s">
        <v>287</v>
      </c>
      <c r="C9" s="7" t="s">
        <v>288</v>
      </c>
      <c r="D9" s="7" t="s">
        <v>289</v>
      </c>
      <c r="E9" s="7" t="s">
        <v>571</v>
      </c>
      <c r="F9" s="7" t="s">
        <v>193</v>
      </c>
      <c r="G9" s="20" t="s">
        <v>37</v>
      </c>
      <c r="H9" s="20" t="s">
        <v>15</v>
      </c>
      <c r="I9" s="21" t="s">
        <v>45</v>
      </c>
      <c r="J9" s="8"/>
      <c r="K9" s="20" t="s">
        <v>290</v>
      </c>
      <c r="L9" s="21" t="s">
        <v>33</v>
      </c>
      <c r="M9" s="21" t="s">
        <v>33</v>
      </c>
      <c r="N9" s="8"/>
      <c r="O9" s="8" t="str">
        <f>"362,5"</f>
        <v>362,5</v>
      </c>
      <c r="P9" s="8" t="str">
        <f>"263,5738"</f>
        <v>263,5738</v>
      </c>
      <c r="Q9" s="7"/>
    </row>
    <row r="10" spans="1:17">
      <c r="B10" s="5" t="s">
        <v>149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4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4.33203125" style="5" bestFit="1" customWidth="1"/>
    <col min="7" max="9" width="4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57" t="s">
        <v>532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8</v>
      </c>
      <c r="H3" s="69"/>
      <c r="I3" s="69"/>
      <c r="J3" s="69"/>
      <c r="K3" s="69" t="s">
        <v>9</v>
      </c>
      <c r="L3" s="69"/>
      <c r="M3" s="69"/>
      <c r="N3" s="69"/>
      <c r="O3" s="69" t="s">
        <v>1</v>
      </c>
      <c r="P3" s="69" t="s">
        <v>3</v>
      </c>
      <c r="Q3" s="73" t="s">
        <v>2</v>
      </c>
    </row>
    <row r="4" spans="1:17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8"/>
      <c r="P4" s="68"/>
      <c r="Q4" s="74"/>
    </row>
    <row r="5" spans="1:17" ht="16">
      <c r="A5" s="75" t="s">
        <v>252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7">
      <c r="A6" s="8" t="s">
        <v>148</v>
      </c>
      <c r="B6" s="7" t="s">
        <v>528</v>
      </c>
      <c r="C6" s="7" t="s">
        <v>529</v>
      </c>
      <c r="D6" s="7" t="s">
        <v>530</v>
      </c>
      <c r="E6" s="7" t="s">
        <v>573</v>
      </c>
      <c r="F6" s="7" t="s">
        <v>14</v>
      </c>
      <c r="G6" s="20" t="s">
        <v>337</v>
      </c>
      <c r="H6" s="20" t="s">
        <v>266</v>
      </c>
      <c r="I6" s="21" t="s">
        <v>242</v>
      </c>
      <c r="J6" s="8"/>
      <c r="K6" s="20" t="s">
        <v>27</v>
      </c>
      <c r="L6" s="20" t="s">
        <v>172</v>
      </c>
      <c r="M6" s="21" t="s">
        <v>270</v>
      </c>
      <c r="N6" s="8"/>
      <c r="O6" s="8" t="str">
        <f>"100,0"</f>
        <v>100,0</v>
      </c>
      <c r="P6" s="8" t="str">
        <f>"91,0300"</f>
        <v>91,0300</v>
      </c>
      <c r="Q6" s="7"/>
    </row>
    <row r="7" spans="1:17">
      <c r="B7" s="5" t="s">
        <v>149</v>
      </c>
    </row>
    <row r="8" spans="1:17" ht="16">
      <c r="A8" s="70" t="s">
        <v>22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7">
      <c r="A9" s="8" t="s">
        <v>148</v>
      </c>
      <c r="B9" s="7" t="s">
        <v>23</v>
      </c>
      <c r="C9" s="7" t="s">
        <v>24</v>
      </c>
      <c r="D9" s="7" t="s">
        <v>25</v>
      </c>
      <c r="E9" s="7" t="s">
        <v>573</v>
      </c>
      <c r="F9" s="7" t="s">
        <v>14</v>
      </c>
      <c r="G9" s="20" t="s">
        <v>27</v>
      </c>
      <c r="H9" s="20" t="s">
        <v>172</v>
      </c>
      <c r="I9" s="20" t="s">
        <v>270</v>
      </c>
      <c r="J9" s="8"/>
      <c r="K9" s="20" t="s">
        <v>18</v>
      </c>
      <c r="L9" s="20" t="s">
        <v>125</v>
      </c>
      <c r="M9" s="20" t="s">
        <v>127</v>
      </c>
      <c r="N9" s="8"/>
      <c r="O9" s="8" t="str">
        <f>"185,0"</f>
        <v>185,0</v>
      </c>
      <c r="P9" s="8" t="str">
        <f>"138,3430"</f>
        <v>138,3430</v>
      </c>
      <c r="Q9" s="7" t="s">
        <v>554</v>
      </c>
    </row>
    <row r="10" spans="1:17">
      <c r="B10" s="5" t="s">
        <v>149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9"/>
  <sheetViews>
    <sheetView topLeftCell="A20" workbookViewId="0">
      <selection activeCell="E53" sqref="E53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41.6640625" style="5" customWidth="1"/>
    <col min="7" max="9" width="5.5" style="6" customWidth="1"/>
    <col min="10" max="10" width="4.83203125" style="6" customWidth="1"/>
    <col min="11" max="11" width="10.5" style="28" bestFit="1" customWidth="1"/>
    <col min="12" max="12" width="10.6640625" style="33" bestFit="1" customWidth="1"/>
    <col min="13" max="13" width="27.5" style="5" bestFit="1" customWidth="1"/>
    <col min="14" max="16384" width="9.1640625" style="3"/>
  </cols>
  <sheetData>
    <row r="1" spans="1:13" s="2" customFormat="1" ht="29" customHeight="1">
      <c r="A1" s="57" t="s">
        <v>535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8</v>
      </c>
      <c r="H3" s="69"/>
      <c r="I3" s="69"/>
      <c r="J3" s="69"/>
      <c r="K3" s="71" t="s">
        <v>448</v>
      </c>
      <c r="L3" s="79" t="s">
        <v>3</v>
      </c>
      <c r="M3" s="73" t="s">
        <v>2</v>
      </c>
    </row>
    <row r="4" spans="1:13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72"/>
      <c r="L4" s="80"/>
      <c r="M4" s="74"/>
    </row>
    <row r="5" spans="1:13" ht="16">
      <c r="A5" s="75" t="s">
        <v>228</v>
      </c>
      <c r="B5" s="75"/>
      <c r="C5" s="76"/>
      <c r="D5" s="76"/>
      <c r="E5" s="76"/>
      <c r="F5" s="76"/>
      <c r="G5" s="76"/>
      <c r="H5" s="76"/>
      <c r="I5" s="76"/>
      <c r="J5" s="76"/>
    </row>
    <row r="6" spans="1:13">
      <c r="A6" s="10" t="s">
        <v>148</v>
      </c>
      <c r="B6" s="9" t="s">
        <v>451</v>
      </c>
      <c r="C6" s="9" t="s">
        <v>452</v>
      </c>
      <c r="D6" s="9" t="s">
        <v>453</v>
      </c>
      <c r="E6" s="9" t="s">
        <v>575</v>
      </c>
      <c r="F6" s="9" t="s">
        <v>14</v>
      </c>
      <c r="G6" s="22" t="s">
        <v>454</v>
      </c>
      <c r="H6" s="22" t="s">
        <v>234</v>
      </c>
      <c r="I6" s="22" t="s">
        <v>235</v>
      </c>
      <c r="J6" s="10"/>
      <c r="K6" s="29" t="str">
        <f>"32,5"</f>
        <v>32,5</v>
      </c>
      <c r="L6" s="34" t="str">
        <f>"43,7775"</f>
        <v>43,7775</v>
      </c>
      <c r="M6" s="9" t="s">
        <v>455</v>
      </c>
    </row>
    <row r="7" spans="1:13">
      <c r="A7" s="14" t="s">
        <v>148</v>
      </c>
      <c r="B7" s="13" t="s">
        <v>239</v>
      </c>
      <c r="C7" s="13" t="s">
        <v>240</v>
      </c>
      <c r="D7" s="13" t="s">
        <v>241</v>
      </c>
      <c r="E7" s="13" t="s">
        <v>571</v>
      </c>
      <c r="F7" s="13" t="s">
        <v>14</v>
      </c>
      <c r="G7" s="25" t="s">
        <v>242</v>
      </c>
      <c r="H7" s="25" t="s">
        <v>243</v>
      </c>
      <c r="I7" s="25" t="s">
        <v>244</v>
      </c>
      <c r="J7" s="14"/>
      <c r="K7" s="30" t="str">
        <f>"47,5"</f>
        <v>47,5</v>
      </c>
      <c r="L7" s="35" t="str">
        <f>"63,0088"</f>
        <v>63,0088</v>
      </c>
      <c r="M7" s="13" t="s">
        <v>238</v>
      </c>
    </row>
    <row r="8" spans="1:13">
      <c r="B8" s="5" t="s">
        <v>149</v>
      </c>
    </row>
    <row r="9" spans="1:13" ht="16">
      <c r="A9" s="70" t="s">
        <v>160</v>
      </c>
      <c r="B9" s="70"/>
      <c r="C9" s="70"/>
      <c r="D9" s="70"/>
      <c r="E9" s="70"/>
      <c r="F9" s="70"/>
      <c r="G9" s="70"/>
      <c r="H9" s="70"/>
      <c r="I9" s="70"/>
      <c r="J9" s="70"/>
    </row>
    <row r="10" spans="1:13">
      <c r="A10" s="8" t="s">
        <v>148</v>
      </c>
      <c r="B10" s="7" t="s">
        <v>161</v>
      </c>
      <c r="C10" s="7" t="s">
        <v>162</v>
      </c>
      <c r="D10" s="7" t="s">
        <v>163</v>
      </c>
      <c r="E10" s="7" t="s">
        <v>571</v>
      </c>
      <c r="F10" s="7" t="s">
        <v>14</v>
      </c>
      <c r="G10" s="20" t="s">
        <v>165</v>
      </c>
      <c r="H10" s="20" t="s">
        <v>27</v>
      </c>
      <c r="I10" s="21" t="s">
        <v>166</v>
      </c>
      <c r="J10" s="8"/>
      <c r="K10" s="31" t="str">
        <f>"55,0"</f>
        <v>55,0</v>
      </c>
      <c r="L10" s="36" t="str">
        <f>"68,5630"</f>
        <v>68,5630</v>
      </c>
      <c r="M10" s="7" t="s">
        <v>238</v>
      </c>
    </row>
    <row r="11" spans="1:13">
      <c r="B11" s="5" t="s">
        <v>149</v>
      </c>
    </row>
    <row r="12" spans="1:13" ht="16">
      <c r="A12" s="70" t="s">
        <v>252</v>
      </c>
      <c r="B12" s="70"/>
      <c r="C12" s="70"/>
      <c r="D12" s="70"/>
      <c r="E12" s="70"/>
      <c r="F12" s="70"/>
      <c r="G12" s="70"/>
      <c r="H12" s="70"/>
      <c r="I12" s="70"/>
      <c r="J12" s="70"/>
    </row>
    <row r="13" spans="1:13">
      <c r="A13" s="10" t="s">
        <v>148</v>
      </c>
      <c r="B13" s="9" t="s">
        <v>456</v>
      </c>
      <c r="C13" s="9" t="s">
        <v>457</v>
      </c>
      <c r="D13" s="9" t="s">
        <v>458</v>
      </c>
      <c r="E13" s="9" t="s">
        <v>570</v>
      </c>
      <c r="F13" s="9" t="s">
        <v>14</v>
      </c>
      <c r="G13" s="22" t="s">
        <v>27</v>
      </c>
      <c r="H13" s="22" t="s">
        <v>166</v>
      </c>
      <c r="I13" s="27" t="s">
        <v>172</v>
      </c>
      <c r="J13" s="10"/>
      <c r="K13" s="29" t="str">
        <f>"57,5"</f>
        <v>57,5</v>
      </c>
      <c r="L13" s="34" t="str">
        <f>"68,1318"</f>
        <v>68,1318</v>
      </c>
      <c r="M13" s="9" t="s">
        <v>38</v>
      </c>
    </row>
    <row r="14" spans="1:13">
      <c r="A14" s="12" t="s">
        <v>148</v>
      </c>
      <c r="B14" s="11" t="s">
        <v>459</v>
      </c>
      <c r="C14" s="11" t="s">
        <v>460</v>
      </c>
      <c r="D14" s="11" t="s">
        <v>461</v>
      </c>
      <c r="E14" s="11" t="s">
        <v>571</v>
      </c>
      <c r="F14" s="11" t="s">
        <v>116</v>
      </c>
      <c r="G14" s="23" t="s">
        <v>250</v>
      </c>
      <c r="H14" s="24" t="s">
        <v>157</v>
      </c>
      <c r="I14" s="23" t="s">
        <v>157</v>
      </c>
      <c r="J14" s="12"/>
      <c r="K14" s="32" t="str">
        <f>"75,0"</f>
        <v>75,0</v>
      </c>
      <c r="L14" s="37" t="str">
        <f>"89,4975"</f>
        <v>89,4975</v>
      </c>
      <c r="M14" s="11" t="s">
        <v>515</v>
      </c>
    </row>
    <row r="15" spans="1:13">
      <c r="A15" s="14" t="s">
        <v>151</v>
      </c>
      <c r="B15" s="13" t="s">
        <v>253</v>
      </c>
      <c r="C15" s="13" t="s">
        <v>254</v>
      </c>
      <c r="D15" s="13" t="s">
        <v>255</v>
      </c>
      <c r="E15" s="13" t="s">
        <v>571</v>
      </c>
      <c r="F15" s="13" t="s">
        <v>14</v>
      </c>
      <c r="G15" s="25" t="s">
        <v>27</v>
      </c>
      <c r="H15" s="25" t="s">
        <v>166</v>
      </c>
      <c r="I15" s="26" t="s">
        <v>172</v>
      </c>
      <c r="J15" s="14"/>
      <c r="K15" s="30" t="str">
        <f>"57,5"</f>
        <v>57,5</v>
      </c>
      <c r="L15" s="35" t="str">
        <f>"68,9138"</f>
        <v>68,9138</v>
      </c>
      <c r="M15" s="13" t="s">
        <v>251</v>
      </c>
    </row>
    <row r="16" spans="1:13">
      <c r="B16" s="5" t="s">
        <v>149</v>
      </c>
    </row>
    <row r="17" spans="1:13" ht="16">
      <c r="A17" s="70" t="s">
        <v>261</v>
      </c>
      <c r="B17" s="70"/>
      <c r="C17" s="70"/>
      <c r="D17" s="70"/>
      <c r="E17" s="70"/>
      <c r="F17" s="70"/>
      <c r="G17" s="70"/>
      <c r="H17" s="70"/>
      <c r="I17" s="70"/>
      <c r="J17" s="70"/>
    </row>
    <row r="18" spans="1:13">
      <c r="A18" s="8" t="s">
        <v>148</v>
      </c>
      <c r="B18" s="7" t="s">
        <v>462</v>
      </c>
      <c r="C18" s="7" t="s">
        <v>463</v>
      </c>
      <c r="D18" s="7" t="s">
        <v>464</v>
      </c>
      <c r="E18" s="7" t="s">
        <v>571</v>
      </c>
      <c r="F18" s="7" t="s">
        <v>541</v>
      </c>
      <c r="G18" s="20" t="s">
        <v>243</v>
      </c>
      <c r="H18" s="20" t="s">
        <v>244</v>
      </c>
      <c r="I18" s="21" t="s">
        <v>232</v>
      </c>
      <c r="J18" s="8"/>
      <c r="K18" s="31" t="str">
        <f>"47,5"</f>
        <v>47,5</v>
      </c>
      <c r="L18" s="36" t="str">
        <f>"52,9577"</f>
        <v>52,9577</v>
      </c>
      <c r="M18" s="7" t="s">
        <v>465</v>
      </c>
    </row>
    <row r="19" spans="1:13">
      <c r="B19" s="5" t="s">
        <v>149</v>
      </c>
    </row>
    <row r="20" spans="1:13" ht="16">
      <c r="A20" s="70" t="s">
        <v>22</v>
      </c>
      <c r="B20" s="70"/>
      <c r="C20" s="70"/>
      <c r="D20" s="70"/>
      <c r="E20" s="70"/>
      <c r="F20" s="70"/>
      <c r="G20" s="70"/>
      <c r="H20" s="70"/>
      <c r="I20" s="70"/>
      <c r="J20" s="70"/>
    </row>
    <row r="21" spans="1:13">
      <c r="A21" s="8" t="s">
        <v>148</v>
      </c>
      <c r="B21" s="7" t="s">
        <v>271</v>
      </c>
      <c r="C21" s="7" t="s">
        <v>272</v>
      </c>
      <c r="D21" s="7" t="s">
        <v>273</v>
      </c>
      <c r="E21" s="7" t="s">
        <v>571</v>
      </c>
      <c r="F21" s="7" t="s">
        <v>274</v>
      </c>
      <c r="G21" s="20" t="s">
        <v>18</v>
      </c>
      <c r="H21" s="21" t="s">
        <v>20</v>
      </c>
      <c r="I21" s="21" t="s">
        <v>20</v>
      </c>
      <c r="J21" s="8"/>
      <c r="K21" s="31" t="str">
        <f>"100,0"</f>
        <v>100,0</v>
      </c>
      <c r="L21" s="36" t="str">
        <f>"95,6300"</f>
        <v>95,6300</v>
      </c>
      <c r="M21" s="7" t="s">
        <v>38</v>
      </c>
    </row>
    <row r="22" spans="1:13">
      <c r="B22" s="5" t="s">
        <v>149</v>
      </c>
    </row>
    <row r="23" spans="1:13" ht="16">
      <c r="A23" s="70" t="s">
        <v>22</v>
      </c>
      <c r="B23" s="70"/>
      <c r="C23" s="70"/>
      <c r="D23" s="70"/>
      <c r="E23" s="70"/>
      <c r="F23" s="70"/>
      <c r="G23" s="70"/>
      <c r="H23" s="70"/>
      <c r="I23" s="70"/>
      <c r="J23" s="70"/>
    </row>
    <row r="24" spans="1:13">
      <c r="A24" s="10" t="s">
        <v>148</v>
      </c>
      <c r="B24" s="9" t="s">
        <v>466</v>
      </c>
      <c r="C24" s="9" t="s">
        <v>467</v>
      </c>
      <c r="D24" s="9" t="s">
        <v>468</v>
      </c>
      <c r="E24" s="9" t="s">
        <v>573</v>
      </c>
      <c r="F24" s="9" t="s">
        <v>541</v>
      </c>
      <c r="G24" s="22" t="s">
        <v>257</v>
      </c>
      <c r="H24" s="22" t="s">
        <v>164</v>
      </c>
      <c r="I24" s="27" t="s">
        <v>18</v>
      </c>
      <c r="J24" s="10"/>
      <c r="K24" s="29" t="str">
        <f>"95,0"</f>
        <v>95,0</v>
      </c>
      <c r="L24" s="34" t="str">
        <f>"68,5330"</f>
        <v>68,5330</v>
      </c>
      <c r="M24" s="9" t="s">
        <v>465</v>
      </c>
    </row>
    <row r="25" spans="1:13">
      <c r="A25" s="12" t="s">
        <v>148</v>
      </c>
      <c r="B25" s="11" t="s">
        <v>469</v>
      </c>
      <c r="C25" s="11" t="s">
        <v>470</v>
      </c>
      <c r="D25" s="11" t="s">
        <v>471</v>
      </c>
      <c r="E25" s="11" t="s">
        <v>575</v>
      </c>
      <c r="F25" s="11" t="s">
        <v>541</v>
      </c>
      <c r="G25" s="23" t="s">
        <v>18</v>
      </c>
      <c r="H25" s="23" t="s">
        <v>362</v>
      </c>
      <c r="I25" s="24" t="s">
        <v>19</v>
      </c>
      <c r="J25" s="12"/>
      <c r="K25" s="32" t="str">
        <f>"102,5"</f>
        <v>102,5</v>
      </c>
      <c r="L25" s="37" t="str">
        <f>"74,1588"</f>
        <v>74,1588</v>
      </c>
      <c r="M25" s="11" t="s">
        <v>465</v>
      </c>
    </row>
    <row r="26" spans="1:13">
      <c r="A26" s="12" t="s">
        <v>148</v>
      </c>
      <c r="B26" s="11" t="s">
        <v>287</v>
      </c>
      <c r="C26" s="11" t="s">
        <v>288</v>
      </c>
      <c r="D26" s="11" t="s">
        <v>289</v>
      </c>
      <c r="E26" s="11" t="s">
        <v>571</v>
      </c>
      <c r="F26" s="11" t="s">
        <v>193</v>
      </c>
      <c r="G26" s="23" t="s">
        <v>37</v>
      </c>
      <c r="H26" s="23" t="s">
        <v>15</v>
      </c>
      <c r="I26" s="24" t="s">
        <v>45</v>
      </c>
      <c r="J26" s="12"/>
      <c r="K26" s="32" t="str">
        <f>"150,0"</f>
        <v>150,0</v>
      </c>
      <c r="L26" s="37" t="str">
        <f>"109,0650"</f>
        <v>109,0650</v>
      </c>
      <c r="M26" s="11"/>
    </row>
    <row r="27" spans="1:13">
      <c r="A27" s="12" t="s">
        <v>151</v>
      </c>
      <c r="B27" s="11" t="s">
        <v>472</v>
      </c>
      <c r="C27" s="11" t="s">
        <v>473</v>
      </c>
      <c r="D27" s="11" t="s">
        <v>474</v>
      </c>
      <c r="E27" s="11" t="s">
        <v>571</v>
      </c>
      <c r="F27" s="11" t="s">
        <v>14</v>
      </c>
      <c r="G27" s="23" t="s">
        <v>53</v>
      </c>
      <c r="H27" s="23" t="s">
        <v>36</v>
      </c>
      <c r="I27" s="23" t="s">
        <v>178</v>
      </c>
      <c r="J27" s="12"/>
      <c r="K27" s="32" t="str">
        <f>"135,0"</f>
        <v>135,0</v>
      </c>
      <c r="L27" s="37" t="str">
        <f>"97,2945"</f>
        <v>97,2945</v>
      </c>
      <c r="M27" s="11" t="s">
        <v>475</v>
      </c>
    </row>
    <row r="28" spans="1:13">
      <c r="A28" s="14" t="s">
        <v>152</v>
      </c>
      <c r="B28" s="13" t="s">
        <v>476</v>
      </c>
      <c r="C28" s="13" t="s">
        <v>477</v>
      </c>
      <c r="D28" s="13" t="s">
        <v>478</v>
      </c>
      <c r="E28" s="13" t="s">
        <v>571</v>
      </c>
      <c r="F28" s="13" t="s">
        <v>557</v>
      </c>
      <c r="G28" s="26" t="s">
        <v>53</v>
      </c>
      <c r="H28" s="25" t="s">
        <v>53</v>
      </c>
      <c r="I28" s="25" t="s">
        <v>36</v>
      </c>
      <c r="J28" s="14"/>
      <c r="K28" s="30" t="str">
        <f>"130,0"</f>
        <v>130,0</v>
      </c>
      <c r="L28" s="35" t="str">
        <f>"92,6380"</f>
        <v>92,6380</v>
      </c>
      <c r="M28" s="13" t="s">
        <v>479</v>
      </c>
    </row>
    <row r="29" spans="1:13">
      <c r="B29" s="5" t="s">
        <v>149</v>
      </c>
    </row>
    <row r="30" spans="1:13" ht="16">
      <c r="A30" s="70" t="s">
        <v>28</v>
      </c>
      <c r="B30" s="70"/>
      <c r="C30" s="70"/>
      <c r="D30" s="70"/>
      <c r="E30" s="70"/>
      <c r="F30" s="70"/>
      <c r="G30" s="70"/>
      <c r="H30" s="70"/>
      <c r="I30" s="70"/>
      <c r="J30" s="70"/>
    </row>
    <row r="31" spans="1:13">
      <c r="A31" s="10" t="s">
        <v>148</v>
      </c>
      <c r="B31" s="9" t="s">
        <v>480</v>
      </c>
      <c r="C31" s="9" t="s">
        <v>481</v>
      </c>
      <c r="D31" s="9" t="s">
        <v>482</v>
      </c>
      <c r="E31" s="9" t="s">
        <v>571</v>
      </c>
      <c r="F31" s="9" t="s">
        <v>541</v>
      </c>
      <c r="G31" s="27" t="s">
        <v>36</v>
      </c>
      <c r="H31" s="22" t="s">
        <v>54</v>
      </c>
      <c r="I31" s="22" t="s">
        <v>213</v>
      </c>
      <c r="J31" s="10"/>
      <c r="K31" s="29" t="str">
        <f>"137,5"</f>
        <v>137,5</v>
      </c>
      <c r="L31" s="34">
        <f ca="1">K31*E31</f>
        <v>94.71</v>
      </c>
      <c r="M31" s="9" t="s">
        <v>483</v>
      </c>
    </row>
    <row r="32" spans="1:13">
      <c r="A32" s="12" t="s">
        <v>151</v>
      </c>
      <c r="B32" s="11" t="s">
        <v>484</v>
      </c>
      <c r="C32" s="11" t="s">
        <v>485</v>
      </c>
      <c r="D32" s="11" t="s">
        <v>486</v>
      </c>
      <c r="E32" s="11" t="s">
        <v>571</v>
      </c>
      <c r="F32" s="11" t="s">
        <v>14</v>
      </c>
      <c r="G32" s="23" t="s">
        <v>280</v>
      </c>
      <c r="H32" s="24" t="s">
        <v>185</v>
      </c>
      <c r="I32" s="24" t="s">
        <v>185</v>
      </c>
      <c r="J32" s="12"/>
      <c r="K32" s="32" t="str">
        <f>"122,5"</f>
        <v>122,5</v>
      </c>
      <c r="L32" s="37" t="str">
        <f>"82,3077"</f>
        <v>82,3077</v>
      </c>
      <c r="M32" s="11" t="s">
        <v>238</v>
      </c>
    </row>
    <row r="33" spans="1:13">
      <c r="A33" s="14" t="s">
        <v>148</v>
      </c>
      <c r="B33" s="13" t="s">
        <v>480</v>
      </c>
      <c r="C33" s="13" t="s">
        <v>487</v>
      </c>
      <c r="D33" s="13" t="s">
        <v>482</v>
      </c>
      <c r="E33" s="13" t="s">
        <v>574</v>
      </c>
      <c r="F33" s="13" t="s">
        <v>541</v>
      </c>
      <c r="G33" s="26" t="s">
        <v>36</v>
      </c>
      <c r="H33" s="25" t="s">
        <v>54</v>
      </c>
      <c r="I33" s="25" t="s">
        <v>213</v>
      </c>
      <c r="J33" s="14"/>
      <c r="K33" s="30" t="str">
        <f>"137,5"</f>
        <v>137,5</v>
      </c>
      <c r="L33" s="35">
        <v>94.71</v>
      </c>
      <c r="M33" s="13" t="s">
        <v>483</v>
      </c>
    </row>
    <row r="34" spans="1:13">
      <c r="B34" s="5" t="s">
        <v>149</v>
      </c>
    </row>
    <row r="35" spans="1:13" ht="16">
      <c r="A35" s="70" t="s">
        <v>10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3" ht="13" customHeight="1">
      <c r="A36" s="38" t="s">
        <v>150</v>
      </c>
      <c r="B36" s="43" t="s">
        <v>187</v>
      </c>
      <c r="C36" s="43" t="s">
        <v>188</v>
      </c>
      <c r="D36" s="43" t="s">
        <v>189</v>
      </c>
      <c r="E36" s="43" t="s">
        <v>570</v>
      </c>
      <c r="F36" s="9" t="s">
        <v>14</v>
      </c>
      <c r="G36" s="55" t="s">
        <v>72</v>
      </c>
      <c r="H36" s="46" t="s">
        <v>44</v>
      </c>
      <c r="I36" s="46" t="s">
        <v>16</v>
      </c>
      <c r="J36" s="49"/>
      <c r="K36" s="52">
        <v>160</v>
      </c>
      <c r="L36" s="39">
        <f ca="1">K36*E36</f>
        <v>105.616</v>
      </c>
      <c r="M36" s="9" t="s">
        <v>38</v>
      </c>
    </row>
    <row r="37" spans="1:13">
      <c r="A37" s="40" t="s">
        <v>148</v>
      </c>
      <c r="B37" s="44" t="s">
        <v>182</v>
      </c>
      <c r="C37" s="44" t="s">
        <v>183</v>
      </c>
      <c r="D37" s="44" t="s">
        <v>184</v>
      </c>
      <c r="E37" s="44" t="s">
        <v>570</v>
      </c>
      <c r="F37" s="11" t="s">
        <v>14</v>
      </c>
      <c r="G37" s="47" t="s">
        <v>185</v>
      </c>
      <c r="H37" s="56" t="s">
        <v>185</v>
      </c>
      <c r="I37" s="47" t="s">
        <v>54</v>
      </c>
      <c r="J37" s="50"/>
      <c r="K37" s="53" t="str">
        <f>"127,5"</f>
        <v>127,5</v>
      </c>
      <c r="L37" s="33" t="str">
        <f>"81,7275"</f>
        <v>81,7275</v>
      </c>
      <c r="M37" s="11" t="s">
        <v>38</v>
      </c>
    </row>
    <row r="38" spans="1:13">
      <c r="A38" s="40" t="s">
        <v>148</v>
      </c>
      <c r="B38" s="44" t="s">
        <v>488</v>
      </c>
      <c r="C38" s="44" t="s">
        <v>489</v>
      </c>
      <c r="D38" s="44" t="s">
        <v>64</v>
      </c>
      <c r="E38" s="44" t="s">
        <v>571</v>
      </c>
      <c r="F38" s="11" t="s">
        <v>193</v>
      </c>
      <c r="G38" s="56" t="s">
        <v>72</v>
      </c>
      <c r="H38" s="47" t="s">
        <v>44</v>
      </c>
      <c r="I38" s="47" t="s">
        <v>44</v>
      </c>
      <c r="J38" s="50"/>
      <c r="K38" s="53" t="str">
        <f>"145,0"</f>
        <v>145,0</v>
      </c>
      <c r="L38" s="33" t="str">
        <f>"93,9455"</f>
        <v>93,9455</v>
      </c>
      <c r="M38" s="11" t="s">
        <v>38</v>
      </c>
    </row>
    <row r="39" spans="1:13">
      <c r="A39" s="40" t="s">
        <v>151</v>
      </c>
      <c r="B39" s="44" t="s">
        <v>490</v>
      </c>
      <c r="C39" s="44" t="s">
        <v>491</v>
      </c>
      <c r="D39" s="44" t="s">
        <v>13</v>
      </c>
      <c r="E39" s="44" t="s">
        <v>571</v>
      </c>
      <c r="F39" s="11" t="s">
        <v>193</v>
      </c>
      <c r="G39" s="56" t="s">
        <v>54</v>
      </c>
      <c r="H39" s="56" t="s">
        <v>213</v>
      </c>
      <c r="I39" s="47" t="s">
        <v>37</v>
      </c>
      <c r="J39" s="50"/>
      <c r="K39" s="53" t="str">
        <f>"137,5"</f>
        <v>137,5</v>
      </c>
      <c r="L39" s="33" t="str">
        <f>"88,3850"</f>
        <v>88,3850</v>
      </c>
      <c r="M39" s="11" t="s">
        <v>38</v>
      </c>
    </row>
    <row r="40" spans="1:13">
      <c r="A40" s="41" t="s">
        <v>148</v>
      </c>
      <c r="B40" s="45" t="s">
        <v>492</v>
      </c>
      <c r="C40" s="45" t="s">
        <v>493</v>
      </c>
      <c r="D40" s="45" t="s">
        <v>494</v>
      </c>
      <c r="E40" s="45" t="s">
        <v>572</v>
      </c>
      <c r="F40" s="13" t="s">
        <v>32</v>
      </c>
      <c r="G40" s="48" t="s">
        <v>178</v>
      </c>
      <c r="H40" s="48" t="s">
        <v>37</v>
      </c>
      <c r="I40" s="48" t="s">
        <v>72</v>
      </c>
      <c r="J40" s="51"/>
      <c r="K40" s="54" t="str">
        <f>"145,0"</f>
        <v>145,0</v>
      </c>
      <c r="L40" s="42" t="str">
        <f>"98,8598"</f>
        <v>98,8598</v>
      </c>
      <c r="M40" s="13"/>
    </row>
    <row r="41" spans="1:13">
      <c r="B41" s="5" t="s">
        <v>149</v>
      </c>
    </row>
    <row r="42" spans="1:13" ht="16">
      <c r="A42" s="70" t="s">
        <v>68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3">
      <c r="A43" s="10" t="s">
        <v>148</v>
      </c>
      <c r="B43" s="9" t="s">
        <v>495</v>
      </c>
      <c r="C43" s="9" t="s">
        <v>496</v>
      </c>
      <c r="D43" s="9" t="s">
        <v>393</v>
      </c>
      <c r="E43" s="9" t="s">
        <v>571</v>
      </c>
      <c r="F43" s="9" t="s">
        <v>265</v>
      </c>
      <c r="G43" s="22" t="s">
        <v>409</v>
      </c>
      <c r="H43" s="27" t="s">
        <v>111</v>
      </c>
      <c r="I43" s="27" t="s">
        <v>111</v>
      </c>
      <c r="J43" s="10"/>
      <c r="K43" s="29" t="str">
        <f>"177,5"</f>
        <v>177,5</v>
      </c>
      <c r="L43" s="34" t="str">
        <f>"108,4170"</f>
        <v>108,4170</v>
      </c>
      <c r="M43" s="9"/>
    </row>
    <row r="44" spans="1:13">
      <c r="A44" s="12" t="s">
        <v>151</v>
      </c>
      <c r="B44" s="11" t="s">
        <v>497</v>
      </c>
      <c r="C44" s="11" t="s">
        <v>498</v>
      </c>
      <c r="D44" s="11" t="s">
        <v>499</v>
      </c>
      <c r="E44" s="11" t="s">
        <v>571</v>
      </c>
      <c r="F44" s="11" t="s">
        <v>500</v>
      </c>
      <c r="G44" s="24" t="s">
        <v>107</v>
      </c>
      <c r="H44" s="23" t="s">
        <v>107</v>
      </c>
      <c r="I44" s="24" t="s">
        <v>111</v>
      </c>
      <c r="J44" s="12"/>
      <c r="K44" s="32" t="str">
        <f>"175,0"</f>
        <v>175,0</v>
      </c>
      <c r="L44" s="37" t="str">
        <f>"106,6275"</f>
        <v>106,6275</v>
      </c>
      <c r="M44" s="11"/>
    </row>
    <row r="45" spans="1:13">
      <c r="A45" s="12" t="s">
        <v>152</v>
      </c>
      <c r="B45" s="11" t="s">
        <v>501</v>
      </c>
      <c r="C45" s="11" t="s">
        <v>502</v>
      </c>
      <c r="D45" s="11" t="s">
        <v>503</v>
      </c>
      <c r="E45" s="11" t="s">
        <v>571</v>
      </c>
      <c r="F45" s="11" t="s">
        <v>558</v>
      </c>
      <c r="G45" s="23" t="s">
        <v>37</v>
      </c>
      <c r="H45" s="23" t="s">
        <v>223</v>
      </c>
      <c r="I45" s="12"/>
      <c r="J45" s="12"/>
      <c r="K45" s="32" t="str">
        <f>"162,5"</f>
        <v>162,5</v>
      </c>
      <c r="L45" s="37" t="str">
        <f>"101,0262"</f>
        <v>101,0262</v>
      </c>
      <c r="M45" s="11" t="s">
        <v>555</v>
      </c>
    </row>
    <row r="46" spans="1:13">
      <c r="A46" s="12" t="s">
        <v>449</v>
      </c>
      <c r="B46" s="11" t="s">
        <v>504</v>
      </c>
      <c r="C46" s="11" t="s">
        <v>505</v>
      </c>
      <c r="D46" s="11" t="s">
        <v>506</v>
      </c>
      <c r="E46" s="11" t="s">
        <v>571</v>
      </c>
      <c r="F46" s="11" t="s">
        <v>51</v>
      </c>
      <c r="G46" s="23" t="s">
        <v>72</v>
      </c>
      <c r="H46" s="24" t="s">
        <v>44</v>
      </c>
      <c r="I46" s="24" t="s">
        <v>44</v>
      </c>
      <c r="J46" s="12"/>
      <c r="K46" s="32" t="str">
        <f>"145,0"</f>
        <v>145,0</v>
      </c>
      <c r="L46" s="37" t="str">
        <f>"88,3195"</f>
        <v>88,3195</v>
      </c>
      <c r="M46" s="11" t="s">
        <v>38</v>
      </c>
    </row>
    <row r="47" spans="1:13">
      <c r="A47" s="12" t="s">
        <v>450</v>
      </c>
      <c r="B47" s="11" t="s">
        <v>194</v>
      </c>
      <c r="C47" s="11" t="s">
        <v>195</v>
      </c>
      <c r="D47" s="11" t="s">
        <v>196</v>
      </c>
      <c r="E47" s="11" t="s">
        <v>571</v>
      </c>
      <c r="F47" s="11" t="s">
        <v>193</v>
      </c>
      <c r="G47" s="24" t="s">
        <v>37</v>
      </c>
      <c r="H47" s="23" t="s">
        <v>37</v>
      </c>
      <c r="I47" s="24" t="s">
        <v>15</v>
      </c>
      <c r="J47" s="12"/>
      <c r="K47" s="32" t="str">
        <f>"140,0"</f>
        <v>140,0</v>
      </c>
      <c r="L47" s="37" t="str">
        <f>"87,2060"</f>
        <v>87,2060</v>
      </c>
      <c r="M47" s="11" t="s">
        <v>38</v>
      </c>
    </row>
    <row r="48" spans="1:13">
      <c r="A48" s="14" t="s">
        <v>148</v>
      </c>
      <c r="B48" s="13" t="s">
        <v>507</v>
      </c>
      <c r="C48" s="13" t="s">
        <v>508</v>
      </c>
      <c r="D48" s="13" t="s">
        <v>509</v>
      </c>
      <c r="E48" s="13" t="s">
        <v>572</v>
      </c>
      <c r="F48" s="13" t="s">
        <v>14</v>
      </c>
      <c r="G48" s="26" t="s">
        <v>178</v>
      </c>
      <c r="H48" s="25" t="s">
        <v>178</v>
      </c>
      <c r="I48" s="25" t="s">
        <v>72</v>
      </c>
      <c r="J48" s="14"/>
      <c r="K48" s="30" t="str">
        <f>"145,0"</f>
        <v>145,0</v>
      </c>
      <c r="L48" s="35" t="str">
        <f>"94,8636"</f>
        <v>94,8636</v>
      </c>
      <c r="M48" s="13"/>
    </row>
    <row r="49" spans="1:13">
      <c r="B49" s="5" t="s">
        <v>149</v>
      </c>
    </row>
    <row r="50" spans="1:13" ht="16">
      <c r="A50" s="70" t="s">
        <v>74</v>
      </c>
      <c r="B50" s="70"/>
      <c r="C50" s="70"/>
      <c r="D50" s="70"/>
      <c r="E50" s="70"/>
      <c r="F50" s="70"/>
      <c r="G50" s="70"/>
      <c r="H50" s="70"/>
      <c r="I50" s="70"/>
      <c r="J50" s="70"/>
    </row>
    <row r="51" spans="1:13">
      <c r="A51" s="10" t="s">
        <v>148</v>
      </c>
      <c r="B51" s="9" t="s">
        <v>510</v>
      </c>
      <c r="C51" s="9" t="s">
        <v>511</v>
      </c>
      <c r="D51" s="9" t="s">
        <v>512</v>
      </c>
      <c r="E51" s="9" t="s">
        <v>571</v>
      </c>
      <c r="F51" s="9" t="s">
        <v>32</v>
      </c>
      <c r="G51" s="22" t="s">
        <v>45</v>
      </c>
      <c r="H51" s="22" t="s">
        <v>17</v>
      </c>
      <c r="I51" s="27" t="s">
        <v>21</v>
      </c>
      <c r="J51" s="10"/>
      <c r="K51" s="29" t="str">
        <f>"167,5"</f>
        <v>167,5</v>
      </c>
      <c r="L51" s="34" t="str">
        <f>"100,1315"</f>
        <v>100,1315</v>
      </c>
      <c r="M51" s="9"/>
    </row>
    <row r="52" spans="1:13">
      <c r="A52" s="14" t="s">
        <v>151</v>
      </c>
      <c r="B52" s="13" t="s">
        <v>513</v>
      </c>
      <c r="C52" s="13" t="s">
        <v>514</v>
      </c>
      <c r="D52" s="13" t="s">
        <v>77</v>
      </c>
      <c r="E52" s="13" t="s">
        <v>571</v>
      </c>
      <c r="F52" s="13" t="s">
        <v>116</v>
      </c>
      <c r="G52" s="26" t="s">
        <v>16</v>
      </c>
      <c r="H52" s="25" t="s">
        <v>16</v>
      </c>
      <c r="I52" s="25" t="s">
        <v>17</v>
      </c>
      <c r="J52" s="14"/>
      <c r="K52" s="30" t="str">
        <f>"167,5"</f>
        <v>167,5</v>
      </c>
      <c r="L52" s="35" t="str">
        <f>"99,1768"</f>
        <v>99,1768</v>
      </c>
      <c r="M52" s="13" t="s">
        <v>515</v>
      </c>
    </row>
    <row r="53" spans="1:13">
      <c r="B53" s="5" t="s">
        <v>149</v>
      </c>
    </row>
    <row r="54" spans="1:13">
      <c r="B54" s="5" t="s">
        <v>149</v>
      </c>
    </row>
    <row r="55" spans="1:13">
      <c r="B55" s="5" t="s">
        <v>149</v>
      </c>
    </row>
    <row r="56" spans="1:13" ht="18">
      <c r="B56" s="15" t="s">
        <v>129</v>
      </c>
      <c r="C56" s="15"/>
      <c r="F56" s="3"/>
    </row>
    <row r="57" spans="1:13" ht="16">
      <c r="B57" s="16" t="s">
        <v>130</v>
      </c>
      <c r="C57" s="16"/>
      <c r="F57" s="3"/>
    </row>
    <row r="58" spans="1:13" ht="14">
      <c r="B58" s="17"/>
      <c r="C58" s="18" t="s">
        <v>131</v>
      </c>
      <c r="F58" s="3"/>
    </row>
    <row r="59" spans="1:13" ht="14">
      <c r="B59" s="19" t="s">
        <v>132</v>
      </c>
      <c r="C59" s="19" t="s">
        <v>133</v>
      </c>
      <c r="D59" s="19" t="s">
        <v>542</v>
      </c>
      <c r="E59" s="19" t="s">
        <v>438</v>
      </c>
      <c r="F59" s="19" t="s">
        <v>135</v>
      </c>
    </row>
    <row r="60" spans="1:13">
      <c r="B60" s="5" t="s">
        <v>271</v>
      </c>
      <c r="C60" s="5" t="s">
        <v>131</v>
      </c>
      <c r="D60" s="6" t="s">
        <v>321</v>
      </c>
      <c r="E60" s="6" t="s">
        <v>18</v>
      </c>
      <c r="F60" s="6" t="s">
        <v>516</v>
      </c>
    </row>
    <row r="61" spans="1:13">
      <c r="B61" s="5" t="s">
        <v>459</v>
      </c>
      <c r="C61" s="5" t="s">
        <v>131</v>
      </c>
      <c r="D61" s="6" t="s">
        <v>318</v>
      </c>
      <c r="E61" s="6" t="s">
        <v>157</v>
      </c>
      <c r="F61" s="6" t="s">
        <v>517</v>
      </c>
    </row>
    <row r="62" spans="1:13">
      <c r="B62" s="5" t="s">
        <v>253</v>
      </c>
      <c r="C62" s="5" t="s">
        <v>131</v>
      </c>
      <c r="D62" s="6" t="s">
        <v>318</v>
      </c>
      <c r="E62" s="6" t="s">
        <v>166</v>
      </c>
      <c r="F62" s="6" t="s">
        <v>518</v>
      </c>
    </row>
    <row r="64" spans="1:13" ht="16">
      <c r="B64" s="16" t="s">
        <v>137</v>
      </c>
      <c r="C64" s="16"/>
    </row>
    <row r="65" spans="2:6" ht="14">
      <c r="B65" s="17"/>
      <c r="C65" s="18" t="s">
        <v>131</v>
      </c>
    </row>
    <row r="66" spans="2:6" ht="14">
      <c r="B66" s="19" t="s">
        <v>132</v>
      </c>
      <c r="C66" s="19" t="s">
        <v>133</v>
      </c>
      <c r="D66" s="19" t="s">
        <v>542</v>
      </c>
      <c r="E66" s="19" t="s">
        <v>438</v>
      </c>
      <c r="F66" s="19" t="s">
        <v>135</v>
      </c>
    </row>
    <row r="67" spans="2:6">
      <c r="B67" s="5" t="s">
        <v>287</v>
      </c>
      <c r="C67" s="5" t="s">
        <v>131</v>
      </c>
      <c r="D67" s="6" t="s">
        <v>321</v>
      </c>
      <c r="E67" s="6" t="s">
        <v>15</v>
      </c>
      <c r="F67" s="6" t="s">
        <v>519</v>
      </c>
    </row>
    <row r="68" spans="2:6">
      <c r="B68" s="5" t="s">
        <v>495</v>
      </c>
      <c r="C68" s="5" t="s">
        <v>131</v>
      </c>
      <c r="D68" s="6" t="s">
        <v>199</v>
      </c>
      <c r="E68" s="6" t="s">
        <v>409</v>
      </c>
      <c r="F68" s="6" t="s">
        <v>520</v>
      </c>
    </row>
    <row r="69" spans="2:6">
      <c r="B69" s="5" t="s">
        <v>497</v>
      </c>
      <c r="C69" s="5" t="s">
        <v>131</v>
      </c>
      <c r="D69" s="6" t="s">
        <v>199</v>
      </c>
      <c r="E69" s="6" t="s">
        <v>107</v>
      </c>
      <c r="F69" s="6" t="s">
        <v>556</v>
      </c>
    </row>
  </sheetData>
  <mergeCells count="21">
    <mergeCell ref="A35:J35"/>
    <mergeCell ref="A42:J42"/>
    <mergeCell ref="A50:J50"/>
    <mergeCell ref="B3:B4"/>
    <mergeCell ref="A9:J9"/>
    <mergeCell ref="A12:J12"/>
    <mergeCell ref="A17:J17"/>
    <mergeCell ref="A20:J20"/>
    <mergeCell ref="A23:J23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0"/>
  <sheetViews>
    <sheetView workbookViewId="0">
      <selection activeCell="E67" sqref="E67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4.832031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31.6640625" style="5" bestFit="1" customWidth="1"/>
    <col min="14" max="16384" width="9.1640625" style="3"/>
  </cols>
  <sheetData>
    <row r="1" spans="1:13" s="2" customFormat="1" ht="29" customHeight="1">
      <c r="A1" s="57" t="s">
        <v>536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8</v>
      </c>
      <c r="H3" s="69"/>
      <c r="I3" s="69"/>
      <c r="J3" s="69"/>
      <c r="K3" s="71" t="s">
        <v>448</v>
      </c>
      <c r="L3" s="69" t="s">
        <v>3</v>
      </c>
      <c r="M3" s="73" t="s">
        <v>2</v>
      </c>
    </row>
    <row r="4" spans="1:13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72"/>
      <c r="L4" s="68"/>
      <c r="M4" s="74"/>
    </row>
    <row r="5" spans="1:13" ht="16">
      <c r="A5" s="75" t="s">
        <v>228</v>
      </c>
      <c r="B5" s="75"/>
      <c r="C5" s="76"/>
      <c r="D5" s="76"/>
      <c r="E5" s="76"/>
      <c r="F5" s="76"/>
      <c r="G5" s="76"/>
      <c r="H5" s="76"/>
      <c r="I5" s="76"/>
      <c r="J5" s="76"/>
    </row>
    <row r="6" spans="1:13">
      <c r="A6" s="8" t="s">
        <v>148</v>
      </c>
      <c r="B6" s="7" t="s">
        <v>330</v>
      </c>
      <c r="C6" s="7" t="s">
        <v>331</v>
      </c>
      <c r="D6" s="7" t="s">
        <v>332</v>
      </c>
      <c r="E6" s="7" t="s">
        <v>571</v>
      </c>
      <c r="F6" s="7" t="s">
        <v>274</v>
      </c>
      <c r="G6" s="20" t="s">
        <v>270</v>
      </c>
      <c r="H6" s="21" t="s">
        <v>249</v>
      </c>
      <c r="I6" s="21" t="s">
        <v>249</v>
      </c>
      <c r="J6" s="8"/>
      <c r="K6" s="31" t="str">
        <f>"65,0"</f>
        <v>65,0</v>
      </c>
      <c r="L6" s="8" t="str">
        <f>"87,1520"</f>
        <v>87,1520</v>
      </c>
      <c r="M6" s="7" t="s">
        <v>333</v>
      </c>
    </row>
    <row r="7" spans="1:13">
      <c r="B7" s="5" t="s">
        <v>149</v>
      </c>
    </row>
    <row r="8" spans="1:13" ht="16">
      <c r="A8" s="70" t="s">
        <v>252</v>
      </c>
      <c r="B8" s="70"/>
      <c r="C8" s="70"/>
      <c r="D8" s="70"/>
      <c r="E8" s="70"/>
      <c r="F8" s="70"/>
      <c r="G8" s="70"/>
      <c r="H8" s="70"/>
      <c r="I8" s="70"/>
      <c r="J8" s="70"/>
    </row>
    <row r="9" spans="1:13">
      <c r="A9" s="8" t="s">
        <v>148</v>
      </c>
      <c r="B9" s="7" t="s">
        <v>334</v>
      </c>
      <c r="C9" s="7" t="s">
        <v>335</v>
      </c>
      <c r="D9" s="7" t="s">
        <v>336</v>
      </c>
      <c r="E9" s="7" t="s">
        <v>571</v>
      </c>
      <c r="F9" s="7" t="s">
        <v>116</v>
      </c>
      <c r="G9" s="20" t="s">
        <v>337</v>
      </c>
      <c r="H9" s="20" t="s">
        <v>158</v>
      </c>
      <c r="I9" s="21" t="s">
        <v>266</v>
      </c>
      <c r="J9" s="8"/>
      <c r="K9" s="31" t="str">
        <f>"37,5"</f>
        <v>37,5</v>
      </c>
      <c r="L9" s="8" t="str">
        <f>"44,8762"</f>
        <v>44,8762</v>
      </c>
      <c r="M9" s="7" t="s">
        <v>559</v>
      </c>
    </row>
    <row r="10" spans="1:13">
      <c r="B10" s="5" t="s">
        <v>149</v>
      </c>
    </row>
    <row r="11" spans="1:13" ht="16">
      <c r="A11" s="70" t="s">
        <v>261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3">
      <c r="A12" s="10" t="s">
        <v>148</v>
      </c>
      <c r="B12" s="9" t="s">
        <v>338</v>
      </c>
      <c r="C12" s="9" t="s">
        <v>339</v>
      </c>
      <c r="D12" s="9" t="s">
        <v>340</v>
      </c>
      <c r="E12" s="9" t="s">
        <v>575</v>
      </c>
      <c r="F12" s="9" t="s">
        <v>274</v>
      </c>
      <c r="G12" s="22" t="s">
        <v>266</v>
      </c>
      <c r="H12" s="22" t="s">
        <v>243</v>
      </c>
      <c r="I12" s="22" t="s">
        <v>244</v>
      </c>
      <c r="J12" s="10"/>
      <c r="K12" s="29" t="str">
        <f>"47,5"</f>
        <v>47,5</v>
      </c>
      <c r="L12" s="10" t="str">
        <f>"53,1620"</f>
        <v>53,1620</v>
      </c>
      <c r="M12" s="9" t="s">
        <v>341</v>
      </c>
    </row>
    <row r="13" spans="1:13">
      <c r="A13" s="12" t="s">
        <v>148</v>
      </c>
      <c r="B13" s="11" t="s">
        <v>342</v>
      </c>
      <c r="C13" s="11" t="s">
        <v>343</v>
      </c>
      <c r="D13" s="11" t="s">
        <v>344</v>
      </c>
      <c r="E13" s="11" t="s">
        <v>571</v>
      </c>
      <c r="F13" s="11" t="s">
        <v>14</v>
      </c>
      <c r="G13" s="23" t="s">
        <v>236</v>
      </c>
      <c r="H13" s="23" t="s">
        <v>237</v>
      </c>
      <c r="I13" s="24" t="s">
        <v>26</v>
      </c>
      <c r="J13" s="12"/>
      <c r="K13" s="32" t="str">
        <f>"85,0"</f>
        <v>85,0</v>
      </c>
      <c r="L13" s="12" t="str">
        <f>"95,8885"</f>
        <v>95,8885</v>
      </c>
      <c r="M13" s="11" t="s">
        <v>560</v>
      </c>
    </row>
    <row r="14" spans="1:13">
      <c r="A14" s="14" t="s">
        <v>148</v>
      </c>
      <c r="B14" s="13" t="s">
        <v>345</v>
      </c>
      <c r="C14" s="13" t="s">
        <v>346</v>
      </c>
      <c r="D14" s="13" t="s">
        <v>347</v>
      </c>
      <c r="E14" s="13" t="s">
        <v>572</v>
      </c>
      <c r="F14" s="13" t="s">
        <v>14</v>
      </c>
      <c r="G14" s="26" t="s">
        <v>337</v>
      </c>
      <c r="H14" s="25" t="s">
        <v>158</v>
      </c>
      <c r="I14" s="25" t="s">
        <v>266</v>
      </c>
      <c r="J14" s="14"/>
      <c r="K14" s="30" t="str">
        <f>"40,0"</f>
        <v>40,0</v>
      </c>
      <c r="L14" s="14" t="str">
        <f>"46,9360"</f>
        <v>46,9360</v>
      </c>
      <c r="M14" s="13" t="s">
        <v>561</v>
      </c>
    </row>
    <row r="15" spans="1:13">
      <c r="B15" s="5" t="s">
        <v>149</v>
      </c>
    </row>
    <row r="16" spans="1:13" ht="16">
      <c r="A16" s="70" t="s">
        <v>168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3">
      <c r="A17" s="8" t="s">
        <v>148</v>
      </c>
      <c r="B17" s="7" t="s">
        <v>169</v>
      </c>
      <c r="C17" s="7" t="s">
        <v>170</v>
      </c>
      <c r="D17" s="7" t="s">
        <v>171</v>
      </c>
      <c r="E17" s="7" t="s">
        <v>571</v>
      </c>
      <c r="F17" s="7" t="s">
        <v>14</v>
      </c>
      <c r="G17" s="21" t="s">
        <v>166</v>
      </c>
      <c r="H17" s="20" t="s">
        <v>172</v>
      </c>
      <c r="I17" s="21" t="s">
        <v>173</v>
      </c>
      <c r="J17" s="8"/>
      <c r="K17" s="31" t="str">
        <f>"60,0"</f>
        <v>60,0</v>
      </c>
      <c r="L17" s="8" t="str">
        <f>"63,1620"</f>
        <v>63,1620</v>
      </c>
      <c r="M17" s="7" t="s">
        <v>38</v>
      </c>
    </row>
    <row r="18" spans="1:13">
      <c r="B18" s="5" t="s">
        <v>149</v>
      </c>
    </row>
    <row r="19" spans="1:13" ht="16">
      <c r="A19" s="70" t="s">
        <v>22</v>
      </c>
      <c r="B19" s="70"/>
      <c r="C19" s="70"/>
      <c r="D19" s="70"/>
      <c r="E19" s="70"/>
      <c r="F19" s="70"/>
      <c r="G19" s="70"/>
      <c r="H19" s="70"/>
      <c r="I19" s="70"/>
      <c r="J19" s="70"/>
    </row>
    <row r="20" spans="1:13">
      <c r="A20" s="8" t="s">
        <v>148</v>
      </c>
      <c r="B20" s="7" t="s">
        <v>348</v>
      </c>
      <c r="C20" s="7" t="s">
        <v>349</v>
      </c>
      <c r="D20" s="7" t="s">
        <v>350</v>
      </c>
      <c r="E20" s="7" t="s">
        <v>572</v>
      </c>
      <c r="F20" s="7" t="s">
        <v>116</v>
      </c>
      <c r="G20" s="20" t="s">
        <v>242</v>
      </c>
      <c r="H20" s="21" t="s">
        <v>244</v>
      </c>
      <c r="I20" s="20" t="s">
        <v>244</v>
      </c>
      <c r="J20" s="8"/>
      <c r="K20" s="31" t="str">
        <f>"47,5"</f>
        <v>47,5</v>
      </c>
      <c r="L20" s="8" t="str">
        <f>"48,6249"</f>
        <v>48,6249</v>
      </c>
      <c r="M20" s="7" t="s">
        <v>559</v>
      </c>
    </row>
    <row r="21" spans="1:13">
      <c r="B21" s="5" t="s">
        <v>149</v>
      </c>
    </row>
    <row r="22" spans="1:13" ht="16">
      <c r="A22" s="70" t="s">
        <v>168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3">
      <c r="A23" s="8" t="s">
        <v>148</v>
      </c>
      <c r="B23" s="7" t="s">
        <v>351</v>
      </c>
      <c r="C23" s="7" t="s">
        <v>352</v>
      </c>
      <c r="D23" s="7" t="s">
        <v>353</v>
      </c>
      <c r="E23" s="7" t="s">
        <v>571</v>
      </c>
      <c r="F23" s="7" t="s">
        <v>549</v>
      </c>
      <c r="G23" s="20" t="s">
        <v>354</v>
      </c>
      <c r="H23" s="20" t="s">
        <v>167</v>
      </c>
      <c r="I23" s="20" t="s">
        <v>127</v>
      </c>
      <c r="J23" s="8"/>
      <c r="K23" s="31" t="str">
        <f>"120,0"</f>
        <v>120,0</v>
      </c>
      <c r="L23" s="8" t="str">
        <f>"100,5360"</f>
        <v>100,5360</v>
      </c>
      <c r="M23" s="7" t="s">
        <v>355</v>
      </c>
    </row>
    <row r="24" spans="1:13">
      <c r="B24" s="5" t="s">
        <v>149</v>
      </c>
    </row>
    <row r="25" spans="1:13" ht="16">
      <c r="A25" s="70" t="s">
        <v>22</v>
      </c>
      <c r="B25" s="70"/>
      <c r="C25" s="70"/>
      <c r="D25" s="70"/>
      <c r="E25" s="70"/>
      <c r="F25" s="70"/>
      <c r="G25" s="70"/>
      <c r="H25" s="70"/>
      <c r="I25" s="70"/>
      <c r="J25" s="70"/>
    </row>
    <row r="26" spans="1:13">
      <c r="A26" s="10" t="s">
        <v>148</v>
      </c>
      <c r="B26" s="9" t="s">
        <v>356</v>
      </c>
      <c r="C26" s="9" t="s">
        <v>357</v>
      </c>
      <c r="D26" s="9" t="s">
        <v>358</v>
      </c>
      <c r="E26" s="9" t="s">
        <v>571</v>
      </c>
      <c r="F26" s="9" t="s">
        <v>14</v>
      </c>
      <c r="G26" s="22" t="s">
        <v>178</v>
      </c>
      <c r="H26" s="27" t="s">
        <v>72</v>
      </c>
      <c r="I26" s="27" t="s">
        <v>72</v>
      </c>
      <c r="J26" s="10"/>
      <c r="K26" s="29" t="str">
        <f>"135,0"</f>
        <v>135,0</v>
      </c>
      <c r="L26" s="10" t="str">
        <f>"97,9560"</f>
        <v>97,9560</v>
      </c>
      <c r="M26" s="9"/>
    </row>
    <row r="27" spans="1:13">
      <c r="A27" s="14" t="s">
        <v>148</v>
      </c>
      <c r="B27" s="13" t="s">
        <v>359</v>
      </c>
      <c r="C27" s="13" t="s">
        <v>360</v>
      </c>
      <c r="D27" s="13" t="s">
        <v>361</v>
      </c>
      <c r="E27" s="13" t="s">
        <v>572</v>
      </c>
      <c r="F27" s="13" t="s">
        <v>274</v>
      </c>
      <c r="G27" s="25" t="s">
        <v>362</v>
      </c>
      <c r="H27" s="25" t="s">
        <v>19</v>
      </c>
      <c r="I27" s="26" t="s">
        <v>20</v>
      </c>
      <c r="J27" s="14"/>
      <c r="K27" s="30" t="str">
        <f>"105,0"</f>
        <v>105,0</v>
      </c>
      <c r="L27" s="14" t="str">
        <f>"80,3515"</f>
        <v>80,3515</v>
      </c>
      <c r="M27" s="13" t="s">
        <v>562</v>
      </c>
    </row>
    <row r="28" spans="1:13">
      <c r="B28" s="5" t="s">
        <v>149</v>
      </c>
    </row>
    <row r="29" spans="1:13" ht="16">
      <c r="A29" s="70" t="s">
        <v>28</v>
      </c>
      <c r="B29" s="70"/>
      <c r="C29" s="70"/>
      <c r="D29" s="70"/>
      <c r="E29" s="70"/>
      <c r="F29" s="70"/>
      <c r="G29" s="70"/>
      <c r="H29" s="70"/>
      <c r="I29" s="70"/>
      <c r="J29" s="70"/>
    </row>
    <row r="30" spans="1:13">
      <c r="A30" s="10" t="s">
        <v>148</v>
      </c>
      <c r="B30" s="9" t="s">
        <v>363</v>
      </c>
      <c r="C30" s="9" t="s">
        <v>364</v>
      </c>
      <c r="D30" s="9" t="s">
        <v>365</v>
      </c>
      <c r="E30" s="9" t="s">
        <v>570</v>
      </c>
      <c r="F30" s="9" t="s">
        <v>116</v>
      </c>
      <c r="G30" s="22" t="s">
        <v>245</v>
      </c>
      <c r="H30" s="22" t="s">
        <v>236</v>
      </c>
      <c r="I30" s="27" t="s">
        <v>237</v>
      </c>
      <c r="J30" s="10"/>
      <c r="K30" s="29" t="str">
        <f>"80,0"</f>
        <v>80,0</v>
      </c>
      <c r="L30" s="10" t="str">
        <f>"55,2400"</f>
        <v>55,2400</v>
      </c>
      <c r="M30" s="9" t="s">
        <v>559</v>
      </c>
    </row>
    <row r="31" spans="1:13">
      <c r="A31" s="12" t="s">
        <v>148</v>
      </c>
      <c r="B31" s="11" t="s">
        <v>366</v>
      </c>
      <c r="C31" s="11" t="s">
        <v>367</v>
      </c>
      <c r="D31" s="11" t="s">
        <v>368</v>
      </c>
      <c r="E31" s="11" t="s">
        <v>571</v>
      </c>
      <c r="F31" s="11" t="s">
        <v>369</v>
      </c>
      <c r="G31" s="23" t="s">
        <v>186</v>
      </c>
      <c r="H31" s="23" t="s">
        <v>317</v>
      </c>
      <c r="I31" s="23" t="s">
        <v>73</v>
      </c>
      <c r="J31" s="12"/>
      <c r="K31" s="32" t="str">
        <f>"200,0"</f>
        <v>200,0</v>
      </c>
      <c r="L31" s="12" t="str">
        <f>"139,5000"</f>
        <v>139,5000</v>
      </c>
      <c r="M31" s="11"/>
    </row>
    <row r="32" spans="1:13">
      <c r="A32" s="12" t="s">
        <v>148</v>
      </c>
      <c r="B32" s="11" t="s">
        <v>370</v>
      </c>
      <c r="C32" s="11" t="s">
        <v>371</v>
      </c>
      <c r="D32" s="11" t="s">
        <v>372</v>
      </c>
      <c r="E32" s="11" t="s">
        <v>572</v>
      </c>
      <c r="F32" s="11" t="s">
        <v>14</v>
      </c>
      <c r="G32" s="23" t="s">
        <v>37</v>
      </c>
      <c r="H32" s="23" t="s">
        <v>43</v>
      </c>
      <c r="I32" s="24" t="s">
        <v>45</v>
      </c>
      <c r="J32" s="12"/>
      <c r="K32" s="32" t="str">
        <f>"147,5"</f>
        <v>147,5</v>
      </c>
      <c r="L32" s="12" t="str">
        <f>"108,2983"</f>
        <v>108,2983</v>
      </c>
      <c r="M32" s="11"/>
    </row>
    <row r="33" spans="1:13">
      <c r="A33" s="14" t="s">
        <v>148</v>
      </c>
      <c r="B33" s="13" t="s">
        <v>373</v>
      </c>
      <c r="C33" s="13" t="s">
        <v>374</v>
      </c>
      <c r="D33" s="13" t="s">
        <v>375</v>
      </c>
      <c r="E33" s="13" t="s">
        <v>576</v>
      </c>
      <c r="F33" s="13" t="s">
        <v>116</v>
      </c>
      <c r="G33" s="25" t="s">
        <v>18</v>
      </c>
      <c r="H33" s="25" t="s">
        <v>19</v>
      </c>
      <c r="I33" s="25" t="s">
        <v>125</v>
      </c>
      <c r="J33" s="14"/>
      <c r="K33" s="30" t="str">
        <f>"110,0"</f>
        <v>110,0</v>
      </c>
      <c r="L33" s="14" t="str">
        <f>"106,1349"</f>
        <v>106,1349</v>
      </c>
      <c r="M33" s="13" t="s">
        <v>559</v>
      </c>
    </row>
    <row r="34" spans="1:13">
      <c r="B34" s="5" t="s">
        <v>149</v>
      </c>
    </row>
    <row r="35" spans="1:13" ht="16">
      <c r="A35" s="70" t="s">
        <v>10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3">
      <c r="A36" s="10" t="s">
        <v>148</v>
      </c>
      <c r="B36" s="9" t="s">
        <v>376</v>
      </c>
      <c r="C36" s="9" t="s">
        <v>377</v>
      </c>
      <c r="D36" s="9" t="s">
        <v>378</v>
      </c>
      <c r="E36" s="9" t="s">
        <v>570</v>
      </c>
      <c r="F36" s="9" t="s">
        <v>32</v>
      </c>
      <c r="G36" s="27" t="s">
        <v>44</v>
      </c>
      <c r="H36" s="22" t="s">
        <v>44</v>
      </c>
      <c r="I36" s="27" t="s">
        <v>45</v>
      </c>
      <c r="J36" s="10"/>
      <c r="K36" s="29" t="str">
        <f>"152,5"</f>
        <v>152,5</v>
      </c>
      <c r="L36" s="10" t="str">
        <f>"98,2100"</f>
        <v>98,2100</v>
      </c>
      <c r="M36" s="9"/>
    </row>
    <row r="37" spans="1:13">
      <c r="A37" s="12" t="s">
        <v>152</v>
      </c>
      <c r="B37" s="11" t="s">
        <v>379</v>
      </c>
      <c r="C37" s="11" t="s">
        <v>380</v>
      </c>
      <c r="D37" s="11" t="s">
        <v>381</v>
      </c>
      <c r="E37" s="11" t="s">
        <v>570</v>
      </c>
      <c r="F37" s="11" t="s">
        <v>14</v>
      </c>
      <c r="G37" s="23" t="s">
        <v>53</v>
      </c>
      <c r="H37" s="23" t="s">
        <v>36</v>
      </c>
      <c r="I37" s="23" t="s">
        <v>54</v>
      </c>
      <c r="J37" s="12"/>
      <c r="K37" s="32" t="str">
        <f>"132,5"</f>
        <v>132,5</v>
      </c>
      <c r="L37" s="12" t="str">
        <f>"84,8795"</f>
        <v>84,8795</v>
      </c>
      <c r="M37" s="11" t="s">
        <v>563</v>
      </c>
    </row>
    <row r="38" spans="1:13">
      <c r="A38" s="12" t="s">
        <v>148</v>
      </c>
      <c r="B38" s="11" t="s">
        <v>56</v>
      </c>
      <c r="C38" s="11" t="s">
        <v>57</v>
      </c>
      <c r="D38" s="11" t="s">
        <v>58</v>
      </c>
      <c r="E38" s="11" t="s">
        <v>571</v>
      </c>
      <c r="F38" s="11" t="s">
        <v>14</v>
      </c>
      <c r="G38" s="23" t="s">
        <v>15</v>
      </c>
      <c r="H38" s="23" t="s">
        <v>16</v>
      </c>
      <c r="I38" s="24" t="s">
        <v>21</v>
      </c>
      <c r="J38" s="12"/>
      <c r="K38" s="32" t="str">
        <f>"160,0"</f>
        <v>160,0</v>
      </c>
      <c r="L38" s="12" t="str">
        <f>"103,3440"</f>
        <v>103,3440</v>
      </c>
      <c r="M38" s="11" t="s">
        <v>38</v>
      </c>
    </row>
    <row r="39" spans="1:13">
      <c r="A39" s="12" t="s">
        <v>148</v>
      </c>
      <c r="B39" s="11" t="s">
        <v>382</v>
      </c>
      <c r="C39" s="11" t="s">
        <v>383</v>
      </c>
      <c r="D39" s="11" t="s">
        <v>384</v>
      </c>
      <c r="E39" s="11" t="s">
        <v>572</v>
      </c>
      <c r="F39" s="11" t="s">
        <v>14</v>
      </c>
      <c r="G39" s="23" t="s">
        <v>203</v>
      </c>
      <c r="H39" s="24" t="s">
        <v>21</v>
      </c>
      <c r="I39" s="24" t="s">
        <v>21</v>
      </c>
      <c r="J39" s="12"/>
      <c r="K39" s="32" t="str">
        <f>"165,0"</f>
        <v>165,0</v>
      </c>
      <c r="L39" s="12" t="str">
        <f>"110,6081"</f>
        <v>110,6081</v>
      </c>
      <c r="M39" s="11"/>
    </row>
    <row r="40" spans="1:13">
      <c r="A40" s="12" t="s">
        <v>148</v>
      </c>
      <c r="B40" s="11" t="s">
        <v>385</v>
      </c>
      <c r="C40" s="11" t="s">
        <v>386</v>
      </c>
      <c r="D40" s="11" t="s">
        <v>387</v>
      </c>
      <c r="E40" s="11" t="s">
        <v>574</v>
      </c>
      <c r="F40" s="11" t="s">
        <v>274</v>
      </c>
      <c r="G40" s="23" t="s">
        <v>18</v>
      </c>
      <c r="H40" s="24" t="s">
        <v>19</v>
      </c>
      <c r="I40" s="23" t="s">
        <v>19</v>
      </c>
      <c r="J40" s="12"/>
      <c r="K40" s="32" t="str">
        <f>"105,0"</f>
        <v>105,0</v>
      </c>
      <c r="L40" s="12" t="str">
        <f>"85,2938"</f>
        <v>85,2938</v>
      </c>
      <c r="M40" s="11" t="s">
        <v>341</v>
      </c>
    </row>
    <row r="41" spans="1:13">
      <c r="A41" s="14" t="s">
        <v>148</v>
      </c>
      <c r="B41" s="13" t="s">
        <v>388</v>
      </c>
      <c r="C41" s="13" t="s">
        <v>389</v>
      </c>
      <c r="D41" s="13" t="s">
        <v>390</v>
      </c>
      <c r="E41" s="13" t="s">
        <v>576</v>
      </c>
      <c r="F41" s="13" t="s">
        <v>565</v>
      </c>
      <c r="G41" s="25" t="s">
        <v>26</v>
      </c>
      <c r="H41" s="25" t="s">
        <v>18</v>
      </c>
      <c r="I41" s="25" t="s">
        <v>20</v>
      </c>
      <c r="J41" s="14"/>
      <c r="K41" s="30" t="str">
        <f>"107,5"</f>
        <v>107,5</v>
      </c>
      <c r="L41" s="14" t="str">
        <f>"97,1544"</f>
        <v>97,1544</v>
      </c>
      <c r="M41" s="13"/>
    </row>
    <row r="42" spans="1:13">
      <c r="B42" s="5" t="s">
        <v>149</v>
      </c>
    </row>
    <row r="43" spans="1:13" ht="16">
      <c r="A43" s="70" t="s">
        <v>68</v>
      </c>
      <c r="B43" s="70"/>
      <c r="C43" s="70"/>
      <c r="D43" s="70"/>
      <c r="E43" s="70"/>
      <c r="F43" s="70"/>
      <c r="G43" s="70"/>
      <c r="H43" s="70"/>
      <c r="I43" s="70"/>
      <c r="J43" s="70"/>
    </row>
    <row r="44" spans="1:13">
      <c r="A44" s="10" t="s">
        <v>148</v>
      </c>
      <c r="B44" s="9" t="s">
        <v>391</v>
      </c>
      <c r="C44" s="9" t="s">
        <v>392</v>
      </c>
      <c r="D44" s="9" t="s">
        <v>393</v>
      </c>
      <c r="E44" s="9" t="s">
        <v>571</v>
      </c>
      <c r="F44" s="9" t="s">
        <v>557</v>
      </c>
      <c r="G44" s="22" t="s">
        <v>223</v>
      </c>
      <c r="H44" s="22" t="s">
        <v>21</v>
      </c>
      <c r="I44" s="27" t="s">
        <v>394</v>
      </c>
      <c r="J44" s="10"/>
      <c r="K44" s="29" t="str">
        <f>"170,0"</f>
        <v>170,0</v>
      </c>
      <c r="L44" s="10" t="str">
        <f>"103,8360"</f>
        <v>103,8360</v>
      </c>
      <c r="M44" s="9"/>
    </row>
    <row r="45" spans="1:13">
      <c r="A45" s="12" t="s">
        <v>151</v>
      </c>
      <c r="B45" s="11" t="s">
        <v>395</v>
      </c>
      <c r="C45" s="11" t="s">
        <v>396</v>
      </c>
      <c r="D45" s="11" t="s">
        <v>397</v>
      </c>
      <c r="E45" s="11" t="s">
        <v>571</v>
      </c>
      <c r="F45" s="11" t="s">
        <v>274</v>
      </c>
      <c r="G45" s="23" t="s">
        <v>45</v>
      </c>
      <c r="H45" s="23" t="s">
        <v>16</v>
      </c>
      <c r="I45" s="24" t="s">
        <v>203</v>
      </c>
      <c r="J45" s="12"/>
      <c r="K45" s="32" t="str">
        <f>"160,0"</f>
        <v>160,0</v>
      </c>
      <c r="L45" s="12" t="str">
        <f>"97,8080"</f>
        <v>97,8080</v>
      </c>
      <c r="M45" s="11"/>
    </row>
    <row r="46" spans="1:13">
      <c r="A46" s="14" t="s">
        <v>150</v>
      </c>
      <c r="B46" s="13" t="s">
        <v>398</v>
      </c>
      <c r="C46" s="13" t="s">
        <v>399</v>
      </c>
      <c r="D46" s="13" t="s">
        <v>393</v>
      </c>
      <c r="E46" s="13" t="s">
        <v>571</v>
      </c>
      <c r="F46" s="13" t="s">
        <v>14</v>
      </c>
      <c r="G46" s="26" t="s">
        <v>16</v>
      </c>
      <c r="H46" s="26" t="s">
        <v>223</v>
      </c>
      <c r="I46" s="26" t="s">
        <v>223</v>
      </c>
      <c r="J46" s="14"/>
      <c r="K46" s="30">
        <v>0</v>
      </c>
      <c r="L46" s="14" t="str">
        <f>"0,0000"</f>
        <v>0,0000</v>
      </c>
      <c r="M46" s="13" t="s">
        <v>38</v>
      </c>
    </row>
    <row r="47" spans="1:13">
      <c r="B47" s="5" t="s">
        <v>149</v>
      </c>
    </row>
    <row r="48" spans="1:13" ht="16">
      <c r="A48" s="70" t="s">
        <v>74</v>
      </c>
      <c r="B48" s="70"/>
      <c r="C48" s="70"/>
      <c r="D48" s="70"/>
      <c r="E48" s="70"/>
      <c r="F48" s="70"/>
      <c r="G48" s="70"/>
      <c r="H48" s="70"/>
      <c r="I48" s="70"/>
      <c r="J48" s="70"/>
    </row>
    <row r="49" spans="1:13">
      <c r="A49" s="10" t="s">
        <v>148</v>
      </c>
      <c r="B49" s="9" t="s">
        <v>400</v>
      </c>
      <c r="C49" s="9" t="s">
        <v>401</v>
      </c>
      <c r="D49" s="9" t="s">
        <v>402</v>
      </c>
      <c r="E49" s="9" t="s">
        <v>571</v>
      </c>
      <c r="F49" s="9" t="s">
        <v>14</v>
      </c>
      <c r="G49" s="22" t="s">
        <v>128</v>
      </c>
      <c r="H49" s="22" t="s">
        <v>46</v>
      </c>
      <c r="I49" s="22" t="s">
        <v>33</v>
      </c>
      <c r="J49" s="10"/>
      <c r="K49" s="29" t="str">
        <f>"220,0"</f>
        <v>220,0</v>
      </c>
      <c r="L49" s="10" t="str">
        <f>"132,9020"</f>
        <v>132,9020</v>
      </c>
      <c r="M49" s="9"/>
    </row>
    <row r="50" spans="1:13">
      <c r="A50" s="12" t="s">
        <v>151</v>
      </c>
      <c r="B50" s="11" t="s">
        <v>215</v>
      </c>
      <c r="C50" s="11" t="s">
        <v>216</v>
      </c>
      <c r="D50" s="11" t="s">
        <v>217</v>
      </c>
      <c r="E50" s="11" t="s">
        <v>571</v>
      </c>
      <c r="F50" s="11" t="s">
        <v>14</v>
      </c>
      <c r="G50" s="23" t="s">
        <v>52</v>
      </c>
      <c r="H50" s="23" t="s">
        <v>186</v>
      </c>
      <c r="I50" s="12"/>
      <c r="J50" s="12"/>
      <c r="K50" s="32" t="str">
        <f>"192,5"</f>
        <v>192,5</v>
      </c>
      <c r="L50" s="12" t="str">
        <f>"113,3825"</f>
        <v>113,3825</v>
      </c>
      <c r="M50" s="11" t="s">
        <v>551</v>
      </c>
    </row>
    <row r="51" spans="1:13">
      <c r="A51" s="12" t="s">
        <v>152</v>
      </c>
      <c r="B51" s="11" t="s">
        <v>403</v>
      </c>
      <c r="C51" s="11" t="s">
        <v>404</v>
      </c>
      <c r="D51" s="11" t="s">
        <v>405</v>
      </c>
      <c r="E51" s="11" t="s">
        <v>571</v>
      </c>
      <c r="F51" s="11" t="s">
        <v>14</v>
      </c>
      <c r="G51" s="23" t="s">
        <v>55</v>
      </c>
      <c r="H51" s="24" t="s">
        <v>73</v>
      </c>
      <c r="I51" s="24" t="s">
        <v>73</v>
      </c>
      <c r="J51" s="12"/>
      <c r="K51" s="32" t="str">
        <f>"190,0"</f>
        <v>190,0</v>
      </c>
      <c r="L51" s="12" t="str">
        <f>"113,6960"</f>
        <v>113,6960</v>
      </c>
      <c r="M51" s="11"/>
    </row>
    <row r="52" spans="1:13">
      <c r="A52" s="12" t="s">
        <v>449</v>
      </c>
      <c r="B52" s="11" t="s">
        <v>406</v>
      </c>
      <c r="C52" s="11" t="s">
        <v>407</v>
      </c>
      <c r="D52" s="11" t="s">
        <v>408</v>
      </c>
      <c r="E52" s="11" t="s">
        <v>571</v>
      </c>
      <c r="F52" s="11" t="s">
        <v>14</v>
      </c>
      <c r="G52" s="23" t="s">
        <v>409</v>
      </c>
      <c r="H52" s="23" t="s">
        <v>111</v>
      </c>
      <c r="I52" s="24" t="s">
        <v>186</v>
      </c>
      <c r="J52" s="12"/>
      <c r="K52" s="32" t="str">
        <f>"185,0"</f>
        <v>185,0</v>
      </c>
      <c r="L52" s="12" t="str">
        <f>"109,1130"</f>
        <v>109,1130</v>
      </c>
      <c r="M52" s="11" t="s">
        <v>564</v>
      </c>
    </row>
    <row r="53" spans="1:13">
      <c r="A53" s="12" t="s">
        <v>450</v>
      </c>
      <c r="B53" s="11" t="s">
        <v>410</v>
      </c>
      <c r="C53" s="11" t="s">
        <v>411</v>
      </c>
      <c r="D53" s="11" t="s">
        <v>412</v>
      </c>
      <c r="E53" s="11" t="s">
        <v>571</v>
      </c>
      <c r="F53" s="11" t="s">
        <v>14</v>
      </c>
      <c r="G53" s="23" t="s">
        <v>107</v>
      </c>
      <c r="H53" s="24" t="s">
        <v>294</v>
      </c>
      <c r="I53" s="24" t="s">
        <v>294</v>
      </c>
      <c r="J53" s="12"/>
      <c r="K53" s="32" t="str">
        <f>"175,0"</f>
        <v>175,0</v>
      </c>
      <c r="L53" s="12" t="str">
        <f>"105,2975"</f>
        <v>105,2975</v>
      </c>
      <c r="M53" s="11"/>
    </row>
    <row r="54" spans="1:13">
      <c r="A54" s="14" t="s">
        <v>148</v>
      </c>
      <c r="B54" s="13" t="s">
        <v>413</v>
      </c>
      <c r="C54" s="13" t="s">
        <v>414</v>
      </c>
      <c r="D54" s="13" t="s">
        <v>415</v>
      </c>
      <c r="E54" s="13" t="s">
        <v>572</v>
      </c>
      <c r="F54" s="13" t="s">
        <v>274</v>
      </c>
      <c r="G54" s="25" t="s">
        <v>21</v>
      </c>
      <c r="H54" s="25" t="s">
        <v>52</v>
      </c>
      <c r="I54" s="25" t="s">
        <v>111</v>
      </c>
      <c r="J54" s="14"/>
      <c r="K54" s="30" t="str">
        <f>"185,0"</f>
        <v>185,0</v>
      </c>
      <c r="L54" s="14" t="str">
        <f>"124,7875"</f>
        <v>124,7875</v>
      </c>
      <c r="M54" s="13" t="s">
        <v>333</v>
      </c>
    </row>
    <row r="55" spans="1:13">
      <c r="B55" s="5" t="s">
        <v>149</v>
      </c>
    </row>
    <row r="56" spans="1:13" ht="16">
      <c r="A56" s="70" t="s">
        <v>91</v>
      </c>
      <c r="B56" s="70"/>
      <c r="C56" s="70"/>
      <c r="D56" s="70"/>
      <c r="E56" s="70"/>
      <c r="F56" s="70"/>
      <c r="G56" s="70"/>
      <c r="H56" s="70"/>
      <c r="I56" s="70"/>
      <c r="J56" s="70"/>
    </row>
    <row r="57" spans="1:13">
      <c r="A57" s="10" t="s">
        <v>148</v>
      </c>
      <c r="B57" s="9" t="s">
        <v>416</v>
      </c>
      <c r="C57" s="9" t="s">
        <v>417</v>
      </c>
      <c r="D57" s="9" t="s">
        <v>418</v>
      </c>
      <c r="E57" s="9" t="s">
        <v>571</v>
      </c>
      <c r="F57" s="9" t="s">
        <v>419</v>
      </c>
      <c r="G57" s="22" t="s">
        <v>128</v>
      </c>
      <c r="H57" s="22" t="s">
        <v>33</v>
      </c>
      <c r="I57" s="27" t="s">
        <v>34</v>
      </c>
      <c r="J57" s="10"/>
      <c r="K57" s="29" t="str">
        <f>"220,0"</f>
        <v>220,0</v>
      </c>
      <c r="L57" s="10" t="str">
        <f>"127,5340"</f>
        <v>127,5340</v>
      </c>
      <c r="M57" s="9"/>
    </row>
    <row r="58" spans="1:13">
      <c r="A58" s="12" t="s">
        <v>151</v>
      </c>
      <c r="B58" s="11" t="s">
        <v>108</v>
      </c>
      <c r="C58" s="11" t="s">
        <v>109</v>
      </c>
      <c r="D58" s="11" t="s">
        <v>110</v>
      </c>
      <c r="E58" s="11" t="s">
        <v>571</v>
      </c>
      <c r="F58" s="11" t="s">
        <v>51</v>
      </c>
      <c r="G58" s="23" t="s">
        <v>111</v>
      </c>
      <c r="H58" s="23" t="s">
        <v>95</v>
      </c>
      <c r="I58" s="23" t="s">
        <v>80</v>
      </c>
      <c r="J58" s="12"/>
      <c r="K58" s="32" t="str">
        <f>"205,0"</f>
        <v>205,0</v>
      </c>
      <c r="L58" s="12" t="str">
        <f>"117,3830"</f>
        <v>117,3830</v>
      </c>
      <c r="M58" s="11" t="s">
        <v>38</v>
      </c>
    </row>
    <row r="59" spans="1:13">
      <c r="A59" s="12" t="s">
        <v>152</v>
      </c>
      <c r="B59" s="11" t="s">
        <v>420</v>
      </c>
      <c r="C59" s="11" t="s">
        <v>421</v>
      </c>
      <c r="D59" s="11" t="s">
        <v>422</v>
      </c>
      <c r="E59" s="11" t="s">
        <v>571</v>
      </c>
      <c r="F59" s="11" t="s">
        <v>51</v>
      </c>
      <c r="G59" s="24" t="s">
        <v>17</v>
      </c>
      <c r="H59" s="23" t="s">
        <v>17</v>
      </c>
      <c r="I59" s="23" t="s">
        <v>107</v>
      </c>
      <c r="J59" s="12"/>
      <c r="K59" s="32" t="str">
        <f>"175,0"</f>
        <v>175,0</v>
      </c>
      <c r="L59" s="12" t="str">
        <f>"102,4275"</f>
        <v>102,4275</v>
      </c>
      <c r="M59" s="11" t="s">
        <v>251</v>
      </c>
    </row>
    <row r="60" spans="1:13">
      <c r="A60" s="12" t="s">
        <v>148</v>
      </c>
      <c r="B60" s="11" t="s">
        <v>423</v>
      </c>
      <c r="C60" s="11" t="s">
        <v>424</v>
      </c>
      <c r="D60" s="11" t="s">
        <v>425</v>
      </c>
      <c r="E60" s="11" t="s">
        <v>572</v>
      </c>
      <c r="F60" s="11" t="s">
        <v>426</v>
      </c>
      <c r="G60" s="23" t="s">
        <v>55</v>
      </c>
      <c r="H60" s="23" t="s">
        <v>95</v>
      </c>
      <c r="I60" s="24" t="s">
        <v>317</v>
      </c>
      <c r="J60" s="12"/>
      <c r="K60" s="32" t="str">
        <f>"195,0"</f>
        <v>195,0</v>
      </c>
      <c r="L60" s="12" t="str">
        <f>"124,7911"</f>
        <v>124,7911</v>
      </c>
      <c r="M60" s="11"/>
    </row>
    <row r="61" spans="1:13">
      <c r="A61" s="12" t="s">
        <v>151</v>
      </c>
      <c r="B61" s="11" t="s">
        <v>420</v>
      </c>
      <c r="C61" s="11" t="s">
        <v>427</v>
      </c>
      <c r="D61" s="11" t="s">
        <v>422</v>
      </c>
      <c r="E61" s="11" t="s">
        <v>572</v>
      </c>
      <c r="F61" s="11" t="s">
        <v>51</v>
      </c>
      <c r="G61" s="24" t="s">
        <v>17</v>
      </c>
      <c r="H61" s="23" t="s">
        <v>17</v>
      </c>
      <c r="I61" s="23" t="s">
        <v>107</v>
      </c>
      <c r="J61" s="12"/>
      <c r="K61" s="32" t="str">
        <f>"175,0"</f>
        <v>175,0</v>
      </c>
      <c r="L61" s="12" t="str">
        <f>"102,4275"</f>
        <v>102,4275</v>
      </c>
      <c r="M61" s="11" t="s">
        <v>251</v>
      </c>
    </row>
    <row r="62" spans="1:13">
      <c r="A62" s="12" t="s">
        <v>150</v>
      </c>
      <c r="B62" s="11" t="s">
        <v>428</v>
      </c>
      <c r="C62" s="11" t="s">
        <v>429</v>
      </c>
      <c r="D62" s="11" t="s">
        <v>430</v>
      </c>
      <c r="E62" s="11" t="s">
        <v>572</v>
      </c>
      <c r="F62" s="11" t="s">
        <v>14</v>
      </c>
      <c r="G62" s="24" t="s">
        <v>203</v>
      </c>
      <c r="H62" s="24" t="s">
        <v>203</v>
      </c>
      <c r="I62" s="12"/>
      <c r="J62" s="12"/>
      <c r="K62" s="32">
        <v>0</v>
      </c>
      <c r="L62" s="12" t="str">
        <f>"0,0000"</f>
        <v>0,0000</v>
      </c>
      <c r="M62" s="11"/>
    </row>
    <row r="63" spans="1:13">
      <c r="A63" s="14" t="s">
        <v>148</v>
      </c>
      <c r="B63" s="13" t="s">
        <v>431</v>
      </c>
      <c r="C63" s="13" t="s">
        <v>432</v>
      </c>
      <c r="D63" s="13" t="s">
        <v>433</v>
      </c>
      <c r="E63" s="13" t="s">
        <v>574</v>
      </c>
      <c r="F63" s="13" t="s">
        <v>14</v>
      </c>
      <c r="G63" s="25" t="s">
        <v>36</v>
      </c>
      <c r="H63" s="25" t="s">
        <v>37</v>
      </c>
      <c r="I63" s="26" t="s">
        <v>434</v>
      </c>
      <c r="J63" s="14"/>
      <c r="K63" s="30" t="str">
        <f>"140,0"</f>
        <v>140,0</v>
      </c>
      <c r="L63" s="14" t="str">
        <f>"94,9724"</f>
        <v>94,9724</v>
      </c>
      <c r="M63" s="13"/>
    </row>
    <row r="64" spans="1:13">
      <c r="B64" s="5" t="s">
        <v>149</v>
      </c>
    </row>
    <row r="65" spans="1:13" ht="16">
      <c r="A65" s="70" t="s">
        <v>112</v>
      </c>
      <c r="B65" s="70"/>
      <c r="C65" s="70"/>
      <c r="D65" s="70"/>
      <c r="E65" s="70"/>
      <c r="F65" s="70"/>
      <c r="G65" s="70"/>
      <c r="H65" s="70"/>
      <c r="I65" s="70"/>
      <c r="J65" s="70"/>
    </row>
    <row r="66" spans="1:13">
      <c r="A66" s="8" t="s">
        <v>148</v>
      </c>
      <c r="B66" s="7" t="s">
        <v>435</v>
      </c>
      <c r="C66" s="7" t="s">
        <v>436</v>
      </c>
      <c r="D66" s="7" t="s">
        <v>437</v>
      </c>
      <c r="E66" s="7" t="s">
        <v>571</v>
      </c>
      <c r="F66" s="7" t="s">
        <v>51</v>
      </c>
      <c r="G66" s="20" t="s">
        <v>73</v>
      </c>
      <c r="H66" s="20" t="s">
        <v>128</v>
      </c>
      <c r="I66" s="21" t="s">
        <v>290</v>
      </c>
      <c r="J66" s="8"/>
      <c r="K66" s="31" t="str">
        <f>"210,0"</f>
        <v>210,0</v>
      </c>
      <c r="L66" s="8" t="str">
        <f>"118,0830"</f>
        <v>118,0830</v>
      </c>
      <c r="M66" s="7"/>
    </row>
    <row r="67" spans="1:13">
      <c r="B67" s="5" t="s">
        <v>149</v>
      </c>
    </row>
    <row r="68" spans="1:13">
      <c r="B68" s="5" t="s">
        <v>149</v>
      </c>
    </row>
    <row r="69" spans="1:13">
      <c r="B69" s="5" t="s">
        <v>149</v>
      </c>
    </row>
    <row r="70" spans="1:13" ht="18">
      <c r="B70" s="15" t="s">
        <v>129</v>
      </c>
      <c r="C70" s="15"/>
      <c r="F70" s="3"/>
    </row>
    <row r="71" spans="1:13" ht="16">
      <c r="B71" s="16" t="s">
        <v>130</v>
      </c>
      <c r="C71" s="16"/>
      <c r="F71" s="3"/>
    </row>
    <row r="72" spans="1:13" ht="14">
      <c r="B72" s="17"/>
      <c r="C72" s="18" t="s">
        <v>131</v>
      </c>
      <c r="F72" s="3"/>
    </row>
    <row r="73" spans="1:13" ht="14">
      <c r="B73" s="19" t="s">
        <v>132</v>
      </c>
      <c r="C73" s="19" t="s">
        <v>133</v>
      </c>
      <c r="D73" s="19" t="s">
        <v>542</v>
      </c>
      <c r="E73" s="19" t="s">
        <v>438</v>
      </c>
      <c r="F73" s="19" t="s">
        <v>135</v>
      </c>
    </row>
    <row r="74" spans="1:13">
      <c r="B74" s="5" t="s">
        <v>342</v>
      </c>
      <c r="C74" s="5" t="s">
        <v>131</v>
      </c>
      <c r="D74" s="6" t="s">
        <v>316</v>
      </c>
      <c r="E74" s="6" t="s">
        <v>237</v>
      </c>
      <c r="F74" s="6" t="s">
        <v>439</v>
      </c>
    </row>
    <row r="75" spans="1:13">
      <c r="B75" s="5" t="s">
        <v>330</v>
      </c>
      <c r="C75" s="5" t="s">
        <v>131</v>
      </c>
      <c r="D75" s="6" t="s">
        <v>315</v>
      </c>
      <c r="E75" s="6" t="s">
        <v>270</v>
      </c>
      <c r="F75" s="6" t="s">
        <v>440</v>
      </c>
    </row>
    <row r="76" spans="1:13">
      <c r="B76" s="5" t="s">
        <v>169</v>
      </c>
      <c r="C76" s="5" t="s">
        <v>131</v>
      </c>
      <c r="D76" s="6" t="s">
        <v>197</v>
      </c>
      <c r="E76" s="6" t="s">
        <v>172</v>
      </c>
      <c r="F76" s="6" t="s">
        <v>441</v>
      </c>
    </row>
    <row r="78" spans="1:13" ht="16">
      <c r="B78" s="16" t="s">
        <v>137</v>
      </c>
      <c r="C78" s="16"/>
    </row>
    <row r="79" spans="1:13" ht="14">
      <c r="B79" s="17"/>
      <c r="C79" s="18" t="s">
        <v>131</v>
      </c>
    </row>
    <row r="80" spans="1:13" ht="14">
      <c r="B80" s="19" t="s">
        <v>132</v>
      </c>
      <c r="C80" s="19" t="s">
        <v>133</v>
      </c>
      <c r="D80" s="19" t="s">
        <v>542</v>
      </c>
      <c r="E80" s="19" t="s">
        <v>438</v>
      </c>
      <c r="F80" s="19" t="s">
        <v>135</v>
      </c>
    </row>
    <row r="81" spans="2:6">
      <c r="B81" s="5" t="s">
        <v>366</v>
      </c>
      <c r="C81" s="5" t="s">
        <v>131</v>
      </c>
      <c r="D81" s="6" t="s">
        <v>198</v>
      </c>
      <c r="E81" s="6" t="s">
        <v>73</v>
      </c>
      <c r="F81" s="6" t="s">
        <v>442</v>
      </c>
    </row>
    <row r="82" spans="2:6">
      <c r="B82" s="5" t="s">
        <v>400</v>
      </c>
      <c r="C82" s="5" t="s">
        <v>131</v>
      </c>
      <c r="D82" s="6" t="s">
        <v>138</v>
      </c>
      <c r="E82" s="6" t="s">
        <v>33</v>
      </c>
      <c r="F82" s="6" t="s">
        <v>443</v>
      </c>
    </row>
    <row r="83" spans="2:6">
      <c r="B83" s="5" t="s">
        <v>416</v>
      </c>
      <c r="C83" s="5" t="s">
        <v>131</v>
      </c>
      <c r="D83" s="6" t="s">
        <v>143</v>
      </c>
      <c r="E83" s="6" t="s">
        <v>33</v>
      </c>
      <c r="F83" s="6" t="s">
        <v>444</v>
      </c>
    </row>
    <row r="85" spans="2:6" ht="14">
      <c r="B85" s="17"/>
      <c r="C85" s="18" t="s">
        <v>146</v>
      </c>
    </row>
    <row r="86" spans="2:6" ht="14">
      <c r="B86" s="19" t="s">
        <v>132</v>
      </c>
      <c r="C86" s="19" t="s">
        <v>133</v>
      </c>
      <c r="D86" s="19" t="s">
        <v>542</v>
      </c>
      <c r="E86" s="19" t="s">
        <v>438</v>
      </c>
      <c r="F86" s="19" t="s">
        <v>135</v>
      </c>
    </row>
    <row r="87" spans="2:6">
      <c r="B87" s="5" t="s">
        <v>423</v>
      </c>
      <c r="C87" s="5" t="s">
        <v>147</v>
      </c>
      <c r="D87" s="6" t="s">
        <v>143</v>
      </c>
      <c r="E87" s="6" t="s">
        <v>95</v>
      </c>
      <c r="F87" s="6" t="s">
        <v>445</v>
      </c>
    </row>
    <row r="88" spans="2:6">
      <c r="B88" s="5" t="s">
        <v>413</v>
      </c>
      <c r="C88" s="5" t="s">
        <v>147</v>
      </c>
      <c r="D88" s="6" t="s">
        <v>138</v>
      </c>
      <c r="E88" s="6" t="s">
        <v>111</v>
      </c>
      <c r="F88" s="6" t="s">
        <v>446</v>
      </c>
    </row>
    <row r="89" spans="2:6">
      <c r="B89" s="5" t="s">
        <v>382</v>
      </c>
      <c r="C89" s="5" t="s">
        <v>147</v>
      </c>
      <c r="D89" s="6" t="s">
        <v>136</v>
      </c>
      <c r="E89" s="6" t="s">
        <v>203</v>
      </c>
      <c r="F89" s="6" t="s">
        <v>447</v>
      </c>
    </row>
    <row r="90" spans="2:6">
      <c r="B90" s="5" t="s">
        <v>149</v>
      </c>
    </row>
  </sheetData>
  <mergeCells count="24">
    <mergeCell ref="A5:J5"/>
    <mergeCell ref="B3:B4"/>
    <mergeCell ref="A65:J65"/>
    <mergeCell ref="A8:J8"/>
    <mergeCell ref="A11:J11"/>
    <mergeCell ref="A16:J16"/>
    <mergeCell ref="A19:J19"/>
    <mergeCell ref="A22:J22"/>
    <mergeCell ref="A25:J25"/>
    <mergeCell ref="A29:J29"/>
    <mergeCell ref="A35:J35"/>
    <mergeCell ref="A43:J43"/>
    <mergeCell ref="A48:J48"/>
    <mergeCell ref="A56:J56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57" t="s">
        <v>533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567</v>
      </c>
      <c r="B3" s="77" t="s">
        <v>0</v>
      </c>
      <c r="C3" s="67" t="s">
        <v>568</v>
      </c>
      <c r="D3" s="67" t="s">
        <v>6</v>
      </c>
      <c r="E3" s="69" t="s">
        <v>569</v>
      </c>
      <c r="F3" s="69" t="s">
        <v>5</v>
      </c>
      <c r="G3" s="69" t="s">
        <v>9</v>
      </c>
      <c r="H3" s="69"/>
      <c r="I3" s="69"/>
      <c r="J3" s="69"/>
      <c r="K3" s="69" t="s">
        <v>448</v>
      </c>
      <c r="L3" s="69" t="s">
        <v>3</v>
      </c>
      <c r="M3" s="73" t="s">
        <v>2</v>
      </c>
    </row>
    <row r="4" spans="1:13" s="1" customFormat="1" ht="21" customHeight="1" thickBot="1">
      <c r="A4" s="66"/>
      <c r="B4" s="78"/>
      <c r="C4" s="68"/>
      <c r="D4" s="68"/>
      <c r="E4" s="68"/>
      <c r="F4" s="68"/>
      <c r="G4" s="4">
        <v>1</v>
      </c>
      <c r="H4" s="4">
        <v>2</v>
      </c>
      <c r="I4" s="4">
        <v>3</v>
      </c>
      <c r="J4" s="4" t="s">
        <v>4</v>
      </c>
      <c r="K4" s="68"/>
      <c r="L4" s="68"/>
      <c r="M4" s="74"/>
    </row>
    <row r="5" spans="1:13" ht="16">
      <c r="A5" s="75" t="s">
        <v>228</v>
      </c>
      <c r="B5" s="75"/>
      <c r="C5" s="76"/>
      <c r="D5" s="76"/>
      <c r="E5" s="76"/>
      <c r="F5" s="76"/>
      <c r="G5" s="76"/>
      <c r="H5" s="76"/>
      <c r="I5" s="76"/>
      <c r="J5" s="76"/>
    </row>
    <row r="6" spans="1:13">
      <c r="A6" s="8" t="s">
        <v>148</v>
      </c>
      <c r="B6" s="7" t="s">
        <v>229</v>
      </c>
      <c r="C6" s="7" t="s">
        <v>230</v>
      </c>
      <c r="D6" s="7" t="s">
        <v>231</v>
      </c>
      <c r="E6" s="7" t="s">
        <v>570</v>
      </c>
      <c r="F6" s="7" t="s">
        <v>14</v>
      </c>
      <c r="G6" s="20" t="s">
        <v>236</v>
      </c>
      <c r="H6" s="20" t="s">
        <v>237</v>
      </c>
      <c r="I6" s="20" t="s">
        <v>26</v>
      </c>
      <c r="J6" s="8"/>
      <c r="K6" s="8" t="str">
        <f>"90,0"</f>
        <v>90,0</v>
      </c>
      <c r="L6" s="8" t="str">
        <f>"121,7880"</f>
        <v>121,7880</v>
      </c>
      <c r="M6" s="7" t="s">
        <v>238</v>
      </c>
    </row>
    <row r="7" spans="1:13">
      <c r="B7" s="5" t="s">
        <v>149</v>
      </c>
    </row>
    <row r="8" spans="1:13" ht="16">
      <c r="A8" s="70" t="s">
        <v>160</v>
      </c>
      <c r="B8" s="70"/>
      <c r="C8" s="70"/>
      <c r="D8" s="70"/>
      <c r="E8" s="70"/>
      <c r="F8" s="70"/>
      <c r="G8" s="70"/>
      <c r="H8" s="70"/>
      <c r="I8" s="70"/>
      <c r="J8" s="70"/>
    </row>
    <row r="9" spans="1:13">
      <c r="A9" s="8" t="s">
        <v>148</v>
      </c>
      <c r="B9" s="7" t="s">
        <v>161</v>
      </c>
      <c r="C9" s="7" t="s">
        <v>162</v>
      </c>
      <c r="D9" s="7" t="s">
        <v>163</v>
      </c>
      <c r="E9" s="7" t="s">
        <v>571</v>
      </c>
      <c r="F9" s="7" t="s">
        <v>14</v>
      </c>
      <c r="G9" s="20" t="s">
        <v>126</v>
      </c>
      <c r="H9" s="21" t="s">
        <v>167</v>
      </c>
      <c r="I9" s="20" t="s">
        <v>167</v>
      </c>
      <c r="J9" s="8"/>
      <c r="K9" s="8" t="str">
        <f>"117,5"</f>
        <v>117,5</v>
      </c>
      <c r="L9" s="8" t="str">
        <f>"146,4755"</f>
        <v>146,4755</v>
      </c>
      <c r="M9" s="7" t="s">
        <v>238</v>
      </c>
    </row>
    <row r="10" spans="1:13">
      <c r="B10" s="5" t="s">
        <v>149</v>
      </c>
    </row>
    <row r="11" spans="1:13" ht="16">
      <c r="A11" s="70" t="s">
        <v>252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3">
      <c r="A12" s="8" t="s">
        <v>148</v>
      </c>
      <c r="B12" s="7" t="s">
        <v>526</v>
      </c>
      <c r="C12" s="7" t="s">
        <v>527</v>
      </c>
      <c r="D12" s="7" t="s">
        <v>255</v>
      </c>
      <c r="E12" s="7" t="s">
        <v>571</v>
      </c>
      <c r="F12" s="7" t="s">
        <v>116</v>
      </c>
      <c r="G12" s="20" t="s">
        <v>126</v>
      </c>
      <c r="H12" s="20" t="s">
        <v>53</v>
      </c>
      <c r="I12" s="21" t="s">
        <v>36</v>
      </c>
      <c r="J12" s="8"/>
      <c r="K12" s="8" t="str">
        <f>"125,0"</f>
        <v>125,0</v>
      </c>
      <c r="L12" s="8" t="str">
        <f>"149,8125"</f>
        <v>149,8125</v>
      </c>
      <c r="M12" s="7" t="s">
        <v>566</v>
      </c>
    </row>
    <row r="13" spans="1:13">
      <c r="B13" s="5" t="s">
        <v>149</v>
      </c>
    </row>
    <row r="14" spans="1:13" ht="16">
      <c r="A14" s="70" t="s">
        <v>10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3">
      <c r="A15" s="10" t="s">
        <v>148</v>
      </c>
      <c r="B15" s="9" t="s">
        <v>182</v>
      </c>
      <c r="C15" s="9" t="s">
        <v>183</v>
      </c>
      <c r="D15" s="9" t="s">
        <v>184</v>
      </c>
      <c r="E15" s="9" t="s">
        <v>570</v>
      </c>
      <c r="F15" s="9" t="s">
        <v>14</v>
      </c>
      <c r="G15" s="22" t="s">
        <v>186</v>
      </c>
      <c r="H15" s="22" t="s">
        <v>96</v>
      </c>
      <c r="I15" s="27" t="s">
        <v>128</v>
      </c>
      <c r="J15" s="10"/>
      <c r="K15" s="10" t="str">
        <f>"202,5"</f>
        <v>202,5</v>
      </c>
      <c r="L15" s="10" t="str">
        <f>"129,8025"</f>
        <v>129,8025</v>
      </c>
      <c r="M15" s="9" t="s">
        <v>546</v>
      </c>
    </row>
    <row r="16" spans="1:13">
      <c r="A16" s="12" t="s">
        <v>148</v>
      </c>
      <c r="B16" s="11" t="s">
        <v>301</v>
      </c>
      <c r="C16" s="11" t="s">
        <v>302</v>
      </c>
      <c r="D16" s="11" t="s">
        <v>303</v>
      </c>
      <c r="E16" s="11" t="s">
        <v>571</v>
      </c>
      <c r="F16" s="11" t="s">
        <v>14</v>
      </c>
      <c r="G16" s="23" t="s">
        <v>224</v>
      </c>
      <c r="H16" s="23" t="s">
        <v>35</v>
      </c>
      <c r="I16" s="23" t="s">
        <v>304</v>
      </c>
      <c r="J16" s="12"/>
      <c r="K16" s="12" t="str">
        <f>"252,5"</f>
        <v>252,5</v>
      </c>
      <c r="L16" s="12" t="str">
        <f>"163,4937"</f>
        <v>163,4937</v>
      </c>
      <c r="M16" s="11" t="s">
        <v>547</v>
      </c>
    </row>
    <row r="17" spans="1:13">
      <c r="A17" s="12" t="s">
        <v>151</v>
      </c>
      <c r="B17" s="11" t="s">
        <v>309</v>
      </c>
      <c r="C17" s="11" t="s">
        <v>310</v>
      </c>
      <c r="D17" s="11" t="s">
        <v>311</v>
      </c>
      <c r="E17" s="11" t="s">
        <v>571</v>
      </c>
      <c r="F17" s="11" t="s">
        <v>193</v>
      </c>
      <c r="G17" s="23" t="s">
        <v>128</v>
      </c>
      <c r="H17" s="23" t="s">
        <v>34</v>
      </c>
      <c r="I17" s="24" t="s">
        <v>60</v>
      </c>
      <c r="J17" s="12"/>
      <c r="K17" s="12" t="str">
        <f>"230,0"</f>
        <v>230,0</v>
      </c>
      <c r="L17" s="12" t="str">
        <f>"153,4100"</f>
        <v>153,4100</v>
      </c>
      <c r="M17" s="11"/>
    </row>
    <row r="18" spans="1:13">
      <c r="A18" s="14" t="s">
        <v>152</v>
      </c>
      <c r="B18" s="13" t="s">
        <v>190</v>
      </c>
      <c r="C18" s="13" t="s">
        <v>191</v>
      </c>
      <c r="D18" s="13" t="s">
        <v>192</v>
      </c>
      <c r="E18" s="13" t="s">
        <v>571</v>
      </c>
      <c r="F18" s="13" t="s">
        <v>193</v>
      </c>
      <c r="G18" s="25" t="s">
        <v>55</v>
      </c>
      <c r="H18" s="26" t="s">
        <v>73</v>
      </c>
      <c r="I18" s="25" t="s">
        <v>80</v>
      </c>
      <c r="J18" s="14"/>
      <c r="K18" s="14" t="str">
        <f>"205,0"</f>
        <v>205,0</v>
      </c>
      <c r="L18" s="14" t="str">
        <f>"133,4755"</f>
        <v>133,4755</v>
      </c>
      <c r="M18" s="13" t="s">
        <v>546</v>
      </c>
    </row>
    <row r="19" spans="1:13">
      <c r="B19" s="5" t="s">
        <v>149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2021-04-12T18:55:21Z</dcterms:modified>
</cp:coreProperties>
</file>