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8010F62B-6FC4-6245-A895-815455E8B7D9}" xr6:coauthVersionLast="45" xr6:coauthVersionMax="45" xr10:uidLastSave="{00000000-0000-0000-0000-000000000000}"/>
  <bookViews>
    <workbookView xWindow="480" yWindow="460" windowWidth="27900" windowHeight="15840" tabRatio="879" firstSheet="10" activeTab="15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9" r:id="rId5"/>
    <sheet name="WRPF Двоеборье без экип" sheetId="18" r:id="rId6"/>
    <sheet name="WRPF Жим лежа без экип ДК" sheetId="11" r:id="rId7"/>
    <sheet name="WRPF Жим лежа без экип" sheetId="10" r:id="rId8"/>
    <sheet name="WEPF Жим софт однопетельная ДК" sheetId="12" r:id="rId9"/>
    <sheet name="WEPF Жим софт однопетельная" sheetId="9" r:id="rId10"/>
    <sheet name="WEPF Жим софт многопетельнаяДК" sheetId="14" r:id="rId11"/>
    <sheet name="WEPF Жим софт многопетельная" sheetId="13" r:id="rId12"/>
    <sheet name="WRPF Тяга без экипировки ДК" sheetId="16" r:id="rId13"/>
    <sheet name="WRPF Тяга без экипировки" sheetId="15" r:id="rId14"/>
    <sheet name="WEPF Тяга экип" sheetId="17" r:id="rId15"/>
    <sheet name="WRPF Подъем на бицепс" sheetId="41" r:id="rId16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41" l="1"/>
  <c r="K15" i="41"/>
  <c r="L14" i="41"/>
  <c r="K14" i="41"/>
  <c r="L11" i="41"/>
  <c r="K11" i="41"/>
  <c r="L10" i="41"/>
  <c r="K10" i="41"/>
  <c r="L7" i="41"/>
  <c r="K7" i="41"/>
  <c r="L6" i="41"/>
  <c r="K6" i="41"/>
  <c r="P27" i="19"/>
  <c r="O27" i="19"/>
  <c r="P26" i="19"/>
  <c r="O26" i="19"/>
  <c r="P23" i="19"/>
  <c r="O23" i="19"/>
  <c r="P22" i="19"/>
  <c r="O22" i="19"/>
  <c r="P19" i="19"/>
  <c r="O19" i="19"/>
  <c r="P16" i="19"/>
  <c r="O16" i="19"/>
  <c r="P13" i="19"/>
  <c r="O13" i="19"/>
  <c r="P10" i="19"/>
  <c r="O10" i="19"/>
  <c r="P9" i="19"/>
  <c r="O9" i="19"/>
  <c r="P6" i="19"/>
  <c r="O6" i="19"/>
  <c r="P11" i="18"/>
  <c r="O11" i="18"/>
  <c r="P10" i="18"/>
  <c r="O10" i="18"/>
  <c r="P9" i="18"/>
  <c r="O9" i="18"/>
  <c r="P6" i="18"/>
  <c r="O6" i="18"/>
  <c r="L6" i="17"/>
  <c r="K6" i="17"/>
  <c r="L36" i="16"/>
  <c r="K36" i="16"/>
  <c r="L33" i="16"/>
  <c r="K33" i="16"/>
  <c r="L32" i="16"/>
  <c r="K32" i="16"/>
  <c r="L29" i="16"/>
  <c r="K29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18" i="16"/>
  <c r="K18" i="16"/>
  <c r="L15" i="16"/>
  <c r="K15" i="16"/>
  <c r="L12" i="16"/>
  <c r="K12" i="16"/>
  <c r="L9" i="16"/>
  <c r="K9" i="16"/>
  <c r="L6" i="16"/>
  <c r="K6" i="16"/>
  <c r="L12" i="15"/>
  <c r="K12" i="15"/>
  <c r="L9" i="15"/>
  <c r="K9" i="15"/>
  <c r="L6" i="15"/>
  <c r="K6" i="15"/>
  <c r="L7" i="14"/>
  <c r="K7" i="14"/>
  <c r="L6" i="14"/>
  <c r="K6" i="14"/>
  <c r="L11" i="13"/>
  <c r="K11" i="13"/>
  <c r="L10" i="13"/>
  <c r="K10" i="13"/>
  <c r="L7" i="13"/>
  <c r="K7" i="13"/>
  <c r="L6" i="13"/>
  <c r="K6" i="13"/>
  <c r="L7" i="12"/>
  <c r="K7" i="12"/>
  <c r="L6" i="12"/>
  <c r="K6" i="12"/>
  <c r="L39" i="11"/>
  <c r="K39" i="11"/>
  <c r="L38" i="11"/>
  <c r="K38" i="11"/>
  <c r="L35" i="11"/>
  <c r="K35" i="11"/>
  <c r="L34" i="11"/>
  <c r="K34" i="11"/>
  <c r="L33" i="11"/>
  <c r="K33" i="11"/>
  <c r="L30" i="11"/>
  <c r="K30" i="11"/>
  <c r="L29" i="11"/>
  <c r="K29" i="11"/>
  <c r="L28" i="11"/>
  <c r="K28" i="11"/>
  <c r="L25" i="11"/>
  <c r="K25" i="11"/>
  <c r="L24" i="11"/>
  <c r="K24" i="11"/>
  <c r="L23" i="11"/>
  <c r="K23" i="11"/>
  <c r="L22" i="11"/>
  <c r="K22" i="11"/>
  <c r="L19" i="11"/>
  <c r="L18" i="11"/>
  <c r="L15" i="11"/>
  <c r="K15" i="11"/>
  <c r="L12" i="11"/>
  <c r="K12" i="11"/>
  <c r="L9" i="11"/>
  <c r="K9" i="11"/>
  <c r="L6" i="11"/>
  <c r="K6" i="11"/>
  <c r="L35" i="10"/>
  <c r="K35" i="10"/>
  <c r="L32" i="10"/>
  <c r="K32" i="10"/>
  <c r="L31" i="10"/>
  <c r="K31" i="10"/>
  <c r="L30" i="10"/>
  <c r="K30" i="10"/>
  <c r="L27" i="10"/>
  <c r="L26" i="10"/>
  <c r="K26" i="10"/>
  <c r="L25" i="10"/>
  <c r="K25" i="10"/>
  <c r="L22" i="10"/>
  <c r="K22" i="10"/>
  <c r="L19" i="10"/>
  <c r="K19" i="10"/>
  <c r="L16" i="10"/>
  <c r="K16" i="10"/>
  <c r="L15" i="10"/>
  <c r="K15" i="10"/>
  <c r="L12" i="10"/>
  <c r="K12" i="10"/>
  <c r="L9" i="10"/>
  <c r="K9" i="10"/>
  <c r="L6" i="10"/>
  <c r="K6" i="10"/>
  <c r="L7" i="9"/>
  <c r="K7" i="9"/>
  <c r="L6" i="9"/>
  <c r="K6" i="9"/>
  <c r="T25" i="8"/>
  <c r="S25" i="8"/>
  <c r="T22" i="8"/>
  <c r="S22" i="8"/>
  <c r="T21" i="8"/>
  <c r="S21" i="8"/>
  <c r="T18" i="8"/>
  <c r="S18" i="8"/>
  <c r="T17" i="8"/>
  <c r="S17" i="8"/>
  <c r="T14" i="8"/>
  <c r="S14" i="8"/>
  <c r="T13" i="8"/>
  <c r="S13" i="8"/>
  <c r="T10" i="8"/>
  <c r="S10" i="8"/>
  <c r="T7" i="8"/>
  <c r="S7" i="8"/>
  <c r="T6" i="8"/>
  <c r="S6" i="8"/>
  <c r="T20" i="7"/>
  <c r="S20" i="7"/>
  <c r="T19" i="7"/>
  <c r="S19" i="7"/>
  <c r="T16" i="7"/>
  <c r="S16" i="7"/>
  <c r="T13" i="7"/>
  <c r="T12" i="7"/>
  <c r="S12" i="7"/>
  <c r="T9" i="7"/>
  <c r="T6" i="7"/>
  <c r="S6" i="7"/>
  <c r="T8" i="6"/>
  <c r="S8" i="6"/>
  <c r="T7" i="6"/>
  <c r="S7" i="6"/>
  <c r="T6" i="6"/>
  <c r="S6" i="6"/>
  <c r="T17" i="5"/>
  <c r="S17" i="5"/>
  <c r="T16" i="5"/>
  <c r="S16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<sst xmlns="http://schemas.openxmlformats.org/spreadsheetml/2006/main" count="1602" uniqueCount="395">
  <si>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</si>
  <si>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</si>
  <si>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</si>
  <si>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</si>
  <si>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</si>
  <si>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</si>
  <si>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</si>
  <si>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</si>
  <si>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</si>
  <si>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</si>
  <si>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</si>
  <si>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Печерская Елена</t>
  </si>
  <si>
    <t>Открытая (08.02.1991)/30</t>
  </si>
  <si>
    <t>80,00</t>
  </si>
  <si>
    <t>190,0</t>
  </si>
  <si>
    <t>200,0</t>
  </si>
  <si>
    <t>210,0</t>
  </si>
  <si>
    <t>97,5</t>
  </si>
  <si>
    <t>102,5</t>
  </si>
  <si>
    <t>105,0</t>
  </si>
  <si>
    <t>175,0</t>
  </si>
  <si>
    <t>187,5</t>
  </si>
  <si>
    <t>195,0</t>
  </si>
  <si>
    <t xml:space="preserve">Суслов Н. </t>
  </si>
  <si>
    <t>Кулишов Виктор</t>
  </si>
  <si>
    <t>Открытая (24.08.1996)/24</t>
  </si>
  <si>
    <t>82,40</t>
  </si>
  <si>
    <t xml:space="preserve">Пятигорск/Ставропольский край </t>
  </si>
  <si>
    <t>245,0</t>
  </si>
  <si>
    <t>265,0</t>
  </si>
  <si>
    <t>280,0</t>
  </si>
  <si>
    <t>150,0</t>
  </si>
  <si>
    <t>160,0</t>
  </si>
  <si>
    <t>162,5</t>
  </si>
  <si>
    <t>250,0</t>
  </si>
  <si>
    <t>260,0</t>
  </si>
  <si>
    <t>272,5</t>
  </si>
  <si>
    <t xml:space="preserve">Кечемаев А. </t>
  </si>
  <si>
    <t>ВЕСОВАЯ КАТЕГОРИЯ   100</t>
  </si>
  <si>
    <t>Коваль Алексей</t>
  </si>
  <si>
    <t>Открытая (24.08.1991)/29</t>
  </si>
  <si>
    <t>100,00</t>
  </si>
  <si>
    <t xml:space="preserve">Ростов-на-Дону/Ростовская область </t>
  </si>
  <si>
    <t>290,0</t>
  </si>
  <si>
    <t>310,0</t>
  </si>
  <si>
    <t>165,0</t>
  </si>
  <si>
    <t>170,0</t>
  </si>
  <si>
    <t>300,0</t>
  </si>
  <si>
    <t>320,0</t>
  </si>
  <si>
    <t>ВЕСОВАЯ КАТЕГОРИЯ   110</t>
  </si>
  <si>
    <t>Мазанаев Керим</t>
  </si>
  <si>
    <t>Открытая (28.02.1982)/39</t>
  </si>
  <si>
    <t>108,50</t>
  </si>
  <si>
    <t>275,0</t>
  </si>
  <si>
    <t>167,5</t>
  </si>
  <si>
    <t xml:space="preserve">Ступников Р. </t>
  </si>
  <si>
    <t>Исрапилов Магомедамин</t>
  </si>
  <si>
    <t>Открытая (03.05.1975)/46</t>
  </si>
  <si>
    <t>105,00</t>
  </si>
  <si>
    <t>220,0</t>
  </si>
  <si>
    <t>Мастера 40-49 (03.05.1975)/46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</si>
  <si>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</si>
  <si>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</si>
  <si>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</si>
  <si>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</si>
  <si>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</si>
  <si>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 xml:space="preserve">Мужчины </t>
  </si>
  <si>
    <t>100</t>
  </si>
  <si>
    <t>1</t>
  </si>
  <si>
    <t/>
  </si>
  <si>
    <t>2</t>
  </si>
  <si>
    <t>Дзапаров Руслан</t>
  </si>
  <si>
    <t>Открытая (27.07.1991)/29</t>
  </si>
  <si>
    <t>104,40</t>
  </si>
  <si>
    <t>180,0</t>
  </si>
  <si>
    <t>230,0</t>
  </si>
  <si>
    <t>240,0</t>
  </si>
  <si>
    <t xml:space="preserve">Тхамитлоков К. </t>
  </si>
  <si>
    <t>ВЕСОВАЯ КАТЕГОРИЯ   67.5</t>
  </si>
  <si>
    <t>Валиванский Владимир</t>
  </si>
  <si>
    <t>Юноши 17-19 (23.06.2003)/17</t>
  </si>
  <si>
    <t>62,70</t>
  </si>
  <si>
    <t>80,0</t>
  </si>
  <si>
    <t>85,0</t>
  </si>
  <si>
    <t>90,0</t>
  </si>
  <si>
    <t>70,0</t>
  </si>
  <si>
    <t>75,0</t>
  </si>
  <si>
    <t>110,0</t>
  </si>
  <si>
    <t>115,0</t>
  </si>
  <si>
    <t xml:space="preserve">Пойда Р. </t>
  </si>
  <si>
    <t>ВЕСОВАЯ КАТЕГОРИЯ   75</t>
  </si>
  <si>
    <t>Меркулов Максим</t>
  </si>
  <si>
    <t>Открытая (07.07.1995)/25</t>
  </si>
  <si>
    <t>73,80</t>
  </si>
  <si>
    <t xml:space="preserve">Георгиевск/Ставропольский край </t>
  </si>
  <si>
    <t>215,0</t>
  </si>
  <si>
    <t>Гусаков Максим</t>
  </si>
  <si>
    <t>Открытая (17.03.1990)/31</t>
  </si>
  <si>
    <t>82,00</t>
  </si>
  <si>
    <t xml:space="preserve">Кисловодск/Ставропольский край </t>
  </si>
  <si>
    <t>235,0</t>
  </si>
  <si>
    <t>242,5</t>
  </si>
  <si>
    <t>247,5</t>
  </si>
  <si>
    <t>285,0</t>
  </si>
  <si>
    <t xml:space="preserve">Перепелицын И. </t>
  </si>
  <si>
    <t>Хохлов Эдуард</t>
  </si>
  <si>
    <t>Мастера 40-49 (13.09.1972)/48</t>
  </si>
  <si>
    <t xml:space="preserve">Ессентуки/Ставропольский край </t>
  </si>
  <si>
    <t>120,0</t>
  </si>
  <si>
    <t>130,0</t>
  </si>
  <si>
    <t>ВЕСОВАЯ КАТЕГОРИЯ   90</t>
  </si>
  <si>
    <t>Букачев Владимир</t>
  </si>
  <si>
    <t>Открытая (25.07.1967)/53</t>
  </si>
  <si>
    <t>90,00</t>
  </si>
  <si>
    <t xml:space="preserve">Ставрополь/Ставропольский край </t>
  </si>
  <si>
    <t>217,5</t>
  </si>
  <si>
    <t>270,0</t>
  </si>
  <si>
    <t>90</t>
  </si>
  <si>
    <t>-</t>
  </si>
  <si>
    <t>Гусакова Екатерина</t>
  </si>
  <si>
    <t>Юниорки (04.03.1998)/23</t>
  </si>
  <si>
    <t>66,00</t>
  </si>
  <si>
    <t>100,0</t>
  </si>
  <si>
    <t>108,0</t>
  </si>
  <si>
    <t>112,5</t>
  </si>
  <si>
    <t>50,0</t>
  </si>
  <si>
    <t>52,5</t>
  </si>
  <si>
    <t>55,0</t>
  </si>
  <si>
    <t>122,5</t>
  </si>
  <si>
    <t>127,5</t>
  </si>
  <si>
    <t>130,5</t>
  </si>
  <si>
    <t>Дадаханова Дарья</t>
  </si>
  <si>
    <t>Открытая (15.09.1993)/27</t>
  </si>
  <si>
    <t>62,50</t>
  </si>
  <si>
    <t xml:space="preserve">Волгодонск/Ростовская область </t>
  </si>
  <si>
    <t>60,0</t>
  </si>
  <si>
    <t>65,0</t>
  </si>
  <si>
    <t>140,0</t>
  </si>
  <si>
    <t>Горобец Елена</t>
  </si>
  <si>
    <t>Открытая (10.11.1994)/26</t>
  </si>
  <si>
    <t>71,50</t>
  </si>
  <si>
    <t xml:space="preserve">Минеральные Воды/Ставропольский край </t>
  </si>
  <si>
    <t>125,0</t>
  </si>
  <si>
    <t>185,0</t>
  </si>
  <si>
    <t xml:space="preserve">Мусаев Р. </t>
  </si>
  <si>
    <t>ВЕСОВАЯ КАТЕГОРИЯ   56</t>
  </si>
  <si>
    <t>Багов Алим</t>
  </si>
  <si>
    <t>Юноши 14-16 (28.03.2005)/16</t>
  </si>
  <si>
    <t>56,00</t>
  </si>
  <si>
    <t>95,0</t>
  </si>
  <si>
    <t>67,5</t>
  </si>
  <si>
    <t>Мацегоров Даниил</t>
  </si>
  <si>
    <t>Юноши 14-16 (25.09.2007)/13</t>
  </si>
  <si>
    <t xml:space="preserve">Невинномысск/Ставропольский край </t>
  </si>
  <si>
    <t>45,0</t>
  </si>
  <si>
    <t>72,5</t>
  </si>
  <si>
    <t>82,5</t>
  </si>
  <si>
    <t xml:space="preserve">Кашпаров Д. </t>
  </si>
  <si>
    <t>Коваленко Иван</t>
  </si>
  <si>
    <t>Мастера 40-49 (13.02.1978)/43</t>
  </si>
  <si>
    <t>86,80</t>
  </si>
  <si>
    <t>132,5</t>
  </si>
  <si>
    <t>205,0</t>
  </si>
  <si>
    <t>212,5</t>
  </si>
  <si>
    <t xml:space="preserve">Смирнов Д. </t>
  </si>
  <si>
    <t>Новиков Николай</t>
  </si>
  <si>
    <t>Мастера 70-79 (21.05.1947)/74</t>
  </si>
  <si>
    <t>86,00</t>
  </si>
  <si>
    <t>177,5</t>
  </si>
  <si>
    <t>182,5</t>
  </si>
  <si>
    <t>ВЕСОВАЯ КАТЕГОРИЯ   125</t>
  </si>
  <si>
    <t>Галстян Самвел</t>
  </si>
  <si>
    <t>Открытая (05.12.1987)/33</t>
  </si>
  <si>
    <t>122,20</t>
  </si>
  <si>
    <t>75</t>
  </si>
  <si>
    <t>125</t>
  </si>
  <si>
    <t xml:space="preserve">Результат </t>
  </si>
  <si>
    <t>Результат</t>
  </si>
  <si>
    <t>ВЕСОВАЯ КАТЕГОРИЯ   90+</t>
  </si>
  <si>
    <t>Абатаева Стелла</t>
  </si>
  <si>
    <t>Открытая (09.09.1993)/27</t>
  </si>
  <si>
    <t>101,60</t>
  </si>
  <si>
    <t>Цоколов Артём</t>
  </si>
  <si>
    <t>Юноши 14-16 (09.10.2007)/13</t>
  </si>
  <si>
    <t>55,70</t>
  </si>
  <si>
    <t>Маркосян Арам</t>
  </si>
  <si>
    <t>Открытая (23.09.1988)/32</t>
  </si>
  <si>
    <t>74,80</t>
  </si>
  <si>
    <t xml:space="preserve">Кечимаев А. </t>
  </si>
  <si>
    <t>Дубов Олег</t>
  </si>
  <si>
    <t>Открытая (02.04.1990)/31</t>
  </si>
  <si>
    <t>81,00</t>
  </si>
  <si>
    <t xml:space="preserve">Армавир/Краснодарский край </t>
  </si>
  <si>
    <t>137,5</t>
  </si>
  <si>
    <t>Шарипов Роман</t>
  </si>
  <si>
    <t>Мастера 50-59 (23.05.1970)/51</t>
  </si>
  <si>
    <t>89,80</t>
  </si>
  <si>
    <t>Заидов Александр</t>
  </si>
  <si>
    <t>Открытая (19.08.1991)/29</t>
  </si>
  <si>
    <t>91,80</t>
  </si>
  <si>
    <t>Николайчук Сергей</t>
  </si>
  <si>
    <t>Открытая (26.05.1985)/36</t>
  </si>
  <si>
    <t>99,80</t>
  </si>
  <si>
    <t>Лысенко Александр</t>
  </si>
  <si>
    <t>Открытая (07.05.1988)/33</t>
  </si>
  <si>
    <t>94,00</t>
  </si>
  <si>
    <t>Баша Нур</t>
  </si>
  <si>
    <t>Открытая (01.06.1995)/26</t>
  </si>
  <si>
    <t>109,90</t>
  </si>
  <si>
    <t>192,5</t>
  </si>
  <si>
    <t xml:space="preserve">Касимов Ф. </t>
  </si>
  <si>
    <t>Пелин Артем</t>
  </si>
  <si>
    <t>Открытая (28.01.1982)/39</t>
  </si>
  <si>
    <t>123,40</t>
  </si>
  <si>
    <t xml:space="preserve">Белгород/Белгородская область </t>
  </si>
  <si>
    <t>207,5</t>
  </si>
  <si>
    <t xml:space="preserve">Сарычев Т. </t>
  </si>
  <si>
    <t>128,5020</t>
  </si>
  <si>
    <t>123,2595</t>
  </si>
  <si>
    <t>122,8510</t>
  </si>
  <si>
    <t>ВЕСОВАЯ КАТЕГОРИЯ   48</t>
  </si>
  <si>
    <t>Зайцева Арина</t>
  </si>
  <si>
    <t>Юниорки (20.01.1998)/23</t>
  </si>
  <si>
    <t>47,30</t>
  </si>
  <si>
    <t>40,0</t>
  </si>
  <si>
    <t>47,5</t>
  </si>
  <si>
    <t>Мкртумян Ваник</t>
  </si>
  <si>
    <t>Открытая (17.08.1993)/27</t>
  </si>
  <si>
    <t>107,5</t>
  </si>
  <si>
    <t>Журтов Ислам</t>
  </si>
  <si>
    <t>Открытая (24.08.1995)/25</t>
  </si>
  <si>
    <t>67,50</t>
  </si>
  <si>
    <t xml:space="preserve">Алоев А. </t>
  </si>
  <si>
    <t>Черныш Олег</t>
  </si>
  <si>
    <t>Открытая (01.07.1986)/34</t>
  </si>
  <si>
    <t>74,30</t>
  </si>
  <si>
    <t>Тимофеев Максим</t>
  </si>
  <si>
    <t>Открытая (18.05.1994)/27</t>
  </si>
  <si>
    <t>79,80</t>
  </si>
  <si>
    <t>Михайлов Сергей</t>
  </si>
  <si>
    <t>Открытая (08.01.1989)/32</t>
  </si>
  <si>
    <t>145,0</t>
  </si>
  <si>
    <t>Чучхаджиев Денильбек</t>
  </si>
  <si>
    <t>Открытая (08.12.1989)/31</t>
  </si>
  <si>
    <t>152,5</t>
  </si>
  <si>
    <t>157,5</t>
  </si>
  <si>
    <t xml:space="preserve">Алиев И. </t>
  </si>
  <si>
    <t>Висуров Альберт</t>
  </si>
  <si>
    <t>Открытая (01.04.1997)/24</t>
  </si>
  <si>
    <t>Алоев Анзор</t>
  </si>
  <si>
    <t>Открытая (10.08.1996)/24</t>
  </si>
  <si>
    <t>87,50</t>
  </si>
  <si>
    <t>Лунев Александр</t>
  </si>
  <si>
    <t>Мастера 40-49 (27.06.1971)/49</t>
  </si>
  <si>
    <t>86,40</t>
  </si>
  <si>
    <t>Чараев Муса</t>
  </si>
  <si>
    <t>Открытая (29.05.1990)/31</t>
  </si>
  <si>
    <t>155,0</t>
  </si>
  <si>
    <t>Хортиев Руслан</t>
  </si>
  <si>
    <t>Открытая (07.05.1987)/34</t>
  </si>
  <si>
    <t>97,00</t>
  </si>
  <si>
    <t xml:space="preserve">Баша Н. </t>
  </si>
  <si>
    <t>Кумратов Алексей</t>
  </si>
  <si>
    <t>Открытая (21.07.1985)/35</t>
  </si>
  <si>
    <t>95,60</t>
  </si>
  <si>
    <t>147,5</t>
  </si>
  <si>
    <t>Филиппов Антон</t>
  </si>
  <si>
    <t>Открытая (05.08.1988)/32</t>
  </si>
  <si>
    <t xml:space="preserve">Краснодар/Краснодарский край </t>
  </si>
  <si>
    <t>Сармин Михаил</t>
  </si>
  <si>
    <t>Открытая (04.07.1990)/30</t>
  </si>
  <si>
    <t>120,00</t>
  </si>
  <si>
    <t>105,9310</t>
  </si>
  <si>
    <t>100,5480</t>
  </si>
  <si>
    <t>100,4190</t>
  </si>
  <si>
    <t>3</t>
  </si>
  <si>
    <t>Медведева Юлия</t>
  </si>
  <si>
    <t>Открытая (08.07.1979)/41</t>
  </si>
  <si>
    <t>79,30</t>
  </si>
  <si>
    <t>Мастера 40-49 (08.07.1979)/41</t>
  </si>
  <si>
    <t>Асриян Виталий</t>
  </si>
  <si>
    <t>Открытая (26.11.1988)/32</t>
  </si>
  <si>
    <t>87,30</t>
  </si>
  <si>
    <t>Казачков Вадим</t>
  </si>
  <si>
    <t>Открытая (26.01.1990)/31</t>
  </si>
  <si>
    <t>110,00</t>
  </si>
  <si>
    <t>322,5</t>
  </si>
  <si>
    <t>Кумыков Дамирлан</t>
  </si>
  <si>
    <t>Юноши 14-16 (11.06.2007)/14</t>
  </si>
  <si>
    <t>53,40</t>
  </si>
  <si>
    <t>Артюхов Владислав</t>
  </si>
  <si>
    <t>Открытая (11.08.2003)/17</t>
  </si>
  <si>
    <t>75,00</t>
  </si>
  <si>
    <t>Тхакумачев Хажмухамед</t>
  </si>
  <si>
    <t>Юноши 14-16 (18.01.2007)/14</t>
  </si>
  <si>
    <t>76,50</t>
  </si>
  <si>
    <t>Балкизов Руслан</t>
  </si>
  <si>
    <t>Открытая (26.05.1990)/31</t>
  </si>
  <si>
    <t>Мафедзов Хасанби</t>
  </si>
  <si>
    <t>Открытая (30.10.1990)/30</t>
  </si>
  <si>
    <t>Шапошник Дмитрий</t>
  </si>
  <si>
    <t>Открытая (28.01.1980)/41</t>
  </si>
  <si>
    <t>87,70</t>
  </si>
  <si>
    <t>Мастера 40-49 (28.01.1980)/41</t>
  </si>
  <si>
    <t>Гусейнов Гусейн</t>
  </si>
  <si>
    <t>Мастера 50-59 (04.01.1966)/55</t>
  </si>
  <si>
    <t>95,00</t>
  </si>
  <si>
    <t>160,3280</t>
  </si>
  <si>
    <t>156,4080</t>
  </si>
  <si>
    <t>147,8645</t>
  </si>
  <si>
    <t>4</t>
  </si>
  <si>
    <t>Гейвандов Арсен</t>
  </si>
  <si>
    <t>Юноши 14-16 (30.06.2005)/15</t>
  </si>
  <si>
    <t>53,30</t>
  </si>
  <si>
    <t xml:space="preserve">Будённовск/Ставропольский край </t>
  </si>
  <si>
    <t xml:space="preserve">Бобряшов В. </t>
  </si>
  <si>
    <t>Лягусь Константин</t>
  </si>
  <si>
    <t>Юноши 17-19 (13.06.2002)/18</t>
  </si>
  <si>
    <t>64,30</t>
  </si>
  <si>
    <t>Салаев Усман</t>
  </si>
  <si>
    <t>Открытая (13.01.1984)/37</t>
  </si>
  <si>
    <t>135,0</t>
  </si>
  <si>
    <t>197,5</t>
  </si>
  <si>
    <t>202,5</t>
  </si>
  <si>
    <t xml:space="preserve">Нахаев Н. </t>
  </si>
  <si>
    <t>Гейвандов Артём</t>
  </si>
  <si>
    <t>Юноши 14-16 (21.09.2009)/11</t>
  </si>
  <si>
    <t>81,30</t>
  </si>
  <si>
    <t>Подъем на бицепс</t>
  </si>
  <si>
    <t>Джабаев Мовсар</t>
  </si>
  <si>
    <t>Открытая (08.08.1995)/25</t>
  </si>
  <si>
    <t>80,20</t>
  </si>
  <si>
    <t>Тасуев Магомед</t>
  </si>
  <si>
    <t>Открытая (27.12.1996)/24</t>
  </si>
  <si>
    <t>82,50</t>
  </si>
  <si>
    <t>62,5</t>
  </si>
  <si>
    <t>Мусаев Аюб</t>
  </si>
  <si>
    <t>Открытая (01.09.1986)/34</t>
  </si>
  <si>
    <t>89,30</t>
  </si>
  <si>
    <t>Демильханов Дени</t>
  </si>
  <si>
    <t>Открытая (28.03.1979)/42</t>
  </si>
  <si>
    <t>107,40</t>
  </si>
  <si>
    <t>Мустапаев Хасан</t>
  </si>
  <si>
    <t>107,00</t>
  </si>
  <si>
    <t xml:space="preserve">Мусаев А. </t>
  </si>
  <si>
    <t>Ступников Р.</t>
  </si>
  <si>
    <t>Карпов В.</t>
  </si>
  <si>
    <t>Гусаков М.</t>
  </si>
  <si>
    <t>Карагашев П.</t>
  </si>
  <si>
    <t>Сухоруков З.</t>
  </si>
  <si>
    <t>Дадаханов Х.</t>
  </si>
  <si>
    <t>Санкт-Петербург/Санкт-Петербург</t>
  </si>
  <si>
    <t xml:space="preserve">Новосибирск/Новосибирская область </t>
  </si>
  <si>
    <t>Невинномысск/Ставропольский край</t>
  </si>
  <si>
    <t xml:space="preserve">Карпов В. </t>
  </si>
  <si>
    <t>Мастера 40-49 (01.01.1978)/43</t>
  </si>
  <si>
    <t xml:space="preserve">Моздок/Северная Осетия-Алания </t>
  </si>
  <si>
    <t>Владикавказ/Северная Осетия-Алания</t>
  </si>
  <si>
    <t xml:space="preserve">Грозный/Республика Чечня </t>
  </si>
  <si>
    <t>Всероссийский мастерский турнир "Кубок Солнца"
WRPF Строгий подъем штанги на бицепс
Ставрополь/Ставропольский край, 12-13 июня 2021 года</t>
  </si>
  <si>
    <t>Всероссийский мастерский турнир "Кубок Солнца"
WRPF любители Силовое двоеборье без экипировки ДК
Ставрополь/Ставропольский край, 12-13 июня 2021 года</t>
  </si>
  <si>
    <t>Всероссийский мастерский турнир "Кубок Солнца"
WRPF любители Силовое двоеборье без экипировки
Ставрополь/Ставропольский край, 12-13 июня 2021 года</t>
  </si>
  <si>
    <t>Всероссийский мастерский турнир "Кубок Солнца"
WEPF любители Становая тяга в экипировке
Ставрополь/Ставропольский край, 12-13 июня 2021 года</t>
  </si>
  <si>
    <t>Всероссийский мастерский турнир "Кубок Солнца"
WRPF любители Становая тяга без экипировки ДК
Ставрополь/Ставропольский край, 12-13 июня 2021 года</t>
  </si>
  <si>
    <t>Всероссийский мастерский турнир "Кубок Солнца"
WRPF любители Становая тяга без экипировки
Ставрополь/Ставропольский край, 12-13 июня 2021 года</t>
  </si>
  <si>
    <t>Всероссийский мастерский турнир "Кубок Солнца"
WEPF Жим лежа в многопетельной софт экипировке ДК
Ставрополь/Ставропольский край, 12-13 июня 2021 года</t>
  </si>
  <si>
    <t>Всероссийский мастерский турнир "Кубок Солнца"
WEPF Жим лежа в многопетельной софт экипировке
Ставрополь/Ставропольский край, 12-13 июня 2021 года</t>
  </si>
  <si>
    <t>Всероссийский мастерский турнир "Кубок Солнца"
WEPF Жим лежа в однопетельной софт экипировке ДК
Ставрополь/Ставропольский край, 12-13 июня 2021 года</t>
  </si>
  <si>
    <t>Всероссийский мастерский турнир "Кубок Солнца"
WRPF любители Жим лежа без экипировки ДК
Ставрополь/Ставропольский край, 12-13 июня 2021 года</t>
  </si>
  <si>
    <t>Всероссийский мастерский турнир "Кубок Солнца"
WRPF любители Жим лежа без экипировки
Ставрополь/Ставропольский край, 12-13 июня 2021 года</t>
  </si>
  <si>
    <t>Всероссийский мастерский турнир "Кубок Солнца"
WEPF Жим лежа в однопетельной софт экипировке
Ставрополь/Ставропольский край, 12-13 июня 2021 года</t>
  </si>
  <si>
    <t>Всероссийский мастерский турнир "Кубок Солнца"
WRPF любители Пауэрлифтинг без экипировки ДК
Ставрополь/Ставропольский край, 12-13 июня 2021 года</t>
  </si>
  <si>
    <t>Всероссийский мастерский турнир "Кубок Солнца"
WRPF любители Пауэрлифтинг без экипировки
Ставрополь/Ставропольский край, 12-13 июня 2021 года</t>
  </si>
  <si>
    <t>Всероссийский мастерский турнир "Кубок Солнца"
WRPF любители Пауэрлифтинг классический в бинтах ДК
Ставрополь/Ставропольский край, 12-13 июня 2021 года</t>
  </si>
  <si>
    <t>Всероссийский мастерский турнир "Кубок Солнца"
WRPF любители Пауэрлифтинг классический в бинтах
Ставрополь/Ставропольский край, 12-13 июня 2021 года</t>
  </si>
  <si>
    <t>Нальчик/Республика Кабардино-Балкария</t>
  </si>
  <si>
    <t xml:space="preserve">Нальчик/Республика Кабардино-Балкария </t>
  </si>
  <si>
    <t>Весовая категория</t>
  </si>
  <si>
    <t xml:space="preserve">Гудермес/Республика Чечня </t>
  </si>
  <si>
    <t xml:space="preserve">Махачкала/Республика Дагестан </t>
  </si>
  <si>
    <t>Баксан/Республика Кабардино-Балкария</t>
  </si>
  <si>
    <t xml:space="preserve">Баксан/Республика Кабардино-Балкария </t>
  </si>
  <si>
    <t>Луганск/Украина</t>
  </si>
  <si>
    <t>Санкт-Петербург</t>
  </si>
  <si>
    <t xml:space="preserve">Симферополь/Республика Крым </t>
  </si>
  <si>
    <t>№</t>
  </si>
  <si>
    <t xml:space="preserve">
Дата рождения/Возраст</t>
  </si>
  <si>
    <t>Возрастная группа</t>
  </si>
  <si>
    <t>J</t>
  </si>
  <si>
    <t>O</t>
  </si>
  <si>
    <t>T1</t>
  </si>
  <si>
    <t>M1</t>
  </si>
  <si>
    <t>M4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</si>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</sst>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26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8.1640625" style="5" bestFit="1" customWidth="1"/>
    <col min="7" max="13" width="5.33203125" style="6" customWidth="1"/>
    <col min="14" max="14" width="4.6640625" style="6" customWidth="1"/>
    <col min="15" max="18" width="5.33203125" style="6" customWidth="1"/>
    <col min="19" max="19" width="7.6640625" style="6" bestFit="1" customWidth="1"/>
    <col min="20" max="20" width="8.33203125" style="6" bestFit="1" customWidth="1"/>
    <col min="21" max="21" width="19.83203125" style="5" customWidth="1"/>
    <col min="22" max="16384" width="9.1640625" style="3"/>
  </cols>
  <sheetData>
    <row r="1" spans="1:21" s="2" customFormat="1" ht="29" customHeight="1">
      <c r="A1" s="36" t="s">
        <v>371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48" t="s">
        <v>1</v>
      </c>
      <c r="T3" s="48" t="s">
        <v>3</v>
      </c>
      <c r="U3" s="51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52"/>
    </row>
    <row r="5" spans="1:21" ht="16">
      <c r="A5" s="55" t="s">
        <v>78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0" t="s">
        <v>68</v>
      </c>
      <c r="B6" s="9" t="s">
        <v>119</v>
      </c>
      <c r="C6" s="9" t="s">
        <v>120</v>
      </c>
      <c r="D6" s="9" t="s">
        <v>121</v>
      </c>
      <c r="E6" s="9" t="s">
        <v>388</v>
      </c>
      <c r="F6" s="9" t="s">
        <v>27</v>
      </c>
      <c r="G6" s="22" t="s">
        <v>122</v>
      </c>
      <c r="H6" s="22" t="s">
        <v>123</v>
      </c>
      <c r="I6" s="22" t="s">
        <v>87</v>
      </c>
      <c r="J6" s="22" t="s">
        <v>124</v>
      </c>
      <c r="K6" s="22" t="s">
        <v>125</v>
      </c>
      <c r="L6" s="22" t="s">
        <v>126</v>
      </c>
      <c r="M6" s="23" t="s">
        <v>127</v>
      </c>
      <c r="N6" s="10"/>
      <c r="O6" s="22" t="s">
        <v>88</v>
      </c>
      <c r="P6" s="22" t="s">
        <v>128</v>
      </c>
      <c r="Q6" s="22" t="s">
        <v>129</v>
      </c>
      <c r="R6" s="23" t="s">
        <v>130</v>
      </c>
      <c r="S6" s="10" t="str">
        <f>"290,0"</f>
        <v>290,0</v>
      </c>
      <c r="T6" s="10" t="str">
        <f>"300,8460"</f>
        <v>300,8460</v>
      </c>
      <c r="U6" s="9" t="s">
        <v>347</v>
      </c>
    </row>
    <row r="7" spans="1:21">
      <c r="A7" s="14" t="s">
        <v>68</v>
      </c>
      <c r="B7" s="13" t="s">
        <v>131</v>
      </c>
      <c r="C7" s="13" t="s">
        <v>132</v>
      </c>
      <c r="D7" s="13" t="s">
        <v>133</v>
      </c>
      <c r="E7" s="13" t="s">
        <v>389</v>
      </c>
      <c r="F7" s="13" t="s">
        <v>134</v>
      </c>
      <c r="G7" s="27" t="s">
        <v>87</v>
      </c>
      <c r="H7" s="26" t="s">
        <v>87</v>
      </c>
      <c r="I7" s="26" t="s">
        <v>88</v>
      </c>
      <c r="J7" s="14"/>
      <c r="K7" s="27" t="s">
        <v>135</v>
      </c>
      <c r="L7" s="27" t="s">
        <v>136</v>
      </c>
      <c r="M7" s="26" t="s">
        <v>136</v>
      </c>
      <c r="N7" s="14"/>
      <c r="O7" s="26" t="s">
        <v>137</v>
      </c>
      <c r="P7" s="26" t="s">
        <v>31</v>
      </c>
      <c r="Q7" s="27" t="s">
        <v>32</v>
      </c>
      <c r="R7" s="14"/>
      <c r="S7" s="14" t="str">
        <f>"330,0"</f>
        <v>330,0</v>
      </c>
      <c r="T7" s="14" t="str">
        <f>"356,5650"</f>
        <v>356,5650</v>
      </c>
      <c r="U7" s="13" t="s">
        <v>350</v>
      </c>
    </row>
    <row r="8" spans="1:21">
      <c r="B8" s="5" t="s">
        <v>69</v>
      </c>
    </row>
    <row r="9" spans="1:21" ht="16">
      <c r="A9" s="53" t="s">
        <v>90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21">
      <c r="A10" s="8" t="s">
        <v>68</v>
      </c>
      <c r="B10" s="7" t="s">
        <v>138</v>
      </c>
      <c r="C10" s="7" t="s">
        <v>139</v>
      </c>
      <c r="D10" s="7" t="s">
        <v>140</v>
      </c>
      <c r="E10" s="7" t="s">
        <v>389</v>
      </c>
      <c r="F10" s="7" t="s">
        <v>141</v>
      </c>
      <c r="G10" s="20" t="s">
        <v>108</v>
      </c>
      <c r="H10" s="20" t="s">
        <v>142</v>
      </c>
      <c r="I10" s="20" t="s">
        <v>129</v>
      </c>
      <c r="J10" s="8"/>
      <c r="K10" s="20" t="s">
        <v>86</v>
      </c>
      <c r="L10" s="21" t="s">
        <v>82</v>
      </c>
      <c r="M10" s="21" t="s">
        <v>82</v>
      </c>
      <c r="N10" s="8"/>
      <c r="O10" s="21" t="s">
        <v>143</v>
      </c>
      <c r="P10" s="20" t="s">
        <v>143</v>
      </c>
      <c r="Q10" s="21" t="s">
        <v>22</v>
      </c>
      <c r="R10" s="8"/>
      <c r="S10" s="8" t="str">
        <f>"387,5"</f>
        <v>387,5</v>
      </c>
      <c r="T10" s="8" t="str">
        <f>"379,9825"</f>
        <v>379,9825</v>
      </c>
      <c r="U10" s="7" t="s">
        <v>144</v>
      </c>
    </row>
    <row r="11" spans="1:21">
      <c r="B11" s="5" t="s">
        <v>69</v>
      </c>
    </row>
    <row r="12" spans="1:21" ht="16">
      <c r="A12" s="53" t="s">
        <v>145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21">
      <c r="A13" s="10" t="s">
        <v>68</v>
      </c>
      <c r="B13" s="9" t="s">
        <v>146</v>
      </c>
      <c r="C13" s="9" t="s">
        <v>147</v>
      </c>
      <c r="D13" s="9" t="s">
        <v>148</v>
      </c>
      <c r="E13" s="9" t="s">
        <v>390</v>
      </c>
      <c r="F13" s="9" t="s">
        <v>381</v>
      </c>
      <c r="G13" s="22" t="s">
        <v>84</v>
      </c>
      <c r="H13" s="22" t="s">
        <v>149</v>
      </c>
      <c r="I13" s="22" t="s">
        <v>122</v>
      </c>
      <c r="J13" s="10"/>
      <c r="K13" s="22" t="s">
        <v>135</v>
      </c>
      <c r="L13" s="22" t="s">
        <v>136</v>
      </c>
      <c r="M13" s="23" t="s">
        <v>150</v>
      </c>
      <c r="N13" s="10"/>
      <c r="O13" s="22" t="s">
        <v>108</v>
      </c>
      <c r="P13" s="22" t="s">
        <v>109</v>
      </c>
      <c r="Q13" s="23" t="s">
        <v>137</v>
      </c>
      <c r="R13" s="10"/>
      <c r="S13" s="10" t="str">
        <f>"295,0"</f>
        <v>295,0</v>
      </c>
      <c r="T13" s="10" t="str">
        <f>"268,5385"</f>
        <v>268,5385</v>
      </c>
      <c r="U13" s="9" t="s">
        <v>77</v>
      </c>
    </row>
    <row r="14" spans="1:21">
      <c r="A14" s="14" t="s">
        <v>70</v>
      </c>
      <c r="B14" s="13" t="s">
        <v>151</v>
      </c>
      <c r="C14" s="13" t="s">
        <v>152</v>
      </c>
      <c r="D14" s="13" t="s">
        <v>148</v>
      </c>
      <c r="E14" s="13" t="s">
        <v>390</v>
      </c>
      <c r="F14" s="13" t="s">
        <v>153</v>
      </c>
      <c r="G14" s="26" t="s">
        <v>135</v>
      </c>
      <c r="H14" s="26" t="s">
        <v>85</v>
      </c>
      <c r="I14" s="26" t="s">
        <v>82</v>
      </c>
      <c r="J14" s="14"/>
      <c r="K14" s="26" t="s">
        <v>154</v>
      </c>
      <c r="L14" s="27" t="s">
        <v>126</v>
      </c>
      <c r="M14" s="27" t="s">
        <v>126</v>
      </c>
      <c r="N14" s="14"/>
      <c r="O14" s="26" t="s">
        <v>155</v>
      </c>
      <c r="P14" s="26" t="s">
        <v>156</v>
      </c>
      <c r="Q14" s="26" t="s">
        <v>84</v>
      </c>
      <c r="R14" s="14"/>
      <c r="S14" s="14" t="str">
        <f>"215,0"</f>
        <v>215,0</v>
      </c>
      <c r="T14" s="14" t="str">
        <f>"195,7145"</f>
        <v>195,7145</v>
      </c>
      <c r="U14" s="13" t="s">
        <v>157</v>
      </c>
    </row>
    <row r="15" spans="1:21">
      <c r="B15" s="5" t="s">
        <v>69</v>
      </c>
    </row>
    <row r="16" spans="1:21" ht="16">
      <c r="A16" s="53" t="s">
        <v>110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21">
      <c r="A17" s="10" t="s">
        <v>68</v>
      </c>
      <c r="B17" s="9" t="s">
        <v>158</v>
      </c>
      <c r="C17" s="9" t="s">
        <v>159</v>
      </c>
      <c r="D17" s="9" t="s">
        <v>160</v>
      </c>
      <c r="E17" s="9" t="s">
        <v>391</v>
      </c>
      <c r="F17" s="9" t="s">
        <v>351</v>
      </c>
      <c r="G17" s="22" t="s">
        <v>31</v>
      </c>
      <c r="H17" s="22" t="s">
        <v>45</v>
      </c>
      <c r="I17" s="22" t="s">
        <v>20</v>
      </c>
      <c r="J17" s="10"/>
      <c r="K17" s="22" t="s">
        <v>88</v>
      </c>
      <c r="L17" s="22" t="s">
        <v>142</v>
      </c>
      <c r="M17" s="23" t="s">
        <v>161</v>
      </c>
      <c r="N17" s="10"/>
      <c r="O17" s="22" t="s">
        <v>14</v>
      </c>
      <c r="P17" s="22" t="s">
        <v>162</v>
      </c>
      <c r="Q17" s="22" t="s">
        <v>163</v>
      </c>
      <c r="R17" s="10"/>
      <c r="S17" s="10" t="str">
        <f>"512,5"</f>
        <v>512,5</v>
      </c>
      <c r="T17" s="10" t="str">
        <f>"342,8213"</f>
        <v>342,8213</v>
      </c>
      <c r="U17" s="9" t="s">
        <v>164</v>
      </c>
    </row>
    <row r="18" spans="1:21">
      <c r="A18" s="14" t="s">
        <v>68</v>
      </c>
      <c r="B18" s="13" t="s">
        <v>165</v>
      </c>
      <c r="C18" s="13" t="s">
        <v>166</v>
      </c>
      <c r="D18" s="13" t="s">
        <v>167</v>
      </c>
      <c r="E18" s="13" t="s">
        <v>392</v>
      </c>
      <c r="F18" s="13" t="s">
        <v>114</v>
      </c>
      <c r="G18" s="26" t="s">
        <v>108</v>
      </c>
      <c r="H18" s="26" t="s">
        <v>109</v>
      </c>
      <c r="I18" s="26" t="s">
        <v>137</v>
      </c>
      <c r="J18" s="14"/>
      <c r="K18" s="26" t="s">
        <v>135</v>
      </c>
      <c r="L18" s="26" t="s">
        <v>136</v>
      </c>
      <c r="M18" s="26" t="s">
        <v>150</v>
      </c>
      <c r="N18" s="14"/>
      <c r="O18" s="26" t="s">
        <v>46</v>
      </c>
      <c r="P18" s="26" t="s">
        <v>168</v>
      </c>
      <c r="Q18" s="26" t="s">
        <v>169</v>
      </c>
      <c r="R18" s="14"/>
      <c r="S18" s="14" t="str">
        <f>"390,0"</f>
        <v>390,0</v>
      </c>
      <c r="T18" s="14" t="str">
        <f>"474,4116"</f>
        <v>474,4116</v>
      </c>
      <c r="U18" s="13"/>
    </row>
    <row r="19" spans="1:21">
      <c r="B19" s="5" t="s">
        <v>69</v>
      </c>
    </row>
    <row r="20" spans="1:21" ht="16">
      <c r="A20" s="53" t="s">
        <v>49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21">
      <c r="A21" s="10" t="s">
        <v>68</v>
      </c>
      <c r="B21" s="9" t="s">
        <v>56</v>
      </c>
      <c r="C21" s="9" t="s">
        <v>57</v>
      </c>
      <c r="D21" s="9" t="s">
        <v>58</v>
      </c>
      <c r="E21" s="9" t="s">
        <v>389</v>
      </c>
      <c r="F21" s="9" t="s">
        <v>379</v>
      </c>
      <c r="G21" s="22" t="s">
        <v>15</v>
      </c>
      <c r="H21" s="22" t="s">
        <v>59</v>
      </c>
      <c r="I21" s="10"/>
      <c r="J21" s="10"/>
      <c r="K21" s="22" t="s">
        <v>31</v>
      </c>
      <c r="L21" s="22" t="s">
        <v>32</v>
      </c>
      <c r="M21" s="10"/>
      <c r="N21" s="10"/>
      <c r="O21" s="22" t="s">
        <v>16</v>
      </c>
      <c r="P21" s="23" t="s">
        <v>59</v>
      </c>
      <c r="Q21" s="22" t="s">
        <v>59</v>
      </c>
      <c r="R21" s="10"/>
      <c r="S21" s="10" t="str">
        <f>"600,0"</f>
        <v>600,0</v>
      </c>
      <c r="T21" s="10" t="str">
        <f>"358,5600"</f>
        <v>358,5600</v>
      </c>
      <c r="U21" s="9"/>
    </row>
    <row r="22" spans="1:21">
      <c r="A22" s="14" t="s">
        <v>68</v>
      </c>
      <c r="B22" s="13" t="s">
        <v>56</v>
      </c>
      <c r="C22" s="13" t="s">
        <v>60</v>
      </c>
      <c r="D22" s="13" t="s">
        <v>58</v>
      </c>
      <c r="E22" s="13" t="s">
        <v>391</v>
      </c>
      <c r="F22" s="13" t="s">
        <v>379</v>
      </c>
      <c r="G22" s="26" t="s">
        <v>15</v>
      </c>
      <c r="H22" s="26" t="s">
        <v>59</v>
      </c>
      <c r="I22" s="14"/>
      <c r="J22" s="14"/>
      <c r="K22" s="26" t="s">
        <v>31</v>
      </c>
      <c r="L22" s="26" t="s">
        <v>32</v>
      </c>
      <c r="M22" s="14"/>
      <c r="N22" s="14"/>
      <c r="O22" s="26" t="s">
        <v>16</v>
      </c>
      <c r="P22" s="27" t="s">
        <v>59</v>
      </c>
      <c r="Q22" s="26" t="s">
        <v>59</v>
      </c>
      <c r="R22" s="14"/>
      <c r="S22" s="14" t="str">
        <f>"600,0"</f>
        <v>600,0</v>
      </c>
      <c r="T22" s="14" t="str">
        <f>"386,5277"</f>
        <v>386,5277</v>
      </c>
      <c r="U22" s="13"/>
    </row>
    <row r="23" spans="1:21">
      <c r="B23" s="5" t="s">
        <v>69</v>
      </c>
    </row>
    <row r="24" spans="1:21" ht="16">
      <c r="A24" s="53" t="s">
        <v>170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21">
      <c r="A25" s="8" t="s">
        <v>68</v>
      </c>
      <c r="B25" s="7" t="s">
        <v>171</v>
      </c>
      <c r="C25" s="7" t="s">
        <v>172</v>
      </c>
      <c r="D25" s="7" t="s">
        <v>173</v>
      </c>
      <c r="E25" s="7" t="s">
        <v>389</v>
      </c>
      <c r="F25" s="7" t="s">
        <v>94</v>
      </c>
      <c r="G25" s="20" t="s">
        <v>20</v>
      </c>
      <c r="H25" s="20" t="s">
        <v>15</v>
      </c>
      <c r="I25" s="21" t="s">
        <v>59</v>
      </c>
      <c r="J25" s="8"/>
      <c r="K25" s="20" t="s">
        <v>46</v>
      </c>
      <c r="L25" s="20" t="s">
        <v>74</v>
      </c>
      <c r="M25" s="20" t="s">
        <v>143</v>
      </c>
      <c r="N25" s="8"/>
      <c r="O25" s="20" t="s">
        <v>35</v>
      </c>
      <c r="P25" s="20" t="s">
        <v>53</v>
      </c>
      <c r="Q25" s="20" t="s">
        <v>30</v>
      </c>
      <c r="R25" s="8"/>
      <c r="S25" s="8" t="str">
        <f>"665,0"</f>
        <v>665,0</v>
      </c>
      <c r="T25" s="8" t="str">
        <f>"380,7790"</f>
        <v>380,7790</v>
      </c>
      <c r="U25" s="7" t="s">
        <v>345</v>
      </c>
    </row>
    <row r="26" spans="1:21">
      <c r="B26" s="5" t="s">
        <v>69</v>
      </c>
    </row>
  </sheetData>
  <mergeCells count="19">
    <mergeCell ref="A24:R24"/>
    <mergeCell ref="A5:R5"/>
    <mergeCell ref="A9:R9"/>
    <mergeCell ref="A12:R12"/>
    <mergeCell ref="A16:R16"/>
    <mergeCell ref="A20:R20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7.6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6" t="s">
        <v>370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49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68</v>
      </c>
      <c r="B6" s="9" t="s">
        <v>56</v>
      </c>
      <c r="C6" s="9" t="s">
        <v>57</v>
      </c>
      <c r="D6" s="9" t="s">
        <v>58</v>
      </c>
      <c r="E6" s="9" t="s">
        <v>389</v>
      </c>
      <c r="F6" s="9" t="s">
        <v>379</v>
      </c>
      <c r="G6" s="22" t="s">
        <v>15</v>
      </c>
      <c r="H6" s="22" t="s">
        <v>59</v>
      </c>
      <c r="I6" s="22" t="s">
        <v>75</v>
      </c>
      <c r="J6" s="10"/>
      <c r="K6" s="10" t="str">
        <f>"230,0"</f>
        <v>230,0</v>
      </c>
      <c r="L6" s="10" t="str">
        <f>"131,2495"</f>
        <v>131,2495</v>
      </c>
      <c r="M6" s="9"/>
    </row>
    <row r="7" spans="1:13">
      <c r="A7" s="14" t="s">
        <v>68</v>
      </c>
      <c r="B7" s="13" t="s">
        <v>56</v>
      </c>
      <c r="C7" s="13" t="s">
        <v>60</v>
      </c>
      <c r="D7" s="13" t="s">
        <v>58</v>
      </c>
      <c r="E7" s="13" t="s">
        <v>391</v>
      </c>
      <c r="F7" s="13" t="s">
        <v>379</v>
      </c>
      <c r="G7" s="26" t="s">
        <v>15</v>
      </c>
      <c r="H7" s="26" t="s">
        <v>59</v>
      </c>
      <c r="I7" s="26" t="s">
        <v>75</v>
      </c>
      <c r="J7" s="14"/>
      <c r="K7" s="14" t="str">
        <f>"230,0"</f>
        <v>230,0</v>
      </c>
      <c r="L7" s="14" t="str">
        <f>"140,1745"</f>
        <v>140,1745</v>
      </c>
      <c r="M7" s="13"/>
    </row>
    <row r="8" spans="1:13">
      <c r="B8" s="5" t="s">
        <v>69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29.5" style="5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36" t="s">
        <v>365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49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68</v>
      </c>
      <c r="B6" s="9" t="s">
        <v>56</v>
      </c>
      <c r="C6" s="9" t="s">
        <v>57</v>
      </c>
      <c r="D6" s="9" t="s">
        <v>58</v>
      </c>
      <c r="E6" s="9" t="s">
        <v>389</v>
      </c>
      <c r="F6" s="9" t="s">
        <v>379</v>
      </c>
      <c r="G6" s="22" t="s">
        <v>15</v>
      </c>
      <c r="H6" s="22" t="s">
        <v>59</v>
      </c>
      <c r="I6" s="22" t="s">
        <v>75</v>
      </c>
      <c r="J6" s="10"/>
      <c r="K6" s="10" t="str">
        <f>"230,0"</f>
        <v>230,0</v>
      </c>
      <c r="L6" s="10" t="str">
        <f>"131,2495"</f>
        <v>131,2495</v>
      </c>
      <c r="M6" s="9"/>
    </row>
    <row r="7" spans="1:13">
      <c r="A7" s="14" t="s">
        <v>68</v>
      </c>
      <c r="B7" s="13" t="s">
        <v>56</v>
      </c>
      <c r="C7" s="13" t="s">
        <v>60</v>
      </c>
      <c r="D7" s="13" t="s">
        <v>58</v>
      </c>
      <c r="E7" s="13" t="s">
        <v>391</v>
      </c>
      <c r="F7" s="13" t="s">
        <v>379</v>
      </c>
      <c r="G7" s="26" t="s">
        <v>15</v>
      </c>
      <c r="H7" s="26" t="s">
        <v>59</v>
      </c>
      <c r="I7" s="26" t="s">
        <v>75</v>
      </c>
      <c r="J7" s="14"/>
      <c r="K7" s="14" t="str">
        <f>"230,0"</f>
        <v>230,0</v>
      </c>
      <c r="L7" s="14" t="str">
        <f>"140,1745"</f>
        <v>140,1745</v>
      </c>
      <c r="M7" s="13"/>
    </row>
    <row r="8" spans="1:13">
      <c r="B8" s="5" t="s">
        <v>69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15.1640625" style="5" bestFit="1" customWidth="1"/>
    <col min="5" max="5" width="10.1640625" style="5" bestFit="1" customWidth="1"/>
    <col min="6" max="6" width="34.6640625" style="5" bestFit="1" customWidth="1"/>
    <col min="7" max="10" width="5.33203125" style="6" customWidth="1"/>
    <col min="11" max="11" width="10.5" style="6" bestFit="1" customWidth="1"/>
    <col min="12" max="12" width="8.3320312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6" t="s">
        <v>366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68</v>
      </c>
      <c r="B6" s="9" t="s">
        <v>276</v>
      </c>
      <c r="C6" s="9" t="s">
        <v>277</v>
      </c>
      <c r="D6" s="9" t="s">
        <v>278</v>
      </c>
      <c r="E6" s="9" t="s">
        <v>389</v>
      </c>
      <c r="F6" s="9" t="s">
        <v>352</v>
      </c>
      <c r="G6" s="23" t="s">
        <v>76</v>
      </c>
      <c r="H6" s="23" t="s">
        <v>76</v>
      </c>
      <c r="I6" s="22" t="s">
        <v>76</v>
      </c>
      <c r="J6" s="23" t="s">
        <v>34</v>
      </c>
      <c r="K6" s="10" t="str">
        <f>"240,0"</f>
        <v>240,0</v>
      </c>
      <c r="L6" s="10" t="str">
        <f>"193,5000"</f>
        <v>193,5000</v>
      </c>
      <c r="M6" s="9"/>
    </row>
    <row r="7" spans="1:13">
      <c r="A7" s="14" t="s">
        <v>68</v>
      </c>
      <c r="B7" s="13" t="s">
        <v>276</v>
      </c>
      <c r="C7" s="13" t="s">
        <v>279</v>
      </c>
      <c r="D7" s="13" t="s">
        <v>278</v>
      </c>
      <c r="E7" s="13" t="s">
        <v>391</v>
      </c>
      <c r="F7" s="13" t="s">
        <v>352</v>
      </c>
      <c r="G7" s="27" t="s">
        <v>76</v>
      </c>
      <c r="H7" s="27" t="s">
        <v>76</v>
      </c>
      <c r="I7" s="26" t="s">
        <v>76</v>
      </c>
      <c r="J7" s="27" t="s">
        <v>34</v>
      </c>
      <c r="K7" s="14" t="str">
        <f>"240,0"</f>
        <v>240,0</v>
      </c>
      <c r="L7" s="14" t="str">
        <f>"195,4350"</f>
        <v>195,4350</v>
      </c>
      <c r="M7" s="13"/>
    </row>
    <row r="8" spans="1:13">
      <c r="B8" s="5" t="s">
        <v>69</v>
      </c>
    </row>
    <row r="9" spans="1:13" ht="16">
      <c r="A9" s="53" t="s">
        <v>49</v>
      </c>
      <c r="B9" s="53"/>
      <c r="C9" s="54"/>
      <c r="D9" s="54"/>
      <c r="E9" s="54"/>
      <c r="F9" s="54"/>
      <c r="G9" s="54"/>
      <c r="H9" s="54"/>
      <c r="I9" s="54"/>
      <c r="J9" s="54"/>
    </row>
    <row r="10" spans="1:13">
      <c r="A10" s="10" t="s">
        <v>68</v>
      </c>
      <c r="B10" s="9" t="s">
        <v>56</v>
      </c>
      <c r="C10" s="9" t="s">
        <v>57</v>
      </c>
      <c r="D10" s="9" t="s">
        <v>58</v>
      </c>
      <c r="E10" s="9" t="s">
        <v>389</v>
      </c>
      <c r="F10" s="9" t="s">
        <v>379</v>
      </c>
      <c r="G10" s="22" t="s">
        <v>15</v>
      </c>
      <c r="H10" s="22" t="s">
        <v>59</v>
      </c>
      <c r="I10" s="22" t="s">
        <v>75</v>
      </c>
      <c r="J10" s="10"/>
      <c r="K10" s="10" t="str">
        <f>"230,0"</f>
        <v>230,0</v>
      </c>
      <c r="L10" s="10" t="str">
        <f>"131,2495"</f>
        <v>131,2495</v>
      </c>
      <c r="M10" s="9"/>
    </row>
    <row r="11" spans="1:13">
      <c r="A11" s="14" t="s">
        <v>68</v>
      </c>
      <c r="B11" s="13" t="s">
        <v>56</v>
      </c>
      <c r="C11" s="13" t="s">
        <v>60</v>
      </c>
      <c r="D11" s="13" t="s">
        <v>58</v>
      </c>
      <c r="E11" s="13" t="s">
        <v>391</v>
      </c>
      <c r="F11" s="13" t="s">
        <v>379</v>
      </c>
      <c r="G11" s="26" t="s">
        <v>15</v>
      </c>
      <c r="H11" s="26" t="s">
        <v>59</v>
      </c>
      <c r="I11" s="26" t="s">
        <v>75</v>
      </c>
      <c r="J11" s="14"/>
      <c r="K11" s="14" t="str">
        <f>"230,0"</f>
        <v>230,0</v>
      </c>
      <c r="L11" s="14" t="str">
        <f>"140,1745"</f>
        <v>140,1745</v>
      </c>
      <c r="M11" s="13"/>
    </row>
    <row r="12" spans="1:13">
      <c r="B12" s="5" t="s">
        <v>69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6"/>
  <sheetViews>
    <sheetView workbookViewId="0">
      <selection activeCell="E37" sqref="E37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5.33203125" style="5" bestFit="1" customWidth="1"/>
    <col min="7" max="10" width="5.33203125" style="6" customWidth="1"/>
    <col min="11" max="11" width="10.5" style="6" bestFit="1" customWidth="1"/>
    <col min="12" max="12" width="8.3320312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6" t="s">
        <v>363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9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78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68</v>
      </c>
      <c r="B6" s="7" t="s">
        <v>119</v>
      </c>
      <c r="C6" s="7" t="s">
        <v>120</v>
      </c>
      <c r="D6" s="7" t="s">
        <v>121</v>
      </c>
      <c r="E6" s="7" t="s">
        <v>388</v>
      </c>
      <c r="F6" s="7" t="s">
        <v>27</v>
      </c>
      <c r="G6" s="20" t="s">
        <v>88</v>
      </c>
      <c r="H6" s="20" t="s">
        <v>128</v>
      </c>
      <c r="I6" s="20" t="s">
        <v>129</v>
      </c>
      <c r="J6" s="21" t="s">
        <v>130</v>
      </c>
      <c r="K6" s="8" t="str">
        <f>"127,5"</f>
        <v>127,5</v>
      </c>
      <c r="L6" s="8" t="str">
        <f>"132,2685"</f>
        <v>132,2685</v>
      </c>
      <c r="M6" s="7" t="s">
        <v>347</v>
      </c>
    </row>
    <row r="7" spans="1:13">
      <c r="B7" s="5" t="s">
        <v>69</v>
      </c>
    </row>
    <row r="8" spans="1:13" ht="16">
      <c r="A8" s="53" t="s">
        <v>145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8" t="s">
        <v>68</v>
      </c>
      <c r="B9" s="7" t="s">
        <v>287</v>
      </c>
      <c r="C9" s="7" t="s">
        <v>288</v>
      </c>
      <c r="D9" s="7" t="s">
        <v>289</v>
      </c>
      <c r="E9" s="7" t="s">
        <v>390</v>
      </c>
      <c r="F9" s="7" t="s">
        <v>380</v>
      </c>
      <c r="G9" s="20" t="s">
        <v>82</v>
      </c>
      <c r="H9" s="20" t="s">
        <v>84</v>
      </c>
      <c r="I9" s="20" t="s">
        <v>122</v>
      </c>
      <c r="J9" s="8"/>
      <c r="K9" s="8" t="str">
        <f>"100,0"</f>
        <v>100,0</v>
      </c>
      <c r="L9" s="8" t="str">
        <f>"95,4700"</f>
        <v>95,4700</v>
      </c>
      <c r="M9" s="7" t="s">
        <v>77</v>
      </c>
    </row>
    <row r="10" spans="1:13">
      <c r="B10" s="5" t="s">
        <v>69</v>
      </c>
    </row>
    <row r="11" spans="1:13" ht="16">
      <c r="A11" s="53" t="s">
        <v>78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8" t="s">
        <v>68</v>
      </c>
      <c r="B12" s="7" t="s">
        <v>229</v>
      </c>
      <c r="C12" s="7" t="s">
        <v>230</v>
      </c>
      <c r="D12" s="7" t="s">
        <v>231</v>
      </c>
      <c r="E12" s="7" t="s">
        <v>389</v>
      </c>
      <c r="F12" s="7" t="s">
        <v>376</v>
      </c>
      <c r="G12" s="20" t="s">
        <v>32</v>
      </c>
      <c r="H12" s="20" t="s">
        <v>74</v>
      </c>
      <c r="I12" s="21" t="s">
        <v>22</v>
      </c>
      <c r="J12" s="8"/>
      <c r="K12" s="8" t="str">
        <f>"180,0"</f>
        <v>180,0</v>
      </c>
      <c r="L12" s="8" t="str">
        <f>"138,7800"</f>
        <v>138,7800</v>
      </c>
      <c r="M12" s="7" t="s">
        <v>232</v>
      </c>
    </row>
    <row r="13" spans="1:13">
      <c r="B13" s="5" t="s">
        <v>69</v>
      </c>
    </row>
    <row r="14" spans="1:13" ht="16">
      <c r="A14" s="53" t="s">
        <v>90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8" t="s">
        <v>68</v>
      </c>
      <c r="B15" s="7" t="s">
        <v>290</v>
      </c>
      <c r="C15" s="7" t="s">
        <v>291</v>
      </c>
      <c r="D15" s="7" t="s">
        <v>292</v>
      </c>
      <c r="E15" s="7" t="s">
        <v>389</v>
      </c>
      <c r="F15" s="7" t="s">
        <v>381</v>
      </c>
      <c r="G15" s="20" t="s">
        <v>143</v>
      </c>
      <c r="H15" s="20" t="s">
        <v>215</v>
      </c>
      <c r="I15" s="8" t="s">
        <v>16</v>
      </c>
      <c r="J15" s="8"/>
      <c r="K15" s="8" t="str">
        <f>"207,5"</f>
        <v>207,5</v>
      </c>
      <c r="L15" s="8" t="str">
        <f>"147,8645"</f>
        <v>147,8645</v>
      </c>
      <c r="M15" s="7" t="s">
        <v>77</v>
      </c>
    </row>
    <row r="16" spans="1:13">
      <c r="B16" s="5" t="s">
        <v>69</v>
      </c>
    </row>
    <row r="17" spans="1:13" ht="16">
      <c r="A17" s="53" t="s">
        <v>10</v>
      </c>
      <c r="B17" s="53"/>
      <c r="C17" s="54"/>
      <c r="D17" s="54"/>
      <c r="E17" s="54"/>
      <c r="F17" s="54"/>
      <c r="G17" s="54"/>
      <c r="H17" s="54"/>
      <c r="I17" s="54"/>
      <c r="J17" s="54"/>
    </row>
    <row r="18" spans="1:13">
      <c r="A18" s="8" t="s">
        <v>68</v>
      </c>
      <c r="B18" s="7" t="s">
        <v>293</v>
      </c>
      <c r="C18" s="7" t="s">
        <v>294</v>
      </c>
      <c r="D18" s="7" t="s">
        <v>295</v>
      </c>
      <c r="E18" s="7" t="s">
        <v>390</v>
      </c>
      <c r="F18" s="7" t="s">
        <v>381</v>
      </c>
      <c r="G18" s="21" t="s">
        <v>122</v>
      </c>
      <c r="H18" s="20" t="s">
        <v>87</v>
      </c>
      <c r="I18" s="20" t="s">
        <v>109</v>
      </c>
      <c r="J18" s="8"/>
      <c r="K18" s="8" t="str">
        <f>"130,0"</f>
        <v>130,0</v>
      </c>
      <c r="L18" s="8" t="str">
        <f>"91,3770"</f>
        <v>91,3770</v>
      </c>
      <c r="M18" s="7" t="s">
        <v>77</v>
      </c>
    </row>
    <row r="19" spans="1:13">
      <c r="B19" s="5" t="s">
        <v>69</v>
      </c>
    </row>
    <row r="20" spans="1:13" ht="16">
      <c r="A20" s="53" t="s">
        <v>110</v>
      </c>
      <c r="B20" s="53"/>
      <c r="C20" s="54"/>
      <c r="D20" s="54"/>
      <c r="E20" s="54"/>
      <c r="F20" s="54"/>
      <c r="G20" s="54"/>
      <c r="H20" s="54"/>
      <c r="I20" s="54"/>
      <c r="J20" s="54"/>
    </row>
    <row r="21" spans="1:13">
      <c r="A21" s="10" t="s">
        <v>68</v>
      </c>
      <c r="B21" s="9" t="s">
        <v>296</v>
      </c>
      <c r="C21" s="9" t="s">
        <v>297</v>
      </c>
      <c r="D21" s="9" t="s">
        <v>113</v>
      </c>
      <c r="E21" s="9" t="s">
        <v>389</v>
      </c>
      <c r="F21" s="9" t="s">
        <v>381</v>
      </c>
      <c r="G21" s="22" t="s">
        <v>59</v>
      </c>
      <c r="H21" s="22" t="s">
        <v>75</v>
      </c>
      <c r="I21" s="22" t="s">
        <v>28</v>
      </c>
      <c r="J21" s="10"/>
      <c r="K21" s="10" t="str">
        <f>"245,0"</f>
        <v>245,0</v>
      </c>
      <c r="L21" s="10" t="str">
        <f>"156,4080"</f>
        <v>156,4080</v>
      </c>
      <c r="M21" s="9" t="s">
        <v>77</v>
      </c>
    </row>
    <row r="22" spans="1:13">
      <c r="A22" s="12" t="s">
        <v>70</v>
      </c>
      <c r="B22" s="11" t="s">
        <v>249</v>
      </c>
      <c r="C22" s="11" t="s">
        <v>250</v>
      </c>
      <c r="D22" s="11" t="s">
        <v>251</v>
      </c>
      <c r="E22" s="11" t="s">
        <v>389</v>
      </c>
      <c r="F22" s="11" t="s">
        <v>376</v>
      </c>
      <c r="G22" s="24" t="s">
        <v>15</v>
      </c>
      <c r="H22" s="24" t="s">
        <v>59</v>
      </c>
      <c r="I22" s="25" t="s">
        <v>75</v>
      </c>
      <c r="J22" s="12"/>
      <c r="K22" s="12" t="str">
        <f>"220,0"</f>
        <v>220,0</v>
      </c>
      <c r="L22" s="12" t="str">
        <f>"142,5380"</f>
        <v>142,5380</v>
      </c>
      <c r="M22" s="11" t="s">
        <v>210</v>
      </c>
    </row>
    <row r="23" spans="1:13">
      <c r="A23" s="12" t="s">
        <v>275</v>
      </c>
      <c r="B23" s="11" t="s">
        <v>298</v>
      </c>
      <c r="C23" s="11" t="s">
        <v>299</v>
      </c>
      <c r="D23" s="11" t="s">
        <v>113</v>
      </c>
      <c r="E23" s="11" t="s">
        <v>389</v>
      </c>
      <c r="F23" s="11" t="s">
        <v>381</v>
      </c>
      <c r="G23" s="24" t="s">
        <v>15</v>
      </c>
      <c r="H23" s="24" t="s">
        <v>16</v>
      </c>
      <c r="I23" s="25" t="s">
        <v>75</v>
      </c>
      <c r="J23" s="12"/>
      <c r="K23" s="12" t="str">
        <f>"210,0"</f>
        <v>210,0</v>
      </c>
      <c r="L23" s="12" t="str">
        <f>"134,0640"</f>
        <v>134,0640</v>
      </c>
      <c r="M23" s="11" t="s">
        <v>77</v>
      </c>
    </row>
    <row r="24" spans="1:13">
      <c r="A24" s="12" t="s">
        <v>310</v>
      </c>
      <c r="B24" s="11" t="s">
        <v>300</v>
      </c>
      <c r="C24" s="11" t="s">
        <v>301</v>
      </c>
      <c r="D24" s="11" t="s">
        <v>302</v>
      </c>
      <c r="E24" s="11" t="s">
        <v>389</v>
      </c>
      <c r="F24" s="11" t="s">
        <v>382</v>
      </c>
      <c r="G24" s="24" t="s">
        <v>46</v>
      </c>
      <c r="H24" s="24" t="s">
        <v>143</v>
      </c>
      <c r="I24" s="25" t="s">
        <v>209</v>
      </c>
      <c r="J24" s="12"/>
      <c r="K24" s="12" t="str">
        <f>"185,0"</f>
        <v>185,0</v>
      </c>
      <c r="L24" s="12" t="str">
        <f>"119,7135"</f>
        <v>119,7135</v>
      </c>
      <c r="M24" s="11" t="s">
        <v>354</v>
      </c>
    </row>
    <row r="25" spans="1:13">
      <c r="A25" s="12" t="s">
        <v>68</v>
      </c>
      <c r="B25" s="11" t="s">
        <v>158</v>
      </c>
      <c r="C25" s="11" t="s">
        <v>159</v>
      </c>
      <c r="D25" s="11" t="s">
        <v>160</v>
      </c>
      <c r="E25" s="11" t="s">
        <v>391</v>
      </c>
      <c r="F25" s="11" t="s">
        <v>383</v>
      </c>
      <c r="G25" s="24" t="s">
        <v>14</v>
      </c>
      <c r="H25" s="24" t="s">
        <v>162</v>
      </c>
      <c r="I25" s="24" t="s">
        <v>163</v>
      </c>
      <c r="J25" s="12"/>
      <c r="K25" s="12" t="str">
        <f>"212,5"</f>
        <v>212,5</v>
      </c>
      <c r="L25" s="12" t="str">
        <f>"142,1454"</f>
        <v>142,1454</v>
      </c>
      <c r="M25" s="11" t="s">
        <v>164</v>
      </c>
    </row>
    <row r="26" spans="1:13">
      <c r="A26" s="14" t="s">
        <v>70</v>
      </c>
      <c r="B26" s="13" t="s">
        <v>300</v>
      </c>
      <c r="C26" s="13" t="s">
        <v>303</v>
      </c>
      <c r="D26" s="13" t="s">
        <v>302</v>
      </c>
      <c r="E26" s="13" t="s">
        <v>391</v>
      </c>
      <c r="F26" s="13" t="s">
        <v>382</v>
      </c>
      <c r="G26" s="26" t="s">
        <v>46</v>
      </c>
      <c r="H26" s="26" t="s">
        <v>143</v>
      </c>
      <c r="I26" s="27" t="s">
        <v>209</v>
      </c>
      <c r="J26" s="14"/>
      <c r="K26" s="14" t="str">
        <f>"185,0"</f>
        <v>185,0</v>
      </c>
      <c r="L26" s="14" t="str">
        <f>"120,3121"</f>
        <v>120,3121</v>
      </c>
      <c r="M26" s="13" t="s">
        <v>346</v>
      </c>
    </row>
    <row r="27" spans="1:13">
      <c r="B27" s="5" t="s">
        <v>69</v>
      </c>
    </row>
    <row r="28" spans="1:13" ht="16">
      <c r="A28" s="53" t="s">
        <v>38</v>
      </c>
      <c r="B28" s="53"/>
      <c r="C28" s="54"/>
      <c r="D28" s="54"/>
      <c r="E28" s="54"/>
      <c r="F28" s="54"/>
      <c r="G28" s="54"/>
      <c r="H28" s="54"/>
      <c r="I28" s="54"/>
      <c r="J28" s="54"/>
    </row>
    <row r="29" spans="1:13">
      <c r="A29" s="8" t="s">
        <v>68</v>
      </c>
      <c r="B29" s="7" t="s">
        <v>304</v>
      </c>
      <c r="C29" s="7" t="s">
        <v>305</v>
      </c>
      <c r="D29" s="7" t="s">
        <v>306</v>
      </c>
      <c r="E29" s="7" t="s">
        <v>394</v>
      </c>
      <c r="F29" s="7" t="s">
        <v>379</v>
      </c>
      <c r="G29" s="20" t="s">
        <v>162</v>
      </c>
      <c r="H29" s="20" t="s">
        <v>95</v>
      </c>
      <c r="I29" s="20" t="s">
        <v>59</v>
      </c>
      <c r="J29" s="8"/>
      <c r="K29" s="8" t="str">
        <f>"220,0"</f>
        <v>220,0</v>
      </c>
      <c r="L29" s="8" t="str">
        <f>"171,0500"</f>
        <v>171,0500</v>
      </c>
      <c r="M29" s="7"/>
    </row>
    <row r="30" spans="1:13">
      <c r="B30" s="5" t="s">
        <v>69</v>
      </c>
    </row>
    <row r="31" spans="1:13" ht="16">
      <c r="A31" s="53" t="s">
        <v>49</v>
      </c>
      <c r="B31" s="53"/>
      <c r="C31" s="54"/>
      <c r="D31" s="54"/>
      <c r="E31" s="54"/>
      <c r="F31" s="54"/>
      <c r="G31" s="54"/>
      <c r="H31" s="54"/>
      <c r="I31" s="54"/>
      <c r="J31" s="54"/>
    </row>
    <row r="32" spans="1:13">
      <c r="A32" s="10" t="s">
        <v>68</v>
      </c>
      <c r="B32" s="9" t="s">
        <v>56</v>
      </c>
      <c r="C32" s="9" t="s">
        <v>57</v>
      </c>
      <c r="D32" s="9" t="s">
        <v>58</v>
      </c>
      <c r="E32" s="9" t="s">
        <v>389</v>
      </c>
      <c r="F32" s="9" t="s">
        <v>379</v>
      </c>
      <c r="G32" s="22" t="s">
        <v>16</v>
      </c>
      <c r="H32" s="23" t="s">
        <v>59</v>
      </c>
      <c r="I32" s="22" t="s">
        <v>59</v>
      </c>
      <c r="J32" s="10"/>
      <c r="K32" s="10" t="str">
        <f>"220,0"</f>
        <v>220,0</v>
      </c>
      <c r="L32" s="10" t="str">
        <f>"131,4720"</f>
        <v>131,4720</v>
      </c>
      <c r="M32" s="9"/>
    </row>
    <row r="33" spans="1:13">
      <c r="A33" s="14" t="s">
        <v>68</v>
      </c>
      <c r="B33" s="13" t="s">
        <v>56</v>
      </c>
      <c r="C33" s="13" t="s">
        <v>60</v>
      </c>
      <c r="D33" s="13" t="s">
        <v>58</v>
      </c>
      <c r="E33" s="13" t="s">
        <v>391</v>
      </c>
      <c r="F33" s="13" t="s">
        <v>379</v>
      </c>
      <c r="G33" s="26" t="s">
        <v>16</v>
      </c>
      <c r="H33" s="27" t="s">
        <v>59</v>
      </c>
      <c r="I33" s="26" t="s">
        <v>59</v>
      </c>
      <c r="J33" s="14"/>
      <c r="K33" s="14" t="str">
        <f>"220,0"</f>
        <v>220,0</v>
      </c>
      <c r="L33" s="14" t="str">
        <f>"141,7268"</f>
        <v>141,7268</v>
      </c>
      <c r="M33" s="13"/>
    </row>
    <row r="34" spans="1:13">
      <c r="B34" s="5" t="s">
        <v>69</v>
      </c>
    </row>
    <row r="35" spans="1:13" ht="16">
      <c r="A35" s="53" t="s">
        <v>170</v>
      </c>
      <c r="B35" s="53"/>
      <c r="C35" s="54"/>
      <c r="D35" s="54"/>
      <c r="E35" s="54"/>
      <c r="F35" s="54"/>
      <c r="G35" s="54"/>
      <c r="H35" s="54"/>
      <c r="I35" s="54"/>
      <c r="J35" s="54"/>
    </row>
    <row r="36" spans="1:13">
      <c r="A36" s="8" t="s">
        <v>68</v>
      </c>
      <c r="B36" s="7" t="s">
        <v>171</v>
      </c>
      <c r="C36" s="7" t="s">
        <v>172</v>
      </c>
      <c r="D36" s="7" t="s">
        <v>173</v>
      </c>
      <c r="E36" s="7" t="s">
        <v>389</v>
      </c>
      <c r="F36" s="7" t="s">
        <v>94</v>
      </c>
      <c r="G36" s="20" t="s">
        <v>35</v>
      </c>
      <c r="H36" s="20" t="s">
        <v>53</v>
      </c>
      <c r="I36" s="20" t="s">
        <v>30</v>
      </c>
      <c r="J36" s="8"/>
      <c r="K36" s="8" t="str">
        <f>"280,0"</f>
        <v>280,0</v>
      </c>
      <c r="L36" s="8" t="str">
        <f>"160,3280"</f>
        <v>160,3280</v>
      </c>
      <c r="M36" s="7" t="s">
        <v>345</v>
      </c>
    </row>
    <row r="37" spans="1:13">
      <c r="B37" s="5" t="s">
        <v>69</v>
      </c>
    </row>
    <row r="38" spans="1:13">
      <c r="B38" s="5" t="s">
        <v>69</v>
      </c>
    </row>
    <row r="39" spans="1:13">
      <c r="B39" s="5" t="s">
        <v>69</v>
      </c>
    </row>
    <row r="40" spans="1:13" ht="18">
      <c r="B40" s="15" t="s">
        <v>61</v>
      </c>
      <c r="C40" s="15"/>
    </row>
    <row r="41" spans="1:13" ht="16">
      <c r="B41" s="16" t="s">
        <v>66</v>
      </c>
      <c r="C41" s="16"/>
    </row>
    <row r="42" spans="1:13" ht="14">
      <c r="B42" s="17"/>
      <c r="C42" s="18" t="s">
        <v>62</v>
      </c>
    </row>
    <row r="43" spans="1:13" ht="14">
      <c r="B43" s="19" t="s">
        <v>63</v>
      </c>
      <c r="C43" s="19" t="s">
        <v>64</v>
      </c>
      <c r="D43" s="19" t="s">
        <v>377</v>
      </c>
      <c r="E43" s="19" t="s">
        <v>176</v>
      </c>
      <c r="F43" s="19" t="s">
        <v>65</v>
      </c>
    </row>
    <row r="44" spans="1:13">
      <c r="B44" s="5" t="s">
        <v>171</v>
      </c>
      <c r="C44" s="5" t="s">
        <v>62</v>
      </c>
      <c r="D44" s="6" t="s">
        <v>175</v>
      </c>
      <c r="E44" s="6" t="s">
        <v>30</v>
      </c>
      <c r="F44" s="6" t="s">
        <v>307</v>
      </c>
    </row>
    <row r="45" spans="1:13">
      <c r="B45" s="5" t="s">
        <v>296</v>
      </c>
      <c r="C45" s="5" t="s">
        <v>62</v>
      </c>
      <c r="D45" s="6" t="s">
        <v>117</v>
      </c>
      <c r="E45" s="6" t="s">
        <v>28</v>
      </c>
      <c r="F45" s="6" t="s">
        <v>308</v>
      </c>
    </row>
    <row r="46" spans="1:13">
      <c r="B46" s="5" t="s">
        <v>290</v>
      </c>
      <c r="C46" s="5" t="s">
        <v>62</v>
      </c>
      <c r="D46" s="6" t="s">
        <v>174</v>
      </c>
      <c r="E46" s="6" t="s">
        <v>215</v>
      </c>
      <c r="F46" s="6" t="s">
        <v>309</v>
      </c>
    </row>
  </sheetData>
  <mergeCells count="20">
    <mergeCell ref="A31:J31"/>
    <mergeCell ref="A35:J35"/>
    <mergeCell ref="B3:B4"/>
    <mergeCell ref="A8:J8"/>
    <mergeCell ref="A11:J11"/>
    <mergeCell ref="A14:J14"/>
    <mergeCell ref="A17:J17"/>
    <mergeCell ref="A20:J20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5.33203125" style="5" bestFit="1" customWidth="1"/>
    <col min="4" max="4" width="15.1640625" style="5" bestFit="1" customWidth="1"/>
    <col min="5" max="5" width="10.1640625" style="5" bestFit="1" customWidth="1"/>
    <col min="6" max="6" width="31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6" t="s">
        <v>364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9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68</v>
      </c>
      <c r="B6" s="7" t="s">
        <v>96</v>
      </c>
      <c r="C6" s="7" t="s">
        <v>97</v>
      </c>
      <c r="D6" s="7" t="s">
        <v>98</v>
      </c>
      <c r="E6" s="7" t="s">
        <v>389</v>
      </c>
      <c r="F6" s="7" t="s">
        <v>99</v>
      </c>
      <c r="G6" s="20" t="s">
        <v>53</v>
      </c>
      <c r="H6" s="20" t="s">
        <v>103</v>
      </c>
      <c r="I6" s="21" t="s">
        <v>43</v>
      </c>
      <c r="J6" s="8"/>
      <c r="K6" s="8" t="str">
        <f>"285,0"</f>
        <v>285,0</v>
      </c>
      <c r="L6" s="8" t="str">
        <f>"191,6340"</f>
        <v>191,6340</v>
      </c>
      <c r="M6" s="7" t="s">
        <v>104</v>
      </c>
    </row>
    <row r="7" spans="1:13">
      <c r="B7" s="5" t="s">
        <v>69</v>
      </c>
    </row>
    <row r="8" spans="1:13" ht="16">
      <c r="A8" s="53" t="s">
        <v>110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8" t="s">
        <v>68</v>
      </c>
      <c r="B9" s="7" t="s">
        <v>280</v>
      </c>
      <c r="C9" s="7" t="s">
        <v>281</v>
      </c>
      <c r="D9" s="7" t="s">
        <v>282</v>
      </c>
      <c r="E9" s="7" t="s">
        <v>389</v>
      </c>
      <c r="F9" s="7" t="s">
        <v>107</v>
      </c>
      <c r="G9" s="20" t="s">
        <v>35</v>
      </c>
      <c r="H9" s="21" t="s">
        <v>116</v>
      </c>
      <c r="I9" s="8"/>
      <c r="J9" s="8"/>
      <c r="K9" s="8" t="str">
        <f>"260,0"</f>
        <v>260,0</v>
      </c>
      <c r="L9" s="8" t="str">
        <f>"168,6620"</f>
        <v>168,6620</v>
      </c>
      <c r="M9" s="7" t="s">
        <v>348</v>
      </c>
    </row>
    <row r="10" spans="1:13">
      <c r="B10" s="5" t="s">
        <v>69</v>
      </c>
    </row>
    <row r="11" spans="1:13" ht="16">
      <c r="A11" s="53" t="s">
        <v>49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8" t="s">
        <v>68</v>
      </c>
      <c r="B12" s="7" t="s">
        <v>283</v>
      </c>
      <c r="C12" s="7" t="s">
        <v>284</v>
      </c>
      <c r="D12" s="7" t="s">
        <v>285</v>
      </c>
      <c r="E12" s="7" t="s">
        <v>389</v>
      </c>
      <c r="F12" s="7" t="s">
        <v>107</v>
      </c>
      <c r="G12" s="20" t="s">
        <v>47</v>
      </c>
      <c r="H12" s="21" t="s">
        <v>286</v>
      </c>
      <c r="I12" s="21" t="s">
        <v>286</v>
      </c>
      <c r="J12" s="8"/>
      <c r="K12" s="8" t="str">
        <f>"300,0"</f>
        <v>300,0</v>
      </c>
      <c r="L12" s="8" t="str">
        <f>"176,5500"</f>
        <v>176,5500</v>
      </c>
      <c r="M12" s="7"/>
    </row>
    <row r="13" spans="1:13">
      <c r="B13" s="5" t="s">
        <v>69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" style="5" customWidth="1"/>
    <col min="3" max="3" width="25.33203125" style="5" bestFit="1" customWidth="1"/>
    <col min="4" max="4" width="21" style="5" bestFit="1" customWidth="1"/>
    <col min="5" max="5" width="10.1640625" style="5" bestFit="1" customWidth="1"/>
    <col min="6" max="6" width="31.1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6" t="s">
        <v>362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9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68</v>
      </c>
      <c r="B6" s="7" t="s">
        <v>96</v>
      </c>
      <c r="C6" s="7" t="s">
        <v>97</v>
      </c>
      <c r="D6" s="7" t="s">
        <v>98</v>
      </c>
      <c r="E6" s="7" t="s">
        <v>389</v>
      </c>
      <c r="F6" s="7" t="s">
        <v>99</v>
      </c>
      <c r="G6" s="20" t="s">
        <v>53</v>
      </c>
      <c r="H6" s="20" t="s">
        <v>103</v>
      </c>
      <c r="I6" s="21" t="s">
        <v>43</v>
      </c>
      <c r="J6" s="8"/>
      <c r="K6" s="8" t="str">
        <f>"285,0"</f>
        <v>285,0</v>
      </c>
      <c r="L6" s="8" t="str">
        <f>"191,6340"</f>
        <v>191,6340</v>
      </c>
      <c r="M6" s="7" t="s">
        <v>104</v>
      </c>
    </row>
    <row r="7" spans="1:13">
      <c r="B7" s="5" t="s">
        <v>69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E16" sqref="E16"/>
    </sheetView>
  </sheetViews>
  <sheetFormatPr baseColWidth="10" defaultColWidth="9.1640625" defaultRowHeight="13"/>
  <cols>
    <col min="1" max="1" width="7.1640625" style="5" bestFit="1" customWidth="1"/>
    <col min="2" max="2" width="21.1640625" style="5" customWidth="1"/>
    <col min="3" max="3" width="28" style="5" bestFit="1" customWidth="1"/>
    <col min="4" max="4" width="21" style="5" bestFit="1" customWidth="1"/>
    <col min="5" max="5" width="10.1640625" style="5" bestFit="1" customWidth="1"/>
    <col min="6" max="6" width="24.83203125" style="5" customWidth="1"/>
    <col min="7" max="10" width="5.33203125" style="6" customWidth="1"/>
    <col min="11" max="11" width="10.5" style="6" bestFit="1" customWidth="1"/>
    <col min="12" max="12" width="7.3320312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36" t="s">
        <v>359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328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68</v>
      </c>
      <c r="B6" s="9" t="s">
        <v>329</v>
      </c>
      <c r="C6" s="9" t="s">
        <v>330</v>
      </c>
      <c r="D6" s="9" t="s">
        <v>331</v>
      </c>
      <c r="E6" s="9" t="s">
        <v>389</v>
      </c>
      <c r="F6" s="9" t="s">
        <v>358</v>
      </c>
      <c r="G6" s="22" t="s">
        <v>136</v>
      </c>
      <c r="H6" s="23" t="s">
        <v>155</v>
      </c>
      <c r="I6" s="23" t="s">
        <v>155</v>
      </c>
      <c r="J6" s="10"/>
      <c r="K6" s="10" t="str">
        <f>"65,0"</f>
        <v>65,0</v>
      </c>
      <c r="L6" s="10" t="str">
        <f>"42,6855"</f>
        <v>42,6855</v>
      </c>
      <c r="M6" s="9"/>
    </row>
    <row r="7" spans="1:13">
      <c r="A7" s="14" t="s">
        <v>70</v>
      </c>
      <c r="B7" s="13" t="s">
        <v>332</v>
      </c>
      <c r="C7" s="13" t="s">
        <v>333</v>
      </c>
      <c r="D7" s="13" t="s">
        <v>334</v>
      </c>
      <c r="E7" s="13" t="s">
        <v>389</v>
      </c>
      <c r="F7" s="13" t="s">
        <v>358</v>
      </c>
      <c r="G7" s="26" t="s">
        <v>135</v>
      </c>
      <c r="H7" s="27" t="s">
        <v>335</v>
      </c>
      <c r="I7" s="27" t="s">
        <v>155</v>
      </c>
      <c r="J7" s="14"/>
      <c r="K7" s="14" t="str">
        <f>"60,0"</f>
        <v>60,0</v>
      </c>
      <c r="L7" s="14" t="str">
        <f>"38,6760"</f>
        <v>38,6760</v>
      </c>
      <c r="M7" s="13"/>
    </row>
    <row r="8" spans="1:13">
      <c r="B8" s="5" t="s">
        <v>69</v>
      </c>
    </row>
    <row r="9" spans="1:13" ht="16">
      <c r="A9" s="53" t="s">
        <v>110</v>
      </c>
      <c r="B9" s="53"/>
      <c r="C9" s="54"/>
      <c r="D9" s="54"/>
      <c r="E9" s="54"/>
      <c r="F9" s="54"/>
      <c r="G9" s="54"/>
      <c r="H9" s="54"/>
      <c r="I9" s="54"/>
      <c r="J9" s="54"/>
    </row>
    <row r="10" spans="1:13">
      <c r="A10" s="10" t="s">
        <v>68</v>
      </c>
      <c r="B10" s="9" t="s">
        <v>247</v>
      </c>
      <c r="C10" s="9" t="s">
        <v>248</v>
      </c>
      <c r="D10" s="9" t="s">
        <v>113</v>
      </c>
      <c r="E10" s="9" t="s">
        <v>389</v>
      </c>
      <c r="F10" s="9" t="s">
        <v>358</v>
      </c>
      <c r="G10" s="22" t="s">
        <v>135</v>
      </c>
      <c r="H10" s="22" t="s">
        <v>85</v>
      </c>
      <c r="I10" s="23" t="s">
        <v>86</v>
      </c>
      <c r="J10" s="10"/>
      <c r="K10" s="10" t="str">
        <f>"70,0"</f>
        <v>70,0</v>
      </c>
      <c r="L10" s="10" t="str">
        <f>"42,8295"</f>
        <v>42,8295</v>
      </c>
      <c r="M10" s="9"/>
    </row>
    <row r="11" spans="1:13">
      <c r="A11" s="14" t="s">
        <v>70</v>
      </c>
      <c r="B11" s="13" t="s">
        <v>336</v>
      </c>
      <c r="C11" s="13" t="s">
        <v>337</v>
      </c>
      <c r="D11" s="13" t="s">
        <v>338</v>
      </c>
      <c r="E11" s="13" t="s">
        <v>389</v>
      </c>
      <c r="F11" s="13" t="s">
        <v>358</v>
      </c>
      <c r="G11" s="26" t="s">
        <v>136</v>
      </c>
      <c r="H11" s="27" t="s">
        <v>85</v>
      </c>
      <c r="I11" s="27" t="s">
        <v>85</v>
      </c>
      <c r="J11" s="14"/>
      <c r="K11" s="14" t="str">
        <f>"65,0"</f>
        <v>65,0</v>
      </c>
      <c r="L11" s="14" t="str">
        <f>"39,9457"</f>
        <v>39,9457</v>
      </c>
      <c r="M11" s="13"/>
    </row>
    <row r="12" spans="1:13">
      <c r="B12" s="5" t="s">
        <v>69</v>
      </c>
    </row>
    <row r="13" spans="1:13" ht="16">
      <c r="A13" s="53" t="s">
        <v>49</v>
      </c>
      <c r="B13" s="53"/>
      <c r="C13" s="54"/>
      <c r="D13" s="54"/>
      <c r="E13" s="54"/>
      <c r="F13" s="54"/>
      <c r="G13" s="54"/>
      <c r="H13" s="54"/>
      <c r="I13" s="54"/>
      <c r="J13" s="54"/>
    </row>
    <row r="14" spans="1:13">
      <c r="A14" s="10" t="s">
        <v>68</v>
      </c>
      <c r="B14" s="9" t="s">
        <v>339</v>
      </c>
      <c r="C14" s="9" t="s">
        <v>340</v>
      </c>
      <c r="D14" s="9" t="s">
        <v>341</v>
      </c>
      <c r="E14" s="9" t="s">
        <v>389</v>
      </c>
      <c r="F14" s="9" t="s">
        <v>358</v>
      </c>
      <c r="G14" s="22" t="s">
        <v>85</v>
      </c>
      <c r="H14" s="22" t="s">
        <v>155</v>
      </c>
      <c r="I14" s="22" t="s">
        <v>86</v>
      </c>
      <c r="J14" s="10"/>
      <c r="K14" s="10" t="str">
        <f>"75,0"</f>
        <v>75,0</v>
      </c>
      <c r="L14" s="10" t="str">
        <f>"42,4837"</f>
        <v>42,4837</v>
      </c>
      <c r="M14" s="9"/>
    </row>
    <row r="15" spans="1:13">
      <c r="A15" s="14" t="s">
        <v>68</v>
      </c>
      <c r="B15" s="13" t="s">
        <v>342</v>
      </c>
      <c r="C15" s="13" t="s">
        <v>355</v>
      </c>
      <c r="D15" s="13" t="s">
        <v>343</v>
      </c>
      <c r="E15" s="13" t="s">
        <v>391</v>
      </c>
      <c r="F15" s="13" t="s">
        <v>358</v>
      </c>
      <c r="G15" s="26" t="s">
        <v>86</v>
      </c>
      <c r="H15" s="27" t="s">
        <v>82</v>
      </c>
      <c r="I15" s="27" t="s">
        <v>82</v>
      </c>
      <c r="J15" s="14"/>
      <c r="K15" s="14" t="str">
        <f>"75,0"</f>
        <v>75,0</v>
      </c>
      <c r="L15" s="14" t="str">
        <f>"43,8510"</f>
        <v>43,8510</v>
      </c>
      <c r="M15" s="13" t="s">
        <v>344</v>
      </c>
    </row>
    <row r="16" spans="1:13">
      <c r="B16" s="5" t="s">
        <v>69</v>
      </c>
    </row>
  </sheetData>
  <mergeCells count="14">
    <mergeCell ref="A9:J9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21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1.6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32" bestFit="1" customWidth="1"/>
    <col min="20" max="20" width="8.33203125" style="6" bestFit="1" customWidth="1"/>
    <col min="21" max="21" width="21.33203125" style="5" customWidth="1"/>
    <col min="22" max="16384" width="9.1640625" style="3"/>
  </cols>
  <sheetData>
    <row r="1" spans="1:21" s="2" customFormat="1" ht="29" customHeight="1">
      <c r="A1" s="36" t="s">
        <v>372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57" t="s">
        <v>1</v>
      </c>
      <c r="T3" s="48" t="s">
        <v>3</v>
      </c>
      <c r="U3" s="51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8"/>
      <c r="T4" s="47"/>
      <c r="U4" s="52"/>
    </row>
    <row r="5" spans="1:21" ht="16">
      <c r="A5" s="55" t="s">
        <v>78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68</v>
      </c>
      <c r="B6" s="7" t="s">
        <v>79</v>
      </c>
      <c r="C6" s="7" t="s">
        <v>80</v>
      </c>
      <c r="D6" s="7" t="s">
        <v>81</v>
      </c>
      <c r="E6" s="7" t="s">
        <v>393</v>
      </c>
      <c r="F6" s="7" t="s">
        <v>356</v>
      </c>
      <c r="G6" s="20" t="s">
        <v>82</v>
      </c>
      <c r="H6" s="20" t="s">
        <v>83</v>
      </c>
      <c r="I6" s="21" t="s">
        <v>84</v>
      </c>
      <c r="J6" s="8"/>
      <c r="K6" s="20" t="s">
        <v>85</v>
      </c>
      <c r="L6" s="20" t="s">
        <v>86</v>
      </c>
      <c r="M6" s="21" t="s">
        <v>82</v>
      </c>
      <c r="N6" s="8"/>
      <c r="O6" s="21" t="s">
        <v>87</v>
      </c>
      <c r="P6" s="20" t="s">
        <v>87</v>
      </c>
      <c r="Q6" s="21" t="s">
        <v>88</v>
      </c>
      <c r="R6" s="8"/>
      <c r="S6" s="31" t="str">
        <f>"270,0"</f>
        <v>270,0</v>
      </c>
      <c r="T6" s="8" t="str">
        <f>"221,4000"</f>
        <v>221,4000</v>
      </c>
      <c r="U6" s="7" t="s">
        <v>89</v>
      </c>
    </row>
    <row r="7" spans="1:21">
      <c r="B7" s="5" t="s">
        <v>69</v>
      </c>
    </row>
    <row r="8" spans="1:21" ht="16">
      <c r="A8" s="53" t="s">
        <v>90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8" t="s">
        <v>118</v>
      </c>
      <c r="B9" s="7" t="s">
        <v>91</v>
      </c>
      <c r="C9" s="7" t="s">
        <v>92</v>
      </c>
      <c r="D9" s="7" t="s">
        <v>93</v>
      </c>
      <c r="E9" s="7" t="s">
        <v>389</v>
      </c>
      <c r="F9" s="7" t="s">
        <v>94</v>
      </c>
      <c r="G9" s="21" t="s">
        <v>46</v>
      </c>
      <c r="H9" s="21" t="s">
        <v>74</v>
      </c>
      <c r="I9" s="21" t="s">
        <v>74</v>
      </c>
      <c r="J9" s="8"/>
      <c r="K9" s="8"/>
      <c r="L9" s="8"/>
      <c r="M9" s="8"/>
      <c r="N9" s="8"/>
      <c r="O9" s="8"/>
      <c r="P9" s="21"/>
      <c r="Q9" s="21"/>
      <c r="R9" s="8"/>
      <c r="S9" s="31">
        <v>0</v>
      </c>
      <c r="T9" s="8" t="str">
        <f>"0,0000"</f>
        <v>0,0000</v>
      </c>
      <c r="U9" s="7"/>
    </row>
    <row r="10" spans="1:21">
      <c r="B10" s="5" t="s">
        <v>69</v>
      </c>
    </row>
    <row r="11" spans="1:21" ht="16">
      <c r="A11" s="53" t="s">
        <v>10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>
      <c r="A12" s="10" t="s">
        <v>68</v>
      </c>
      <c r="B12" s="9" t="s">
        <v>96</v>
      </c>
      <c r="C12" s="9" t="s">
        <v>97</v>
      </c>
      <c r="D12" s="9" t="s">
        <v>98</v>
      </c>
      <c r="E12" s="9" t="s">
        <v>389</v>
      </c>
      <c r="F12" s="9" t="s">
        <v>99</v>
      </c>
      <c r="G12" s="22" t="s">
        <v>100</v>
      </c>
      <c r="H12" s="22" t="s">
        <v>101</v>
      </c>
      <c r="I12" s="22" t="s">
        <v>102</v>
      </c>
      <c r="J12" s="10"/>
      <c r="K12" s="22" t="s">
        <v>46</v>
      </c>
      <c r="L12" s="22" t="s">
        <v>20</v>
      </c>
      <c r="M12" s="23" t="s">
        <v>74</v>
      </c>
      <c r="N12" s="10"/>
      <c r="O12" s="22" t="s">
        <v>53</v>
      </c>
      <c r="P12" s="22" t="s">
        <v>103</v>
      </c>
      <c r="Q12" s="23" t="s">
        <v>43</v>
      </c>
      <c r="R12" s="10"/>
      <c r="S12" s="33" t="str">
        <f>"707,5"</f>
        <v>707,5</v>
      </c>
      <c r="T12" s="10" t="str">
        <f>"475,7230"</f>
        <v>475,7230</v>
      </c>
      <c r="U12" s="9" t="s">
        <v>104</v>
      </c>
    </row>
    <row r="13" spans="1:21">
      <c r="A13" s="14" t="s">
        <v>118</v>
      </c>
      <c r="B13" s="13" t="s">
        <v>105</v>
      </c>
      <c r="C13" s="13" t="s">
        <v>106</v>
      </c>
      <c r="D13" s="13" t="s">
        <v>98</v>
      </c>
      <c r="E13" s="13" t="s">
        <v>391</v>
      </c>
      <c r="F13" s="13" t="s">
        <v>107</v>
      </c>
      <c r="G13" s="26" t="s">
        <v>87</v>
      </c>
      <c r="H13" s="26" t="s">
        <v>108</v>
      </c>
      <c r="I13" s="26" t="s">
        <v>109</v>
      </c>
      <c r="J13" s="14"/>
      <c r="K13" s="26" t="s">
        <v>19</v>
      </c>
      <c r="L13" s="27" t="s">
        <v>87</v>
      </c>
      <c r="M13" s="26" t="s">
        <v>88</v>
      </c>
      <c r="N13" s="14"/>
      <c r="O13" s="27" t="s">
        <v>32</v>
      </c>
      <c r="P13" s="27" t="s">
        <v>32</v>
      </c>
      <c r="Q13" s="27" t="s">
        <v>32</v>
      </c>
      <c r="R13" s="14"/>
      <c r="S13" s="34">
        <v>0</v>
      </c>
      <c r="T13" s="14" t="str">
        <f>"0,0000"</f>
        <v>0,0000</v>
      </c>
      <c r="U13" s="13"/>
    </row>
    <row r="14" spans="1:21">
      <c r="B14" s="5" t="s">
        <v>69</v>
      </c>
    </row>
    <row r="15" spans="1:21" ht="16">
      <c r="A15" s="53" t="s">
        <v>110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21">
      <c r="A16" s="8" t="s">
        <v>68</v>
      </c>
      <c r="B16" s="7" t="s">
        <v>111</v>
      </c>
      <c r="C16" s="7" t="s">
        <v>112</v>
      </c>
      <c r="D16" s="7" t="s">
        <v>113</v>
      </c>
      <c r="E16" s="7" t="s">
        <v>389</v>
      </c>
      <c r="F16" s="7" t="s">
        <v>114</v>
      </c>
      <c r="G16" s="20" t="s">
        <v>15</v>
      </c>
      <c r="H16" s="20" t="s">
        <v>16</v>
      </c>
      <c r="I16" s="21" t="s">
        <v>115</v>
      </c>
      <c r="J16" s="8"/>
      <c r="K16" s="20" t="s">
        <v>32</v>
      </c>
      <c r="L16" s="20" t="s">
        <v>45</v>
      </c>
      <c r="M16" s="20" t="s">
        <v>54</v>
      </c>
      <c r="N16" s="8"/>
      <c r="O16" s="20" t="s">
        <v>76</v>
      </c>
      <c r="P16" s="20" t="s">
        <v>34</v>
      </c>
      <c r="Q16" s="8"/>
      <c r="R16" s="8"/>
      <c r="S16" s="31" t="str">
        <f>"627,5"</f>
        <v>627,5</v>
      </c>
      <c r="T16" s="8" t="str">
        <f>"400,5960"</f>
        <v>400,5960</v>
      </c>
      <c r="U16" s="7" t="s">
        <v>55</v>
      </c>
    </row>
    <row r="17" spans="1:21">
      <c r="B17" s="5" t="s">
        <v>69</v>
      </c>
    </row>
    <row r="18" spans="1:21" ht="16">
      <c r="A18" s="53" t="s">
        <v>49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21">
      <c r="A19" s="10" t="s">
        <v>68</v>
      </c>
      <c r="B19" s="9" t="s">
        <v>56</v>
      </c>
      <c r="C19" s="9" t="s">
        <v>57</v>
      </c>
      <c r="D19" s="9" t="s">
        <v>58</v>
      </c>
      <c r="E19" s="9" t="s">
        <v>389</v>
      </c>
      <c r="F19" s="9" t="s">
        <v>379</v>
      </c>
      <c r="G19" s="22" t="s">
        <v>15</v>
      </c>
      <c r="H19" s="22" t="s">
        <v>59</v>
      </c>
      <c r="I19" s="10"/>
      <c r="J19" s="10"/>
      <c r="K19" s="22" t="s">
        <v>31</v>
      </c>
      <c r="L19" s="22" t="s">
        <v>32</v>
      </c>
      <c r="M19" s="10"/>
      <c r="N19" s="10"/>
      <c r="O19" s="22" t="s">
        <v>16</v>
      </c>
      <c r="P19" s="23" t="s">
        <v>59</v>
      </c>
      <c r="Q19" s="22" t="s">
        <v>59</v>
      </c>
      <c r="R19" s="10"/>
      <c r="S19" s="33" t="str">
        <f>"600,0"</f>
        <v>600,0</v>
      </c>
      <c r="T19" s="10" t="str">
        <f>"358,5600"</f>
        <v>358,5600</v>
      </c>
      <c r="U19" s="9"/>
    </row>
    <row r="20" spans="1:21">
      <c r="A20" s="14" t="s">
        <v>68</v>
      </c>
      <c r="B20" s="13" t="s">
        <v>56</v>
      </c>
      <c r="C20" s="13" t="s">
        <v>60</v>
      </c>
      <c r="D20" s="13" t="s">
        <v>58</v>
      </c>
      <c r="E20" s="13" t="s">
        <v>391</v>
      </c>
      <c r="F20" s="13" t="s">
        <v>379</v>
      </c>
      <c r="G20" s="26" t="s">
        <v>15</v>
      </c>
      <c r="H20" s="26" t="s">
        <v>59</v>
      </c>
      <c r="I20" s="14"/>
      <c r="J20" s="14"/>
      <c r="K20" s="26" t="s">
        <v>31</v>
      </c>
      <c r="L20" s="26" t="s">
        <v>32</v>
      </c>
      <c r="M20" s="14"/>
      <c r="N20" s="14"/>
      <c r="O20" s="26" t="s">
        <v>16</v>
      </c>
      <c r="P20" s="27" t="s">
        <v>59</v>
      </c>
      <c r="Q20" s="26" t="s">
        <v>59</v>
      </c>
      <c r="R20" s="14"/>
      <c r="S20" s="34" t="str">
        <f>"600,0"</f>
        <v>600,0</v>
      </c>
      <c r="T20" s="14" t="str">
        <f>"386,5277"</f>
        <v>386,5277</v>
      </c>
      <c r="U20" s="13"/>
    </row>
    <row r="21" spans="1:21">
      <c r="B21" s="5" t="s">
        <v>69</v>
      </c>
    </row>
  </sheetData>
  <mergeCells count="18">
    <mergeCell ref="A8:R8"/>
    <mergeCell ref="A11:R11"/>
    <mergeCell ref="A15:R15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9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6.1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19.33203125" style="5" customWidth="1"/>
    <col min="22" max="16384" width="9.1640625" style="3"/>
  </cols>
  <sheetData>
    <row r="1" spans="1:21" s="2" customFormat="1" ht="29" customHeight="1">
      <c r="A1" s="36" t="s">
        <v>373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48" t="s">
        <v>1</v>
      </c>
      <c r="T3" s="48" t="s">
        <v>3</v>
      </c>
      <c r="U3" s="51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52"/>
    </row>
    <row r="5" spans="1:21" ht="16">
      <c r="A5" s="55" t="s">
        <v>49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10" t="s">
        <v>68</v>
      </c>
      <c r="B6" s="9" t="s">
        <v>71</v>
      </c>
      <c r="C6" s="9" t="s">
        <v>72</v>
      </c>
      <c r="D6" s="9" t="s">
        <v>73</v>
      </c>
      <c r="E6" s="9" t="s">
        <v>389</v>
      </c>
      <c r="F6" s="9" t="s">
        <v>357</v>
      </c>
      <c r="G6" s="22" t="s">
        <v>74</v>
      </c>
      <c r="H6" s="22" t="s">
        <v>16</v>
      </c>
      <c r="I6" s="22" t="s">
        <v>75</v>
      </c>
      <c r="J6" s="10"/>
      <c r="K6" s="23" t="s">
        <v>32</v>
      </c>
      <c r="L6" s="23" t="s">
        <v>32</v>
      </c>
      <c r="M6" s="22" t="s">
        <v>32</v>
      </c>
      <c r="N6" s="10"/>
      <c r="O6" s="22" t="s">
        <v>16</v>
      </c>
      <c r="P6" s="22" t="s">
        <v>75</v>
      </c>
      <c r="Q6" s="22" t="s">
        <v>76</v>
      </c>
      <c r="R6" s="10"/>
      <c r="S6" s="10" t="str">
        <f>"630,0"</f>
        <v>630,0</v>
      </c>
      <c r="T6" s="10" t="str">
        <f>"377,2440"</f>
        <v>377,2440</v>
      </c>
      <c r="U6" s="9" t="s">
        <v>77</v>
      </c>
    </row>
    <row r="7" spans="1:21">
      <c r="A7" s="12" t="s">
        <v>70</v>
      </c>
      <c r="B7" s="11" t="s">
        <v>56</v>
      </c>
      <c r="C7" s="11" t="s">
        <v>57</v>
      </c>
      <c r="D7" s="11" t="s">
        <v>58</v>
      </c>
      <c r="E7" s="11" t="s">
        <v>389</v>
      </c>
      <c r="F7" s="11" t="s">
        <v>379</v>
      </c>
      <c r="G7" s="24" t="s">
        <v>15</v>
      </c>
      <c r="H7" s="24" t="s">
        <v>59</v>
      </c>
      <c r="I7" s="12"/>
      <c r="J7" s="12"/>
      <c r="K7" s="24" t="s">
        <v>31</v>
      </c>
      <c r="L7" s="24" t="s">
        <v>32</v>
      </c>
      <c r="M7" s="12"/>
      <c r="N7" s="12"/>
      <c r="O7" s="24" t="s">
        <v>16</v>
      </c>
      <c r="P7" s="25" t="s">
        <v>59</v>
      </c>
      <c r="Q7" s="24" t="s">
        <v>59</v>
      </c>
      <c r="R7" s="12"/>
      <c r="S7" s="12" t="str">
        <f>"600,0"</f>
        <v>600,0</v>
      </c>
      <c r="T7" s="12" t="str">
        <f>"358,5600"</f>
        <v>358,5600</v>
      </c>
      <c r="U7" s="11"/>
    </row>
    <row r="8" spans="1:21">
      <c r="A8" s="14" t="s">
        <v>68</v>
      </c>
      <c r="B8" s="13" t="s">
        <v>56</v>
      </c>
      <c r="C8" s="13" t="s">
        <v>60</v>
      </c>
      <c r="D8" s="13" t="s">
        <v>58</v>
      </c>
      <c r="E8" s="13" t="s">
        <v>391</v>
      </c>
      <c r="F8" s="13" t="s">
        <v>379</v>
      </c>
      <c r="G8" s="26" t="s">
        <v>15</v>
      </c>
      <c r="H8" s="26" t="s">
        <v>59</v>
      </c>
      <c r="I8" s="14"/>
      <c r="J8" s="14"/>
      <c r="K8" s="26" t="s">
        <v>31</v>
      </c>
      <c r="L8" s="26" t="s">
        <v>32</v>
      </c>
      <c r="M8" s="14"/>
      <c r="N8" s="14"/>
      <c r="O8" s="26" t="s">
        <v>16</v>
      </c>
      <c r="P8" s="27" t="s">
        <v>59</v>
      </c>
      <c r="Q8" s="26" t="s">
        <v>59</v>
      </c>
      <c r="R8" s="14"/>
      <c r="S8" s="14" t="str">
        <f>"600,0"</f>
        <v>600,0</v>
      </c>
      <c r="T8" s="14" t="str">
        <f>"386,5277"</f>
        <v>386,5277</v>
      </c>
      <c r="U8" s="13"/>
    </row>
    <row r="9" spans="1:21">
      <c r="B9" s="5" t="s">
        <v>69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5">
    <pageSetUpPr fitToPage="1"/>
  </sheetPr>
  <dimension ref="A1:U18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3.66406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7" width="5.33203125" style="6" customWidth="1"/>
    <col min="18" max="18" width="4.6640625" style="6" customWidth="1"/>
    <col min="19" max="19" width="7.6640625" style="6" bestFit="1" customWidth="1"/>
    <col min="20" max="20" width="8.33203125" style="6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36" t="s">
        <v>374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7</v>
      </c>
      <c r="H3" s="48"/>
      <c r="I3" s="48"/>
      <c r="J3" s="48"/>
      <c r="K3" s="48" t="s">
        <v>8</v>
      </c>
      <c r="L3" s="48"/>
      <c r="M3" s="48"/>
      <c r="N3" s="48"/>
      <c r="O3" s="48" t="s">
        <v>9</v>
      </c>
      <c r="P3" s="48"/>
      <c r="Q3" s="48"/>
      <c r="R3" s="48"/>
      <c r="S3" s="48" t="s">
        <v>1</v>
      </c>
      <c r="T3" s="48" t="s">
        <v>3</v>
      </c>
      <c r="U3" s="51" t="s">
        <v>2</v>
      </c>
    </row>
    <row r="4" spans="1:21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52"/>
    </row>
    <row r="5" spans="1:21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68</v>
      </c>
      <c r="B6" s="7" t="s">
        <v>11</v>
      </c>
      <c r="C6" s="7" t="s">
        <v>12</v>
      </c>
      <c r="D6" s="7" t="s">
        <v>13</v>
      </c>
      <c r="E6" s="7" t="s">
        <v>389</v>
      </c>
      <c r="F6" s="7" t="s">
        <v>384</v>
      </c>
      <c r="G6" s="20" t="s">
        <v>14</v>
      </c>
      <c r="H6" s="20" t="s">
        <v>15</v>
      </c>
      <c r="I6" s="20" t="s">
        <v>16</v>
      </c>
      <c r="J6" s="8"/>
      <c r="K6" s="20" t="s">
        <v>17</v>
      </c>
      <c r="L6" s="20" t="s">
        <v>18</v>
      </c>
      <c r="M6" s="21" t="s">
        <v>19</v>
      </c>
      <c r="N6" s="8"/>
      <c r="O6" s="20" t="s">
        <v>20</v>
      </c>
      <c r="P6" s="20" t="s">
        <v>21</v>
      </c>
      <c r="Q6" s="20" t="s">
        <v>22</v>
      </c>
      <c r="R6" s="8"/>
      <c r="S6" s="8" t="str">
        <f>"507,5"</f>
        <v>507,5</v>
      </c>
      <c r="T6" s="8" t="str">
        <f>"464,3625"</f>
        <v>464,3625</v>
      </c>
      <c r="U6" s="7" t="s">
        <v>23</v>
      </c>
    </row>
    <row r="7" spans="1:21">
      <c r="B7" s="5" t="s">
        <v>69</v>
      </c>
    </row>
    <row r="8" spans="1:21" ht="16">
      <c r="A8" s="53" t="s">
        <v>10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8" t="s">
        <v>68</v>
      </c>
      <c r="B9" s="7" t="s">
        <v>24</v>
      </c>
      <c r="C9" s="7" t="s">
        <v>25</v>
      </c>
      <c r="D9" s="7" t="s">
        <v>26</v>
      </c>
      <c r="E9" s="7" t="s">
        <v>389</v>
      </c>
      <c r="F9" s="7" t="s">
        <v>27</v>
      </c>
      <c r="G9" s="20" t="s">
        <v>28</v>
      </c>
      <c r="H9" s="20" t="s">
        <v>29</v>
      </c>
      <c r="I9" s="21" t="s">
        <v>30</v>
      </c>
      <c r="J9" s="8"/>
      <c r="K9" s="20" t="s">
        <v>31</v>
      </c>
      <c r="L9" s="21" t="s">
        <v>32</v>
      </c>
      <c r="M9" s="20" t="s">
        <v>33</v>
      </c>
      <c r="N9" s="8"/>
      <c r="O9" s="20" t="s">
        <v>34</v>
      </c>
      <c r="P9" s="20" t="s">
        <v>35</v>
      </c>
      <c r="Q9" s="20" t="s">
        <v>36</v>
      </c>
      <c r="R9" s="8"/>
      <c r="S9" s="8" t="str">
        <f>"700,0"</f>
        <v>700,0</v>
      </c>
      <c r="T9" s="8" t="str">
        <f>"469,2800"</f>
        <v>469,2800</v>
      </c>
      <c r="U9" s="7" t="s">
        <v>37</v>
      </c>
    </row>
    <row r="10" spans="1:21">
      <c r="B10" s="5" t="s">
        <v>69</v>
      </c>
    </row>
    <row r="11" spans="1:21" ht="16">
      <c r="A11" s="53" t="s">
        <v>38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>
      <c r="A12" s="8" t="s">
        <v>68</v>
      </c>
      <c r="B12" s="7" t="s">
        <v>39</v>
      </c>
      <c r="C12" s="7" t="s">
        <v>40</v>
      </c>
      <c r="D12" s="7" t="s">
        <v>41</v>
      </c>
      <c r="E12" s="7" t="s">
        <v>389</v>
      </c>
      <c r="F12" s="7" t="s">
        <v>42</v>
      </c>
      <c r="G12" s="20" t="s">
        <v>43</v>
      </c>
      <c r="H12" s="21" t="s">
        <v>44</v>
      </c>
      <c r="I12" s="21" t="s">
        <v>44</v>
      </c>
      <c r="J12" s="8"/>
      <c r="K12" s="20" t="s">
        <v>32</v>
      </c>
      <c r="L12" s="20" t="s">
        <v>45</v>
      </c>
      <c r="M12" s="20" t="s">
        <v>46</v>
      </c>
      <c r="N12" s="8"/>
      <c r="O12" s="21" t="s">
        <v>47</v>
      </c>
      <c r="P12" s="20" t="s">
        <v>47</v>
      </c>
      <c r="Q12" s="21" t="s">
        <v>48</v>
      </c>
      <c r="R12" s="8"/>
      <c r="S12" s="8" t="str">
        <f>"760,0"</f>
        <v>760,0</v>
      </c>
      <c r="T12" s="8" t="str">
        <f>"462,5360"</f>
        <v>462,5360</v>
      </c>
      <c r="U12" s="7"/>
    </row>
    <row r="13" spans="1:21">
      <c r="B13" s="5" t="s">
        <v>69</v>
      </c>
    </row>
    <row r="14" spans="1:21" ht="16">
      <c r="A14" s="53" t="s">
        <v>49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21">
      <c r="A15" s="10" t="s">
        <v>68</v>
      </c>
      <c r="B15" s="9" t="s">
        <v>50</v>
      </c>
      <c r="C15" s="9" t="s">
        <v>51</v>
      </c>
      <c r="D15" s="9" t="s">
        <v>52</v>
      </c>
      <c r="E15" s="9" t="s">
        <v>389</v>
      </c>
      <c r="F15" s="9" t="s">
        <v>379</v>
      </c>
      <c r="G15" s="22" t="s">
        <v>35</v>
      </c>
      <c r="H15" s="23" t="s">
        <v>53</v>
      </c>
      <c r="I15" s="22" t="s">
        <v>53</v>
      </c>
      <c r="J15" s="10"/>
      <c r="K15" s="22" t="s">
        <v>32</v>
      </c>
      <c r="L15" s="23" t="s">
        <v>54</v>
      </c>
      <c r="M15" s="22" t="s">
        <v>46</v>
      </c>
      <c r="N15" s="10"/>
      <c r="O15" s="22" t="s">
        <v>35</v>
      </c>
      <c r="P15" s="22" t="s">
        <v>36</v>
      </c>
      <c r="Q15" s="22" t="s">
        <v>30</v>
      </c>
      <c r="R15" s="10"/>
      <c r="S15" s="10" t="str">
        <f>"725,0"</f>
        <v>725,0</v>
      </c>
      <c r="T15" s="10" t="str">
        <f>"428,4750"</f>
        <v>428,4750</v>
      </c>
      <c r="U15" s="9" t="s">
        <v>55</v>
      </c>
    </row>
    <row r="16" spans="1:21">
      <c r="A16" s="12" t="s">
        <v>70</v>
      </c>
      <c r="B16" s="11" t="s">
        <v>56</v>
      </c>
      <c r="C16" s="11" t="s">
        <v>57</v>
      </c>
      <c r="D16" s="11" t="s">
        <v>58</v>
      </c>
      <c r="E16" s="11" t="s">
        <v>389</v>
      </c>
      <c r="F16" s="11" t="s">
        <v>379</v>
      </c>
      <c r="G16" s="24" t="s">
        <v>15</v>
      </c>
      <c r="H16" s="24" t="s">
        <v>59</v>
      </c>
      <c r="I16" s="12"/>
      <c r="J16" s="12"/>
      <c r="K16" s="24" t="s">
        <v>31</v>
      </c>
      <c r="L16" s="24" t="s">
        <v>32</v>
      </c>
      <c r="M16" s="12"/>
      <c r="N16" s="12"/>
      <c r="O16" s="24" t="s">
        <v>16</v>
      </c>
      <c r="P16" s="25" t="s">
        <v>59</v>
      </c>
      <c r="Q16" s="24" t="s">
        <v>59</v>
      </c>
      <c r="R16" s="12"/>
      <c r="S16" s="12" t="str">
        <f>"600,0"</f>
        <v>600,0</v>
      </c>
      <c r="T16" s="12" t="str">
        <f>"358,5600"</f>
        <v>358,5600</v>
      </c>
      <c r="U16" s="11"/>
    </row>
    <row r="17" spans="1:21">
      <c r="A17" s="14" t="s">
        <v>68</v>
      </c>
      <c r="B17" s="13" t="s">
        <v>56</v>
      </c>
      <c r="C17" s="13" t="s">
        <v>60</v>
      </c>
      <c r="D17" s="13" t="s">
        <v>58</v>
      </c>
      <c r="E17" s="13" t="s">
        <v>391</v>
      </c>
      <c r="F17" s="13" t="s">
        <v>379</v>
      </c>
      <c r="G17" s="26" t="s">
        <v>15</v>
      </c>
      <c r="H17" s="26" t="s">
        <v>59</v>
      </c>
      <c r="I17" s="14"/>
      <c r="J17" s="14"/>
      <c r="K17" s="26" t="s">
        <v>31</v>
      </c>
      <c r="L17" s="26" t="s">
        <v>32</v>
      </c>
      <c r="M17" s="14"/>
      <c r="N17" s="14"/>
      <c r="O17" s="26" t="s">
        <v>16</v>
      </c>
      <c r="P17" s="27" t="s">
        <v>59</v>
      </c>
      <c r="Q17" s="26" t="s">
        <v>59</v>
      </c>
      <c r="R17" s="14"/>
      <c r="S17" s="14" t="str">
        <f>"600,0"</f>
        <v>600,0</v>
      </c>
      <c r="T17" s="14" t="str">
        <f>"386,5277"</f>
        <v>386,5277</v>
      </c>
      <c r="U17" s="13"/>
    </row>
    <row r="18" spans="1:21">
      <c r="B18" s="5" t="s">
        <v>69</v>
      </c>
    </row>
  </sheetData>
  <mergeCells count="17">
    <mergeCell ref="A5:R5"/>
    <mergeCell ref="A8:R8"/>
    <mergeCell ref="A11:R11"/>
    <mergeCell ref="A14:R14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8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15.1640625" style="5" bestFit="1" customWidth="1"/>
    <col min="5" max="5" width="10.1640625" style="5" bestFit="1" customWidth="1"/>
    <col min="6" max="6" width="38.3320312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5" width="7.6640625" style="6" bestFit="1" customWidth="1"/>
    <col min="16" max="16" width="8.33203125" style="6" bestFit="1" customWidth="1"/>
    <col min="17" max="17" width="23.5" style="5" customWidth="1"/>
    <col min="18" max="16384" width="9.1640625" style="3"/>
  </cols>
  <sheetData>
    <row r="1" spans="1:17" s="2" customFormat="1" ht="29" customHeight="1">
      <c r="A1" s="36" t="s">
        <v>360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48" t="s">
        <v>9</v>
      </c>
      <c r="L3" s="48"/>
      <c r="M3" s="48"/>
      <c r="N3" s="48"/>
      <c r="O3" s="48" t="s">
        <v>1</v>
      </c>
      <c r="P3" s="48" t="s">
        <v>3</v>
      </c>
      <c r="Q3" s="51" t="s">
        <v>2</v>
      </c>
    </row>
    <row r="4" spans="1:17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52"/>
    </row>
    <row r="5" spans="1:17" ht="16">
      <c r="A5" s="55" t="s">
        <v>145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>
      <c r="A6" s="8" t="s">
        <v>68</v>
      </c>
      <c r="B6" s="7" t="s">
        <v>311</v>
      </c>
      <c r="C6" s="7" t="s">
        <v>312</v>
      </c>
      <c r="D6" s="7" t="s">
        <v>313</v>
      </c>
      <c r="E6" s="7" t="s">
        <v>390</v>
      </c>
      <c r="F6" s="7" t="s">
        <v>314</v>
      </c>
      <c r="G6" s="20" t="s">
        <v>125</v>
      </c>
      <c r="H6" s="20" t="s">
        <v>135</v>
      </c>
      <c r="I6" s="20" t="s">
        <v>136</v>
      </c>
      <c r="J6" s="8"/>
      <c r="K6" s="20" t="s">
        <v>84</v>
      </c>
      <c r="L6" s="20" t="s">
        <v>122</v>
      </c>
      <c r="M6" s="20" t="s">
        <v>88</v>
      </c>
      <c r="N6" s="8"/>
      <c r="O6" s="8" t="str">
        <f>"180,0"</f>
        <v>180,0</v>
      </c>
      <c r="P6" s="8" t="str">
        <f>"172,1700"</f>
        <v>172,1700</v>
      </c>
      <c r="Q6" s="7" t="s">
        <v>315</v>
      </c>
    </row>
    <row r="7" spans="1:17">
      <c r="B7" s="5" t="s">
        <v>69</v>
      </c>
    </row>
    <row r="8" spans="1:17" ht="16">
      <c r="A8" s="53" t="s">
        <v>78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10" t="s">
        <v>68</v>
      </c>
      <c r="B9" s="9" t="s">
        <v>316</v>
      </c>
      <c r="C9" s="9" t="s">
        <v>317</v>
      </c>
      <c r="D9" s="9" t="s">
        <v>318</v>
      </c>
      <c r="E9" s="9" t="s">
        <v>393</v>
      </c>
      <c r="F9" s="9" t="s">
        <v>314</v>
      </c>
      <c r="G9" s="22" t="s">
        <v>135</v>
      </c>
      <c r="H9" s="22" t="s">
        <v>136</v>
      </c>
      <c r="I9" s="22" t="s">
        <v>85</v>
      </c>
      <c r="J9" s="10"/>
      <c r="K9" s="22" t="s">
        <v>122</v>
      </c>
      <c r="L9" s="22" t="s">
        <v>87</v>
      </c>
      <c r="M9" s="22" t="s">
        <v>142</v>
      </c>
      <c r="N9" s="10"/>
      <c r="O9" s="10" t="str">
        <f>"195,0"</f>
        <v>195,0</v>
      </c>
      <c r="P9" s="10" t="str">
        <f>"156,4875"</f>
        <v>156,4875</v>
      </c>
      <c r="Q9" s="9" t="s">
        <v>315</v>
      </c>
    </row>
    <row r="10" spans="1:17">
      <c r="A10" s="14" t="s">
        <v>68</v>
      </c>
      <c r="B10" s="13" t="s">
        <v>229</v>
      </c>
      <c r="C10" s="13" t="s">
        <v>230</v>
      </c>
      <c r="D10" s="13" t="s">
        <v>231</v>
      </c>
      <c r="E10" s="13" t="s">
        <v>389</v>
      </c>
      <c r="F10" s="13" t="s">
        <v>375</v>
      </c>
      <c r="G10" s="26" t="s">
        <v>149</v>
      </c>
      <c r="H10" s="26" t="s">
        <v>19</v>
      </c>
      <c r="I10" s="26" t="s">
        <v>87</v>
      </c>
      <c r="J10" s="14"/>
      <c r="K10" s="26" t="s">
        <v>32</v>
      </c>
      <c r="L10" s="26" t="s">
        <v>74</v>
      </c>
      <c r="M10" s="27" t="s">
        <v>22</v>
      </c>
      <c r="N10" s="14"/>
      <c r="O10" s="14" t="str">
        <f>"290,0"</f>
        <v>290,0</v>
      </c>
      <c r="P10" s="14" t="str">
        <f>"223,5900"</f>
        <v>223,5900</v>
      </c>
      <c r="Q10" s="13" t="s">
        <v>232</v>
      </c>
    </row>
    <row r="11" spans="1:17">
      <c r="B11" s="5" t="s">
        <v>69</v>
      </c>
    </row>
    <row r="12" spans="1:17" ht="16">
      <c r="A12" s="53" t="s">
        <v>90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7">
      <c r="A13" s="8" t="s">
        <v>68</v>
      </c>
      <c r="B13" s="7" t="s">
        <v>319</v>
      </c>
      <c r="C13" s="7" t="s">
        <v>320</v>
      </c>
      <c r="D13" s="7" t="s">
        <v>292</v>
      </c>
      <c r="E13" s="7" t="s">
        <v>389</v>
      </c>
      <c r="F13" s="7" t="s">
        <v>358</v>
      </c>
      <c r="G13" s="20" t="s">
        <v>109</v>
      </c>
      <c r="H13" s="21" t="s">
        <v>321</v>
      </c>
      <c r="I13" s="20" t="s">
        <v>321</v>
      </c>
      <c r="J13" s="8"/>
      <c r="K13" s="20" t="s">
        <v>14</v>
      </c>
      <c r="L13" s="20" t="s">
        <v>322</v>
      </c>
      <c r="M13" s="21" t="s">
        <v>323</v>
      </c>
      <c r="N13" s="8"/>
      <c r="O13" s="8" t="str">
        <f>"332,5"</f>
        <v>332,5</v>
      </c>
      <c r="P13" s="8" t="str">
        <f>"236,9395"</f>
        <v>236,9395</v>
      </c>
      <c r="Q13" s="7" t="s">
        <v>324</v>
      </c>
    </row>
    <row r="14" spans="1:17">
      <c r="B14" s="5" t="s">
        <v>69</v>
      </c>
    </row>
    <row r="15" spans="1:17" ht="16">
      <c r="A15" s="53" t="s">
        <v>10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7">
      <c r="A16" s="8" t="s">
        <v>68</v>
      </c>
      <c r="B16" s="7" t="s">
        <v>325</v>
      </c>
      <c r="C16" s="7" t="s">
        <v>326</v>
      </c>
      <c r="D16" s="7" t="s">
        <v>327</v>
      </c>
      <c r="E16" s="7" t="s">
        <v>390</v>
      </c>
      <c r="F16" s="7" t="s">
        <v>314</v>
      </c>
      <c r="G16" s="20" t="s">
        <v>224</v>
      </c>
      <c r="H16" s="20" t="s">
        <v>125</v>
      </c>
      <c r="I16" s="8"/>
      <c r="J16" s="8"/>
      <c r="K16" s="20" t="s">
        <v>82</v>
      </c>
      <c r="L16" s="20" t="s">
        <v>84</v>
      </c>
      <c r="M16" s="20" t="s">
        <v>122</v>
      </c>
      <c r="N16" s="8"/>
      <c r="O16" s="8" t="str">
        <f>"150,0"</f>
        <v>150,0</v>
      </c>
      <c r="P16" s="8" t="str">
        <f>"101,3850"</f>
        <v>101,3850</v>
      </c>
      <c r="Q16" s="7" t="s">
        <v>315</v>
      </c>
    </row>
    <row r="17" spans="1:17">
      <c r="B17" s="5" t="s">
        <v>69</v>
      </c>
    </row>
    <row r="18" spans="1:17" ht="16">
      <c r="A18" s="53" t="s">
        <v>110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7">
      <c r="A19" s="8" t="s">
        <v>68</v>
      </c>
      <c r="B19" s="7" t="s">
        <v>249</v>
      </c>
      <c r="C19" s="7" t="s">
        <v>250</v>
      </c>
      <c r="D19" s="7" t="s">
        <v>251</v>
      </c>
      <c r="E19" s="7" t="s">
        <v>389</v>
      </c>
      <c r="F19" s="7" t="s">
        <v>376</v>
      </c>
      <c r="G19" s="20" t="s">
        <v>87</v>
      </c>
      <c r="H19" s="20" t="s">
        <v>108</v>
      </c>
      <c r="I19" s="20" t="s">
        <v>142</v>
      </c>
      <c r="J19" s="8"/>
      <c r="K19" s="20" t="s">
        <v>15</v>
      </c>
      <c r="L19" s="20" t="s">
        <v>59</v>
      </c>
      <c r="M19" s="21" t="s">
        <v>75</v>
      </c>
      <c r="N19" s="8"/>
      <c r="O19" s="8" t="str">
        <f>"345,0"</f>
        <v>345,0</v>
      </c>
      <c r="P19" s="8" t="str">
        <f>"223,5255"</f>
        <v>223,5255</v>
      </c>
      <c r="Q19" s="7" t="s">
        <v>210</v>
      </c>
    </row>
    <row r="20" spans="1:17">
      <c r="B20" s="5" t="s">
        <v>69</v>
      </c>
    </row>
    <row r="21" spans="1:17" ht="16">
      <c r="A21" s="53" t="s">
        <v>49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7">
      <c r="A22" s="10" t="s">
        <v>68</v>
      </c>
      <c r="B22" s="9" t="s">
        <v>56</v>
      </c>
      <c r="C22" s="9" t="s">
        <v>57</v>
      </c>
      <c r="D22" s="9" t="s">
        <v>58</v>
      </c>
      <c r="E22" s="9" t="s">
        <v>389</v>
      </c>
      <c r="F22" s="9" t="s">
        <v>379</v>
      </c>
      <c r="G22" s="22" t="s">
        <v>31</v>
      </c>
      <c r="H22" s="22" t="s">
        <v>32</v>
      </c>
      <c r="I22" s="10"/>
      <c r="J22" s="10"/>
      <c r="K22" s="22" t="s">
        <v>16</v>
      </c>
      <c r="L22" s="23" t="s">
        <v>59</v>
      </c>
      <c r="M22" s="22" t="s">
        <v>59</v>
      </c>
      <c r="N22" s="10"/>
      <c r="O22" s="10" t="str">
        <f>"380,0"</f>
        <v>380,0</v>
      </c>
      <c r="P22" s="10" t="str">
        <f>"227,0880"</f>
        <v>227,0880</v>
      </c>
      <c r="Q22" s="9"/>
    </row>
    <row r="23" spans="1:17">
      <c r="A23" s="14" t="s">
        <v>68</v>
      </c>
      <c r="B23" s="13" t="s">
        <v>56</v>
      </c>
      <c r="C23" s="13" t="s">
        <v>60</v>
      </c>
      <c r="D23" s="13" t="s">
        <v>58</v>
      </c>
      <c r="E23" s="13" t="s">
        <v>391</v>
      </c>
      <c r="F23" s="13" t="s">
        <v>379</v>
      </c>
      <c r="G23" s="26" t="s">
        <v>31</v>
      </c>
      <c r="H23" s="26" t="s">
        <v>32</v>
      </c>
      <c r="I23" s="14"/>
      <c r="J23" s="14"/>
      <c r="K23" s="26" t="s">
        <v>16</v>
      </c>
      <c r="L23" s="27" t="s">
        <v>59</v>
      </c>
      <c r="M23" s="26" t="s">
        <v>59</v>
      </c>
      <c r="N23" s="14"/>
      <c r="O23" s="14" t="str">
        <f>"380,0"</f>
        <v>380,0</v>
      </c>
      <c r="P23" s="14" t="str">
        <f>"244,8009"</f>
        <v>244,8009</v>
      </c>
      <c r="Q23" s="13"/>
    </row>
    <row r="24" spans="1:17">
      <c r="B24" s="5" t="s">
        <v>69</v>
      </c>
    </row>
    <row r="25" spans="1:17" ht="16">
      <c r="A25" s="53" t="s">
        <v>170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7">
      <c r="A26" s="10" t="s">
        <v>68</v>
      </c>
      <c r="B26" s="9" t="s">
        <v>171</v>
      </c>
      <c r="C26" s="9" t="s">
        <v>172</v>
      </c>
      <c r="D26" s="9" t="s">
        <v>173</v>
      </c>
      <c r="E26" s="9" t="s">
        <v>389</v>
      </c>
      <c r="F26" s="9" t="s">
        <v>94</v>
      </c>
      <c r="G26" s="22" t="s">
        <v>46</v>
      </c>
      <c r="H26" s="22" t="s">
        <v>74</v>
      </c>
      <c r="I26" s="22" t="s">
        <v>143</v>
      </c>
      <c r="J26" s="10"/>
      <c r="K26" s="22" t="s">
        <v>35</v>
      </c>
      <c r="L26" s="22" t="s">
        <v>53</v>
      </c>
      <c r="M26" s="22" t="s">
        <v>30</v>
      </c>
      <c r="N26" s="10"/>
      <c r="O26" s="10" t="str">
        <f>"465,0"</f>
        <v>465,0</v>
      </c>
      <c r="P26" s="10" t="str">
        <f>"266,2590"</f>
        <v>266,2590</v>
      </c>
      <c r="Q26" s="9" t="s">
        <v>55</v>
      </c>
    </row>
    <row r="27" spans="1:17">
      <c r="A27" s="14" t="s">
        <v>70</v>
      </c>
      <c r="B27" s="13" t="s">
        <v>269</v>
      </c>
      <c r="C27" s="13" t="s">
        <v>270</v>
      </c>
      <c r="D27" s="13" t="s">
        <v>271</v>
      </c>
      <c r="E27" s="13" t="s">
        <v>389</v>
      </c>
      <c r="F27" s="13" t="s">
        <v>94</v>
      </c>
      <c r="G27" s="26" t="s">
        <v>137</v>
      </c>
      <c r="H27" s="26" t="s">
        <v>31</v>
      </c>
      <c r="I27" s="26" t="s">
        <v>257</v>
      </c>
      <c r="J27" s="14"/>
      <c r="K27" s="26" t="s">
        <v>59</v>
      </c>
      <c r="L27" s="26" t="s">
        <v>75</v>
      </c>
      <c r="M27" s="26" t="s">
        <v>76</v>
      </c>
      <c r="N27" s="14"/>
      <c r="O27" s="14" t="str">
        <f>"395,0"</f>
        <v>395,0</v>
      </c>
      <c r="P27" s="14" t="str">
        <f>"227,0855"</f>
        <v>227,0855</v>
      </c>
      <c r="Q27" s="13" t="s">
        <v>55</v>
      </c>
    </row>
    <row r="28" spans="1:17">
      <c r="B28" s="5" t="s">
        <v>69</v>
      </c>
    </row>
  </sheetData>
  <mergeCells count="19">
    <mergeCell ref="A25:N25"/>
    <mergeCell ref="O3:O4"/>
    <mergeCell ref="P3:P4"/>
    <mergeCell ref="Q3:Q4"/>
    <mergeCell ref="A5:N5"/>
    <mergeCell ref="B3:B4"/>
    <mergeCell ref="A8:N8"/>
    <mergeCell ref="A12:N12"/>
    <mergeCell ref="A15:N15"/>
    <mergeCell ref="A18:N18"/>
    <mergeCell ref="A21:N21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2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0.5" style="5" bestFit="1" customWidth="1"/>
    <col min="7" max="9" width="5.33203125" style="6" customWidth="1"/>
    <col min="10" max="10" width="4.6640625" style="6" customWidth="1"/>
    <col min="11" max="13" width="5.33203125" style="6" customWidth="1"/>
    <col min="14" max="14" width="4.6640625" style="6" customWidth="1"/>
    <col min="15" max="15" width="7.6640625" style="6" bestFit="1" customWidth="1"/>
    <col min="16" max="16" width="8.33203125" style="6" bestFit="1" customWidth="1"/>
    <col min="17" max="17" width="19" style="5" customWidth="1"/>
    <col min="18" max="16384" width="9.1640625" style="3"/>
  </cols>
  <sheetData>
    <row r="1" spans="1:17" s="2" customFormat="1" ht="29" customHeight="1">
      <c r="A1" s="36" t="s">
        <v>361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48" t="s">
        <v>9</v>
      </c>
      <c r="L3" s="48"/>
      <c r="M3" s="48"/>
      <c r="N3" s="48"/>
      <c r="O3" s="48" t="s">
        <v>1</v>
      </c>
      <c r="P3" s="48" t="s">
        <v>3</v>
      </c>
      <c r="Q3" s="51" t="s">
        <v>2</v>
      </c>
    </row>
    <row r="4" spans="1:17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52"/>
    </row>
    <row r="5" spans="1:17" ht="16">
      <c r="A5" s="55" t="s">
        <v>90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>
      <c r="A6" s="8" t="s">
        <v>68</v>
      </c>
      <c r="B6" s="7" t="s">
        <v>91</v>
      </c>
      <c r="C6" s="7" t="s">
        <v>92</v>
      </c>
      <c r="D6" s="7" t="s">
        <v>93</v>
      </c>
      <c r="E6" s="7" t="s">
        <v>389</v>
      </c>
      <c r="F6" s="7" t="s">
        <v>94</v>
      </c>
      <c r="G6" s="20" t="s">
        <v>31</v>
      </c>
      <c r="H6" s="20" t="s">
        <v>32</v>
      </c>
      <c r="I6" s="20" t="s">
        <v>45</v>
      </c>
      <c r="J6" s="8"/>
      <c r="K6" s="20" t="s">
        <v>95</v>
      </c>
      <c r="L6" s="21" t="s">
        <v>75</v>
      </c>
      <c r="M6" s="21" t="s">
        <v>75</v>
      </c>
      <c r="N6" s="8"/>
      <c r="O6" s="8" t="str">
        <f>"380,0"</f>
        <v>380,0</v>
      </c>
      <c r="P6" s="8" t="str">
        <f>"273,8660"</f>
        <v>273,8660</v>
      </c>
      <c r="Q6" s="7"/>
    </row>
    <row r="7" spans="1:17">
      <c r="B7" s="5" t="s">
        <v>69</v>
      </c>
    </row>
    <row r="8" spans="1:17" ht="16">
      <c r="A8" s="53" t="s">
        <v>49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10" t="s">
        <v>68</v>
      </c>
      <c r="B9" s="9" t="s">
        <v>50</v>
      </c>
      <c r="C9" s="9" t="s">
        <v>51</v>
      </c>
      <c r="D9" s="9" t="s">
        <v>52</v>
      </c>
      <c r="E9" s="9" t="s">
        <v>389</v>
      </c>
      <c r="F9" s="9" t="s">
        <v>379</v>
      </c>
      <c r="G9" s="22" t="s">
        <v>32</v>
      </c>
      <c r="H9" s="23" t="s">
        <v>54</v>
      </c>
      <c r="I9" s="22" t="s">
        <v>46</v>
      </c>
      <c r="J9" s="10"/>
      <c r="K9" s="22" t="s">
        <v>35</v>
      </c>
      <c r="L9" s="22" t="s">
        <v>36</v>
      </c>
      <c r="M9" s="22" t="s">
        <v>30</v>
      </c>
      <c r="N9" s="10"/>
      <c r="O9" s="10" t="str">
        <f>"450,0"</f>
        <v>450,0</v>
      </c>
      <c r="P9" s="10" t="str">
        <f>"265,9500"</f>
        <v>265,9500</v>
      </c>
      <c r="Q9" s="9" t="s">
        <v>55</v>
      </c>
    </row>
    <row r="10" spans="1:17">
      <c r="A10" s="12" t="s">
        <v>70</v>
      </c>
      <c r="B10" s="11" t="s">
        <v>56</v>
      </c>
      <c r="C10" s="11" t="s">
        <v>57</v>
      </c>
      <c r="D10" s="11" t="s">
        <v>58</v>
      </c>
      <c r="E10" s="11" t="s">
        <v>389</v>
      </c>
      <c r="F10" s="11" t="s">
        <v>379</v>
      </c>
      <c r="G10" s="24" t="s">
        <v>31</v>
      </c>
      <c r="H10" s="24" t="s">
        <v>32</v>
      </c>
      <c r="I10" s="12"/>
      <c r="J10" s="12"/>
      <c r="K10" s="24" t="s">
        <v>16</v>
      </c>
      <c r="L10" s="25" t="s">
        <v>59</v>
      </c>
      <c r="M10" s="24" t="s">
        <v>59</v>
      </c>
      <c r="N10" s="12"/>
      <c r="O10" s="12" t="str">
        <f>"380,0"</f>
        <v>380,0</v>
      </c>
      <c r="P10" s="12" t="str">
        <f>"227,0880"</f>
        <v>227,0880</v>
      </c>
      <c r="Q10" s="11"/>
    </row>
    <row r="11" spans="1:17">
      <c r="A11" s="14" t="s">
        <v>68</v>
      </c>
      <c r="B11" s="13" t="s">
        <v>56</v>
      </c>
      <c r="C11" s="13" t="s">
        <v>60</v>
      </c>
      <c r="D11" s="13" t="s">
        <v>58</v>
      </c>
      <c r="E11" s="13" t="s">
        <v>391</v>
      </c>
      <c r="F11" s="13" t="s">
        <v>379</v>
      </c>
      <c r="G11" s="26" t="s">
        <v>31</v>
      </c>
      <c r="H11" s="26" t="s">
        <v>32</v>
      </c>
      <c r="I11" s="14"/>
      <c r="J11" s="14"/>
      <c r="K11" s="26" t="s">
        <v>16</v>
      </c>
      <c r="L11" s="27" t="s">
        <v>59</v>
      </c>
      <c r="M11" s="26" t="s">
        <v>59</v>
      </c>
      <c r="N11" s="14"/>
      <c r="O11" s="14" t="str">
        <f>"380,0"</f>
        <v>380,0</v>
      </c>
      <c r="P11" s="14" t="str">
        <f>"244,8009"</f>
        <v>244,8009</v>
      </c>
      <c r="Q11" s="13"/>
    </row>
    <row r="12" spans="1:17">
      <c r="B12" s="5" t="s">
        <v>69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9"/>
  <sheetViews>
    <sheetView topLeftCell="A9" workbookViewId="0">
      <selection activeCell="E40" sqref="E40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5.33203125" style="5" bestFit="1" customWidth="1"/>
    <col min="7" max="9" width="5.33203125" style="6" customWidth="1"/>
    <col min="10" max="10" width="4.6640625" style="6" customWidth="1"/>
    <col min="11" max="11" width="10.5" style="32" bestFit="1" customWidth="1"/>
    <col min="12" max="12" width="8.3320312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6" t="s">
        <v>368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57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58"/>
      <c r="L4" s="47"/>
      <c r="M4" s="52"/>
    </row>
    <row r="5" spans="1:13" ht="16">
      <c r="A5" s="55" t="s">
        <v>220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68</v>
      </c>
      <c r="B6" s="7" t="s">
        <v>221</v>
      </c>
      <c r="C6" s="7" t="s">
        <v>222</v>
      </c>
      <c r="D6" s="7" t="s">
        <v>223</v>
      </c>
      <c r="E6" s="7" t="s">
        <v>388</v>
      </c>
      <c r="F6" s="7" t="s">
        <v>114</v>
      </c>
      <c r="G6" s="20" t="s">
        <v>224</v>
      </c>
      <c r="H6" s="20" t="s">
        <v>154</v>
      </c>
      <c r="I6" s="21" t="s">
        <v>225</v>
      </c>
      <c r="J6" s="8"/>
      <c r="K6" s="31" t="str">
        <f>"45,0"</f>
        <v>45,0</v>
      </c>
      <c r="L6" s="8" t="str">
        <f>"60,2415"</f>
        <v>60,2415</v>
      </c>
      <c r="M6" s="7"/>
    </row>
    <row r="7" spans="1:13">
      <c r="B7" s="5" t="s">
        <v>69</v>
      </c>
    </row>
    <row r="8" spans="1:13" ht="16">
      <c r="A8" s="53" t="s">
        <v>145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8" t="s">
        <v>68</v>
      </c>
      <c r="B9" s="7" t="s">
        <v>226</v>
      </c>
      <c r="C9" s="7" t="s">
        <v>227</v>
      </c>
      <c r="D9" s="7" t="s">
        <v>148</v>
      </c>
      <c r="E9" s="7" t="s">
        <v>389</v>
      </c>
      <c r="F9" s="7" t="s">
        <v>94</v>
      </c>
      <c r="G9" s="20" t="s">
        <v>18</v>
      </c>
      <c r="H9" s="21" t="s">
        <v>228</v>
      </c>
      <c r="I9" s="21" t="s">
        <v>228</v>
      </c>
      <c r="J9" s="8"/>
      <c r="K9" s="31" t="str">
        <f>"102,5"</f>
        <v>102,5</v>
      </c>
      <c r="L9" s="8" t="str">
        <f>"93,3058"</f>
        <v>93,3058</v>
      </c>
      <c r="M9" s="7"/>
    </row>
    <row r="10" spans="1:13">
      <c r="B10" s="5" t="s">
        <v>69</v>
      </c>
    </row>
    <row r="11" spans="1:13" ht="16">
      <c r="A11" s="53" t="s">
        <v>78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8" t="s">
        <v>68</v>
      </c>
      <c r="B12" s="7" t="s">
        <v>229</v>
      </c>
      <c r="C12" s="7" t="s">
        <v>230</v>
      </c>
      <c r="D12" s="7" t="s">
        <v>231</v>
      </c>
      <c r="E12" s="7" t="s">
        <v>389</v>
      </c>
      <c r="F12" s="7" t="s">
        <v>375</v>
      </c>
      <c r="G12" s="20" t="s">
        <v>149</v>
      </c>
      <c r="H12" s="20" t="s">
        <v>19</v>
      </c>
      <c r="I12" s="20" t="s">
        <v>87</v>
      </c>
      <c r="J12" s="8"/>
      <c r="K12" s="31" t="str">
        <f>"110,0"</f>
        <v>110,0</v>
      </c>
      <c r="L12" s="8" t="str">
        <f>"84,8100"</f>
        <v>84,8100</v>
      </c>
      <c r="M12" s="7" t="s">
        <v>232</v>
      </c>
    </row>
    <row r="13" spans="1:13">
      <c r="B13" s="5" t="s">
        <v>69</v>
      </c>
    </row>
    <row r="14" spans="1:13" ht="16">
      <c r="A14" s="53" t="s">
        <v>90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8" t="s">
        <v>68</v>
      </c>
      <c r="B15" s="7" t="s">
        <v>233</v>
      </c>
      <c r="C15" s="7" t="s">
        <v>234</v>
      </c>
      <c r="D15" s="7" t="s">
        <v>235</v>
      </c>
      <c r="E15" s="7" t="s">
        <v>389</v>
      </c>
      <c r="F15" s="7" t="s">
        <v>153</v>
      </c>
      <c r="G15" s="21" t="s">
        <v>19</v>
      </c>
      <c r="H15" s="20" t="s">
        <v>19</v>
      </c>
      <c r="I15" s="20" t="s">
        <v>228</v>
      </c>
      <c r="J15" s="8"/>
      <c r="K15" s="31" t="str">
        <f>"107,5"</f>
        <v>107,5</v>
      </c>
      <c r="L15" s="8" t="str">
        <f>"77,1097"</f>
        <v>77,1097</v>
      </c>
      <c r="M15" s="7"/>
    </row>
    <row r="16" spans="1:13">
      <c r="B16" s="5" t="s">
        <v>69</v>
      </c>
    </row>
    <row r="17" spans="1:13" ht="16">
      <c r="A17" s="53" t="s">
        <v>10</v>
      </c>
      <c r="B17" s="53"/>
      <c r="C17" s="54"/>
      <c r="D17" s="54"/>
      <c r="E17" s="54"/>
      <c r="F17" s="54"/>
      <c r="G17" s="54"/>
      <c r="H17" s="54"/>
      <c r="I17" s="54"/>
      <c r="J17" s="54"/>
    </row>
    <row r="18" spans="1:13">
      <c r="A18" s="10" t="s">
        <v>118</v>
      </c>
      <c r="B18" s="9" t="s">
        <v>236</v>
      </c>
      <c r="C18" s="9" t="s">
        <v>237</v>
      </c>
      <c r="D18" s="9" t="s">
        <v>238</v>
      </c>
      <c r="E18" s="9" t="s">
        <v>389</v>
      </c>
      <c r="F18" s="9" t="s">
        <v>107</v>
      </c>
      <c r="G18" s="23" t="s">
        <v>54</v>
      </c>
      <c r="H18" s="23" t="s">
        <v>54</v>
      </c>
      <c r="I18" s="23" t="s">
        <v>54</v>
      </c>
      <c r="J18" s="10"/>
      <c r="K18" s="33">
        <v>0</v>
      </c>
      <c r="L18" s="28" t="str">
        <f>"0,0000"</f>
        <v>0,0000</v>
      </c>
      <c r="M18" s="9"/>
    </row>
    <row r="19" spans="1:13">
      <c r="A19" s="14" t="s">
        <v>118</v>
      </c>
      <c r="B19" s="13" t="s">
        <v>239</v>
      </c>
      <c r="C19" s="13" t="s">
        <v>240</v>
      </c>
      <c r="D19" s="13" t="s">
        <v>13</v>
      </c>
      <c r="E19" s="13" t="s">
        <v>389</v>
      </c>
      <c r="F19" s="13" t="s">
        <v>94</v>
      </c>
      <c r="G19" s="27" t="s">
        <v>129</v>
      </c>
      <c r="H19" s="27" t="s">
        <v>241</v>
      </c>
      <c r="I19" s="27" t="s">
        <v>241</v>
      </c>
      <c r="J19" s="14"/>
      <c r="K19" s="34">
        <v>0</v>
      </c>
      <c r="L19" s="29" t="str">
        <f>"0,0000"</f>
        <v>0,0000</v>
      </c>
      <c r="M19" s="13"/>
    </row>
    <row r="20" spans="1:13">
      <c r="B20" s="5" t="s">
        <v>69</v>
      </c>
    </row>
    <row r="21" spans="1:13" ht="16">
      <c r="A21" s="53" t="s">
        <v>110</v>
      </c>
      <c r="B21" s="53"/>
      <c r="C21" s="54"/>
      <c r="D21" s="54"/>
      <c r="E21" s="54"/>
      <c r="F21" s="54"/>
      <c r="G21" s="54"/>
      <c r="H21" s="54"/>
      <c r="I21" s="54"/>
      <c r="J21" s="54"/>
    </row>
    <row r="22" spans="1:13">
      <c r="A22" s="10" t="s">
        <v>68</v>
      </c>
      <c r="B22" s="9" t="s">
        <v>242</v>
      </c>
      <c r="C22" s="9" t="s">
        <v>243</v>
      </c>
      <c r="D22" s="9" t="s">
        <v>113</v>
      </c>
      <c r="E22" s="9" t="s">
        <v>389</v>
      </c>
      <c r="F22" s="9" t="s">
        <v>378</v>
      </c>
      <c r="G22" s="22" t="s">
        <v>241</v>
      </c>
      <c r="H22" s="22" t="s">
        <v>244</v>
      </c>
      <c r="I22" s="22" t="s">
        <v>245</v>
      </c>
      <c r="J22" s="10"/>
      <c r="K22" s="33" t="str">
        <f>"157,5"</f>
        <v>157,5</v>
      </c>
      <c r="L22" s="28" t="str">
        <f>"100,5480"</f>
        <v>100,5480</v>
      </c>
      <c r="M22" s="9" t="s">
        <v>246</v>
      </c>
    </row>
    <row r="23" spans="1:13">
      <c r="A23" s="12" t="s">
        <v>70</v>
      </c>
      <c r="B23" s="11" t="s">
        <v>247</v>
      </c>
      <c r="C23" s="11" t="s">
        <v>248</v>
      </c>
      <c r="D23" s="11" t="s">
        <v>113</v>
      </c>
      <c r="E23" s="11" t="s">
        <v>389</v>
      </c>
      <c r="F23" s="11" t="s">
        <v>358</v>
      </c>
      <c r="G23" s="24" t="s">
        <v>241</v>
      </c>
      <c r="H23" s="25" t="s">
        <v>244</v>
      </c>
      <c r="I23" s="25" t="s">
        <v>244</v>
      </c>
      <c r="J23" s="12"/>
      <c r="K23" s="35" t="str">
        <f>"145,0"</f>
        <v>145,0</v>
      </c>
      <c r="L23" s="30" t="str">
        <f>"92,5680"</f>
        <v>92,5680</v>
      </c>
      <c r="M23" s="11"/>
    </row>
    <row r="24" spans="1:13">
      <c r="A24" s="12" t="s">
        <v>275</v>
      </c>
      <c r="B24" s="11" t="s">
        <v>249</v>
      </c>
      <c r="C24" s="11" t="s">
        <v>250</v>
      </c>
      <c r="D24" s="11" t="s">
        <v>251</v>
      </c>
      <c r="E24" s="11" t="s">
        <v>389</v>
      </c>
      <c r="F24" s="11" t="s">
        <v>376</v>
      </c>
      <c r="G24" s="24" t="s">
        <v>87</v>
      </c>
      <c r="H24" s="24" t="s">
        <v>108</v>
      </c>
      <c r="I24" s="24" t="s">
        <v>142</v>
      </c>
      <c r="J24" s="12"/>
      <c r="K24" s="35" t="str">
        <f>"125,0"</f>
        <v>125,0</v>
      </c>
      <c r="L24" s="30" t="str">
        <f>"80,9875"</f>
        <v>80,9875</v>
      </c>
      <c r="M24" s="11" t="s">
        <v>210</v>
      </c>
    </row>
    <row r="25" spans="1:13">
      <c r="A25" s="14" t="s">
        <v>68</v>
      </c>
      <c r="B25" s="13" t="s">
        <v>252</v>
      </c>
      <c r="C25" s="13" t="s">
        <v>253</v>
      </c>
      <c r="D25" s="13" t="s">
        <v>254</v>
      </c>
      <c r="E25" s="13" t="s">
        <v>391</v>
      </c>
      <c r="F25" s="13" t="s">
        <v>153</v>
      </c>
      <c r="G25" s="26" t="s">
        <v>122</v>
      </c>
      <c r="H25" s="26" t="s">
        <v>88</v>
      </c>
      <c r="I25" s="26" t="s">
        <v>108</v>
      </c>
      <c r="J25" s="14"/>
      <c r="K25" s="34" t="str">
        <f>"120,0"</f>
        <v>120,0</v>
      </c>
      <c r="L25" s="29" t="str">
        <f>"88,6084"</f>
        <v>88,6084</v>
      </c>
      <c r="M25" s="13" t="s">
        <v>157</v>
      </c>
    </row>
    <row r="26" spans="1:13">
      <c r="B26" s="5" t="s">
        <v>69</v>
      </c>
    </row>
    <row r="27" spans="1:13" ht="16">
      <c r="A27" s="53" t="s">
        <v>38</v>
      </c>
      <c r="B27" s="53"/>
      <c r="C27" s="54"/>
      <c r="D27" s="54"/>
      <c r="E27" s="54"/>
      <c r="F27" s="54"/>
      <c r="G27" s="54"/>
      <c r="H27" s="54"/>
      <c r="I27" s="54"/>
      <c r="J27" s="54"/>
    </row>
    <row r="28" spans="1:13">
      <c r="A28" s="10" t="s">
        <v>68</v>
      </c>
      <c r="B28" s="9" t="s">
        <v>255</v>
      </c>
      <c r="C28" s="9" t="s">
        <v>256</v>
      </c>
      <c r="D28" s="9" t="s">
        <v>41</v>
      </c>
      <c r="E28" s="9" t="s">
        <v>389</v>
      </c>
      <c r="F28" s="9" t="s">
        <v>378</v>
      </c>
      <c r="G28" s="22" t="s">
        <v>257</v>
      </c>
      <c r="H28" s="22" t="s">
        <v>33</v>
      </c>
      <c r="I28" s="22" t="s">
        <v>45</v>
      </c>
      <c r="J28" s="10"/>
      <c r="K28" s="33" t="str">
        <f>"165,0"</f>
        <v>165,0</v>
      </c>
      <c r="L28" s="10" t="str">
        <f>"100,4190"</f>
        <v>100,4190</v>
      </c>
      <c r="M28" s="9" t="s">
        <v>246</v>
      </c>
    </row>
    <row r="29" spans="1:13">
      <c r="A29" s="12" t="s">
        <v>70</v>
      </c>
      <c r="B29" s="11" t="s">
        <v>258</v>
      </c>
      <c r="C29" s="11" t="s">
        <v>259</v>
      </c>
      <c r="D29" s="11" t="s">
        <v>260</v>
      </c>
      <c r="E29" s="11" t="s">
        <v>389</v>
      </c>
      <c r="F29" s="11" t="s">
        <v>376</v>
      </c>
      <c r="G29" s="24" t="s">
        <v>257</v>
      </c>
      <c r="H29" s="24" t="s">
        <v>32</v>
      </c>
      <c r="I29" s="24" t="s">
        <v>33</v>
      </c>
      <c r="J29" s="12"/>
      <c r="K29" s="35" t="str">
        <f>"162,5"</f>
        <v>162,5</v>
      </c>
      <c r="L29" s="12" t="str">
        <f>"100,1487"</f>
        <v>100,1487</v>
      </c>
      <c r="M29" s="11" t="s">
        <v>261</v>
      </c>
    </row>
    <row r="30" spans="1:13">
      <c r="A30" s="14" t="s">
        <v>275</v>
      </c>
      <c r="B30" s="13" t="s">
        <v>262</v>
      </c>
      <c r="C30" s="13" t="s">
        <v>263</v>
      </c>
      <c r="D30" s="13" t="s">
        <v>264</v>
      </c>
      <c r="E30" s="13" t="s">
        <v>389</v>
      </c>
      <c r="F30" s="13" t="s">
        <v>114</v>
      </c>
      <c r="G30" s="26" t="s">
        <v>137</v>
      </c>
      <c r="H30" s="26" t="s">
        <v>265</v>
      </c>
      <c r="I30" s="26" t="s">
        <v>257</v>
      </c>
      <c r="J30" s="14"/>
      <c r="K30" s="34" t="str">
        <f>"155,0"</f>
        <v>155,0</v>
      </c>
      <c r="L30" s="14" t="str">
        <f>"96,1465"</f>
        <v>96,1465</v>
      </c>
      <c r="M30" s="13"/>
    </row>
    <row r="31" spans="1:13">
      <c r="B31" s="5" t="s">
        <v>69</v>
      </c>
    </row>
    <row r="32" spans="1:13" ht="16">
      <c r="A32" s="53" t="s">
        <v>49</v>
      </c>
      <c r="B32" s="53"/>
      <c r="C32" s="54"/>
      <c r="D32" s="54"/>
      <c r="E32" s="54"/>
      <c r="F32" s="54"/>
      <c r="G32" s="54"/>
      <c r="H32" s="54"/>
      <c r="I32" s="54"/>
      <c r="J32" s="54"/>
    </row>
    <row r="33" spans="1:13">
      <c r="A33" s="10" t="s">
        <v>68</v>
      </c>
      <c r="B33" s="9" t="s">
        <v>56</v>
      </c>
      <c r="C33" s="9" t="s">
        <v>57</v>
      </c>
      <c r="D33" s="9" t="s">
        <v>58</v>
      </c>
      <c r="E33" s="9" t="s">
        <v>389</v>
      </c>
      <c r="F33" s="9" t="s">
        <v>379</v>
      </c>
      <c r="G33" s="22" t="s">
        <v>31</v>
      </c>
      <c r="H33" s="22" t="s">
        <v>32</v>
      </c>
      <c r="I33" s="10"/>
      <c r="J33" s="10"/>
      <c r="K33" s="33" t="str">
        <f>"160,0"</f>
        <v>160,0</v>
      </c>
      <c r="L33" s="10" t="str">
        <f>"95,6160"</f>
        <v>95,6160</v>
      </c>
      <c r="M33" s="9"/>
    </row>
    <row r="34" spans="1:13">
      <c r="A34" s="12" t="s">
        <v>70</v>
      </c>
      <c r="B34" s="11" t="s">
        <v>266</v>
      </c>
      <c r="C34" s="11" t="s">
        <v>267</v>
      </c>
      <c r="D34" s="11" t="s">
        <v>58</v>
      </c>
      <c r="E34" s="11" t="s">
        <v>389</v>
      </c>
      <c r="F34" s="11" t="s">
        <v>268</v>
      </c>
      <c r="G34" s="24" t="s">
        <v>265</v>
      </c>
      <c r="H34" s="25" t="s">
        <v>245</v>
      </c>
      <c r="I34" s="25" t="s">
        <v>245</v>
      </c>
      <c r="J34" s="12"/>
      <c r="K34" s="35" t="str">
        <f>"147,5"</f>
        <v>147,5</v>
      </c>
      <c r="L34" s="12" t="str">
        <f>"88,1460"</f>
        <v>88,1460</v>
      </c>
      <c r="M34" s="11"/>
    </row>
    <row r="35" spans="1:13">
      <c r="A35" s="14" t="s">
        <v>68</v>
      </c>
      <c r="B35" s="13" t="s">
        <v>56</v>
      </c>
      <c r="C35" s="13" t="s">
        <v>60</v>
      </c>
      <c r="D35" s="13" t="s">
        <v>58</v>
      </c>
      <c r="E35" s="13" t="s">
        <v>391</v>
      </c>
      <c r="F35" s="13" t="s">
        <v>379</v>
      </c>
      <c r="G35" s="26" t="s">
        <v>31</v>
      </c>
      <c r="H35" s="26" t="s">
        <v>32</v>
      </c>
      <c r="I35" s="14"/>
      <c r="J35" s="14"/>
      <c r="K35" s="34" t="str">
        <f>"160,0"</f>
        <v>160,0</v>
      </c>
      <c r="L35" s="14" t="str">
        <f>"103,0740"</f>
        <v>103,0740</v>
      </c>
      <c r="M35" s="13"/>
    </row>
    <row r="36" spans="1:13">
      <c r="B36" s="5" t="s">
        <v>69</v>
      </c>
    </row>
    <row r="37" spans="1:13" ht="16">
      <c r="A37" s="53" t="s">
        <v>170</v>
      </c>
      <c r="B37" s="53"/>
      <c r="C37" s="54"/>
      <c r="D37" s="54"/>
      <c r="E37" s="54"/>
      <c r="F37" s="54"/>
      <c r="G37" s="54"/>
      <c r="H37" s="54"/>
      <c r="I37" s="54"/>
      <c r="J37" s="54"/>
    </row>
    <row r="38" spans="1:13">
      <c r="A38" s="10" t="s">
        <v>68</v>
      </c>
      <c r="B38" s="9" t="s">
        <v>171</v>
      </c>
      <c r="C38" s="9" t="s">
        <v>172</v>
      </c>
      <c r="D38" s="9" t="s">
        <v>173</v>
      </c>
      <c r="E38" s="9" t="s">
        <v>389</v>
      </c>
      <c r="F38" s="9" t="s">
        <v>94</v>
      </c>
      <c r="G38" s="22" t="s">
        <v>46</v>
      </c>
      <c r="H38" s="22" t="s">
        <v>74</v>
      </c>
      <c r="I38" s="22" t="s">
        <v>143</v>
      </c>
      <c r="J38" s="10"/>
      <c r="K38" s="33" t="str">
        <f>"185,0"</f>
        <v>185,0</v>
      </c>
      <c r="L38" s="10" t="str">
        <f>"105,9310"</f>
        <v>105,9310</v>
      </c>
      <c r="M38" s="9" t="s">
        <v>55</v>
      </c>
    </row>
    <row r="39" spans="1:13">
      <c r="A39" s="14" t="s">
        <v>70</v>
      </c>
      <c r="B39" s="13" t="s">
        <v>269</v>
      </c>
      <c r="C39" s="13" t="s">
        <v>270</v>
      </c>
      <c r="D39" s="13" t="s">
        <v>271</v>
      </c>
      <c r="E39" s="13" t="s">
        <v>389</v>
      </c>
      <c r="F39" s="13" t="s">
        <v>94</v>
      </c>
      <c r="G39" s="26" t="s">
        <v>137</v>
      </c>
      <c r="H39" s="26" t="s">
        <v>31</v>
      </c>
      <c r="I39" s="26" t="s">
        <v>257</v>
      </c>
      <c r="J39" s="14"/>
      <c r="K39" s="34" t="str">
        <f>"155,0"</f>
        <v>155,0</v>
      </c>
      <c r="L39" s="14" t="str">
        <f>"89,1095"</f>
        <v>89,1095</v>
      </c>
      <c r="M39" s="13" t="s">
        <v>55</v>
      </c>
    </row>
    <row r="40" spans="1:13">
      <c r="B40" s="5" t="s">
        <v>69</v>
      </c>
    </row>
    <row r="41" spans="1:13">
      <c r="B41" s="5" t="s">
        <v>69</v>
      </c>
    </row>
    <row r="42" spans="1:13">
      <c r="B42" s="5" t="s">
        <v>69</v>
      </c>
    </row>
    <row r="43" spans="1:13" ht="18">
      <c r="B43" s="15" t="s">
        <v>61</v>
      </c>
      <c r="C43" s="15"/>
    </row>
    <row r="44" spans="1:13" ht="16">
      <c r="B44" s="16" t="s">
        <v>66</v>
      </c>
      <c r="C44" s="16"/>
    </row>
    <row r="45" spans="1:13" ht="14">
      <c r="B45" s="17"/>
      <c r="C45" s="18" t="s">
        <v>62</v>
      </c>
    </row>
    <row r="46" spans="1:13" ht="14">
      <c r="B46" s="19" t="s">
        <v>63</v>
      </c>
      <c r="C46" s="19" t="s">
        <v>64</v>
      </c>
      <c r="D46" s="19" t="s">
        <v>377</v>
      </c>
      <c r="E46" s="19" t="s">
        <v>176</v>
      </c>
      <c r="F46" s="19" t="s">
        <v>65</v>
      </c>
    </row>
    <row r="47" spans="1:13">
      <c r="B47" s="5" t="s">
        <v>171</v>
      </c>
      <c r="C47" s="5" t="s">
        <v>62</v>
      </c>
      <c r="D47" s="6" t="s">
        <v>175</v>
      </c>
      <c r="E47" s="6" t="s">
        <v>143</v>
      </c>
      <c r="F47" s="6" t="s">
        <v>272</v>
      </c>
    </row>
    <row r="48" spans="1:13">
      <c r="B48" s="5" t="s">
        <v>242</v>
      </c>
      <c r="C48" s="5" t="s">
        <v>62</v>
      </c>
      <c r="D48" s="6" t="s">
        <v>117</v>
      </c>
      <c r="E48" s="6" t="s">
        <v>245</v>
      </c>
      <c r="F48" s="6" t="s">
        <v>273</v>
      </c>
    </row>
    <row r="49" spans="2:6">
      <c r="B49" s="5" t="s">
        <v>255</v>
      </c>
      <c r="C49" s="5" t="s">
        <v>62</v>
      </c>
      <c r="D49" s="6" t="s">
        <v>67</v>
      </c>
      <c r="E49" s="6" t="s">
        <v>45</v>
      </c>
      <c r="F49" s="6" t="s">
        <v>274</v>
      </c>
    </row>
  </sheetData>
  <mergeCells count="20">
    <mergeCell ref="A32:J32"/>
    <mergeCell ref="A37:J37"/>
    <mergeCell ref="B3:B4"/>
    <mergeCell ref="A8:J8"/>
    <mergeCell ref="A11:J11"/>
    <mergeCell ref="A14:J14"/>
    <mergeCell ref="A17:J17"/>
    <mergeCell ref="A21:J21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5"/>
  <sheetViews>
    <sheetView workbookViewId="0">
      <selection activeCell="E36" sqref="E36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21" style="5" bestFit="1" customWidth="1"/>
    <col min="5" max="5" width="10.1640625" style="5" bestFit="1" customWidth="1"/>
    <col min="6" max="6" width="35.33203125" style="5" bestFit="1" customWidth="1"/>
    <col min="7" max="9" width="5.33203125" style="6" customWidth="1"/>
    <col min="10" max="10" width="4.6640625" style="6" customWidth="1"/>
    <col min="11" max="11" width="10.5" style="32" bestFit="1" customWidth="1"/>
    <col min="12" max="12" width="8.33203125" style="6" bestFit="1" customWidth="1"/>
    <col min="13" max="13" width="25" style="5" bestFit="1" customWidth="1"/>
    <col min="14" max="16384" width="9.1640625" style="3"/>
  </cols>
  <sheetData>
    <row r="1" spans="1:13" s="2" customFormat="1" ht="29" customHeight="1">
      <c r="A1" s="36" t="s">
        <v>369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57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58"/>
      <c r="L4" s="47"/>
      <c r="M4" s="52"/>
    </row>
    <row r="5" spans="1:13" ht="16">
      <c r="A5" s="55" t="s">
        <v>178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68</v>
      </c>
      <c r="B6" s="7" t="s">
        <v>179</v>
      </c>
      <c r="C6" s="7" t="s">
        <v>180</v>
      </c>
      <c r="D6" s="7" t="s">
        <v>181</v>
      </c>
      <c r="E6" s="7" t="s">
        <v>389</v>
      </c>
      <c r="F6" s="7" t="s">
        <v>94</v>
      </c>
      <c r="G6" s="20" t="s">
        <v>137</v>
      </c>
      <c r="H6" s="20" t="s">
        <v>31</v>
      </c>
      <c r="I6" s="21" t="s">
        <v>32</v>
      </c>
      <c r="J6" s="8"/>
      <c r="K6" s="31" t="str">
        <f>"150,0"</f>
        <v>150,0</v>
      </c>
      <c r="L6" s="8" t="str">
        <f>"124,3200"</f>
        <v>124,3200</v>
      </c>
      <c r="M6" s="7"/>
    </row>
    <row r="7" spans="1:13">
      <c r="B7" s="5" t="s">
        <v>69</v>
      </c>
    </row>
    <row r="8" spans="1:13" ht="16">
      <c r="A8" s="53" t="s">
        <v>145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8" t="s">
        <v>68</v>
      </c>
      <c r="B9" s="7" t="s">
        <v>182</v>
      </c>
      <c r="C9" s="7" t="s">
        <v>183</v>
      </c>
      <c r="D9" s="7" t="s">
        <v>184</v>
      </c>
      <c r="E9" s="7" t="s">
        <v>390</v>
      </c>
      <c r="F9" s="7" t="s">
        <v>114</v>
      </c>
      <c r="G9" s="20" t="s">
        <v>136</v>
      </c>
      <c r="H9" s="20" t="s">
        <v>85</v>
      </c>
      <c r="I9" s="21" t="s">
        <v>155</v>
      </c>
      <c r="J9" s="8"/>
      <c r="K9" s="31" t="str">
        <f>"70,0"</f>
        <v>70,0</v>
      </c>
      <c r="L9" s="8" t="str">
        <f>"64,0640"</f>
        <v>64,0640</v>
      </c>
      <c r="M9" s="7" t="s">
        <v>55</v>
      </c>
    </row>
    <row r="10" spans="1:13">
      <c r="B10" s="5" t="s">
        <v>69</v>
      </c>
    </row>
    <row r="11" spans="1:13" ht="16">
      <c r="A11" s="53" t="s">
        <v>78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8" t="s">
        <v>68</v>
      </c>
      <c r="B12" s="7" t="s">
        <v>79</v>
      </c>
      <c r="C12" s="7" t="s">
        <v>80</v>
      </c>
      <c r="D12" s="7" t="s">
        <v>81</v>
      </c>
      <c r="E12" s="7" t="s">
        <v>393</v>
      </c>
      <c r="F12" s="7" t="s">
        <v>356</v>
      </c>
      <c r="G12" s="20" t="s">
        <v>85</v>
      </c>
      <c r="H12" s="20" t="s">
        <v>86</v>
      </c>
      <c r="I12" s="21" t="s">
        <v>82</v>
      </c>
      <c r="J12" s="8"/>
      <c r="K12" s="31" t="str">
        <f>"75,0"</f>
        <v>75,0</v>
      </c>
      <c r="L12" s="8" t="str">
        <f>"61,5000"</f>
        <v>61,5000</v>
      </c>
      <c r="M12" s="7" t="s">
        <v>89</v>
      </c>
    </row>
    <row r="13" spans="1:13">
      <c r="B13" s="5" t="s">
        <v>69</v>
      </c>
    </row>
    <row r="14" spans="1:13" ht="16">
      <c r="A14" s="53" t="s">
        <v>90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10" t="s">
        <v>68</v>
      </c>
      <c r="B15" s="9" t="s">
        <v>185</v>
      </c>
      <c r="C15" s="9" t="s">
        <v>186</v>
      </c>
      <c r="D15" s="9" t="s">
        <v>187</v>
      </c>
      <c r="E15" s="9" t="s">
        <v>389</v>
      </c>
      <c r="F15" s="9" t="s">
        <v>27</v>
      </c>
      <c r="G15" s="22" t="s">
        <v>20</v>
      </c>
      <c r="H15" s="22" t="s">
        <v>74</v>
      </c>
      <c r="I15" s="10"/>
      <c r="J15" s="10"/>
      <c r="K15" s="33" t="str">
        <f>"180,0"</f>
        <v>180,0</v>
      </c>
      <c r="L15" s="10" t="str">
        <f>"128,5020"</f>
        <v>128,5020</v>
      </c>
      <c r="M15" s="9" t="s">
        <v>188</v>
      </c>
    </row>
    <row r="16" spans="1:13">
      <c r="A16" s="14" t="s">
        <v>70</v>
      </c>
      <c r="B16" s="13" t="s">
        <v>91</v>
      </c>
      <c r="C16" s="13" t="s">
        <v>92</v>
      </c>
      <c r="D16" s="13" t="s">
        <v>93</v>
      </c>
      <c r="E16" s="13" t="s">
        <v>389</v>
      </c>
      <c r="F16" s="13" t="s">
        <v>94</v>
      </c>
      <c r="G16" s="26" t="s">
        <v>31</v>
      </c>
      <c r="H16" s="26" t="s">
        <v>32</v>
      </c>
      <c r="I16" s="26" t="s">
        <v>45</v>
      </c>
      <c r="J16" s="14"/>
      <c r="K16" s="34" t="str">
        <f>"165,0"</f>
        <v>165,0</v>
      </c>
      <c r="L16" s="14" t="str">
        <f>"118,9155"</f>
        <v>118,9155</v>
      </c>
      <c r="M16" s="13"/>
    </row>
    <row r="17" spans="1:13">
      <c r="B17" s="5" t="s">
        <v>69</v>
      </c>
    </row>
    <row r="18" spans="1:13" ht="16">
      <c r="A18" s="53" t="s">
        <v>10</v>
      </c>
      <c r="B18" s="53"/>
      <c r="C18" s="54"/>
      <c r="D18" s="54"/>
      <c r="E18" s="54"/>
      <c r="F18" s="54"/>
      <c r="G18" s="54"/>
      <c r="H18" s="54"/>
      <c r="I18" s="54"/>
      <c r="J18" s="54"/>
    </row>
    <row r="19" spans="1:13">
      <c r="A19" s="8" t="s">
        <v>68</v>
      </c>
      <c r="B19" s="7" t="s">
        <v>189</v>
      </c>
      <c r="C19" s="7" t="s">
        <v>190</v>
      </c>
      <c r="D19" s="7" t="s">
        <v>191</v>
      </c>
      <c r="E19" s="7" t="s">
        <v>389</v>
      </c>
      <c r="F19" s="7" t="s">
        <v>192</v>
      </c>
      <c r="G19" s="20" t="s">
        <v>161</v>
      </c>
      <c r="H19" s="21" t="s">
        <v>193</v>
      </c>
      <c r="I19" s="20" t="s">
        <v>193</v>
      </c>
      <c r="J19" s="8"/>
      <c r="K19" s="31" t="str">
        <f>"137,5"</f>
        <v>137,5</v>
      </c>
      <c r="L19" s="8" t="str">
        <f>"93,1425"</f>
        <v>93,1425</v>
      </c>
      <c r="M19" s="7"/>
    </row>
    <row r="20" spans="1:13">
      <c r="B20" s="5" t="s">
        <v>69</v>
      </c>
    </row>
    <row r="21" spans="1:13" ht="16">
      <c r="A21" s="53" t="s">
        <v>110</v>
      </c>
      <c r="B21" s="53"/>
      <c r="C21" s="54"/>
      <c r="D21" s="54"/>
      <c r="E21" s="54"/>
      <c r="F21" s="54"/>
      <c r="G21" s="54"/>
      <c r="H21" s="54"/>
      <c r="I21" s="54"/>
      <c r="J21" s="54"/>
    </row>
    <row r="22" spans="1:13">
      <c r="A22" s="8" t="s">
        <v>68</v>
      </c>
      <c r="B22" s="7" t="s">
        <v>194</v>
      </c>
      <c r="C22" s="7" t="s">
        <v>195</v>
      </c>
      <c r="D22" s="7" t="s">
        <v>196</v>
      </c>
      <c r="E22" s="7" t="s">
        <v>394</v>
      </c>
      <c r="F22" s="7" t="s">
        <v>353</v>
      </c>
      <c r="G22" s="20" t="s">
        <v>45</v>
      </c>
      <c r="H22" s="20" t="s">
        <v>20</v>
      </c>
      <c r="I22" s="21" t="s">
        <v>74</v>
      </c>
      <c r="J22" s="8"/>
      <c r="K22" s="31" t="str">
        <f>"175,0"</f>
        <v>175,0</v>
      </c>
      <c r="L22" s="8" t="str">
        <f>"130,6320"</f>
        <v>130,6320</v>
      </c>
      <c r="M22" s="7" t="s">
        <v>157</v>
      </c>
    </row>
    <row r="23" spans="1:13">
      <c r="B23" s="5" t="s">
        <v>69</v>
      </c>
    </row>
    <row r="24" spans="1:13" ht="16">
      <c r="A24" s="53" t="s">
        <v>38</v>
      </c>
      <c r="B24" s="53"/>
      <c r="C24" s="54"/>
      <c r="D24" s="54"/>
      <c r="E24" s="54"/>
      <c r="F24" s="54"/>
      <c r="G24" s="54"/>
      <c r="H24" s="54"/>
      <c r="I24" s="54"/>
      <c r="J24" s="54"/>
    </row>
    <row r="25" spans="1:13">
      <c r="A25" s="10" t="s">
        <v>68</v>
      </c>
      <c r="B25" s="9" t="s">
        <v>197</v>
      </c>
      <c r="C25" s="9" t="s">
        <v>198</v>
      </c>
      <c r="D25" s="9" t="s">
        <v>199</v>
      </c>
      <c r="E25" s="9" t="s">
        <v>389</v>
      </c>
      <c r="F25" s="9" t="s">
        <v>94</v>
      </c>
      <c r="G25" s="22" t="s">
        <v>22</v>
      </c>
      <c r="H25" s="23" t="s">
        <v>162</v>
      </c>
      <c r="I25" s="23" t="s">
        <v>162</v>
      </c>
      <c r="J25" s="10"/>
      <c r="K25" s="33" t="str">
        <f>"195,0"</f>
        <v>195,0</v>
      </c>
      <c r="L25" s="10" t="str">
        <f>"123,2595"</f>
        <v>123,2595</v>
      </c>
      <c r="M25" s="9"/>
    </row>
    <row r="26" spans="1:13">
      <c r="A26" s="12" t="s">
        <v>70</v>
      </c>
      <c r="B26" s="11" t="s">
        <v>200</v>
      </c>
      <c r="C26" s="11" t="s">
        <v>201</v>
      </c>
      <c r="D26" s="11" t="s">
        <v>202</v>
      </c>
      <c r="E26" s="11" t="s">
        <v>389</v>
      </c>
      <c r="F26" s="11" t="s">
        <v>114</v>
      </c>
      <c r="G26" s="24" t="s">
        <v>74</v>
      </c>
      <c r="H26" s="24" t="s">
        <v>21</v>
      </c>
      <c r="I26" s="25" t="s">
        <v>14</v>
      </c>
      <c r="J26" s="12"/>
      <c r="K26" s="35" t="str">
        <f>"187,5"</f>
        <v>187,5</v>
      </c>
      <c r="L26" s="12" t="str">
        <f>"114,2062"</f>
        <v>114,2062</v>
      </c>
      <c r="M26" s="11" t="s">
        <v>55</v>
      </c>
    </row>
    <row r="27" spans="1:13">
      <c r="A27" s="14" t="s">
        <v>118</v>
      </c>
      <c r="B27" s="13" t="s">
        <v>203</v>
      </c>
      <c r="C27" s="13" t="s">
        <v>204</v>
      </c>
      <c r="D27" s="13" t="s">
        <v>205</v>
      </c>
      <c r="E27" s="13" t="s">
        <v>389</v>
      </c>
      <c r="F27" s="13" t="s">
        <v>192</v>
      </c>
      <c r="G27" s="27" t="s">
        <v>161</v>
      </c>
      <c r="H27" s="27" t="s">
        <v>161</v>
      </c>
      <c r="I27" s="27" t="s">
        <v>161</v>
      </c>
      <c r="J27" s="14"/>
      <c r="K27" s="34">
        <v>0</v>
      </c>
      <c r="L27" s="14" t="str">
        <f>"0,0000"</f>
        <v>0,0000</v>
      </c>
      <c r="M27" s="13" t="s">
        <v>349</v>
      </c>
    </row>
    <row r="28" spans="1:13">
      <c r="B28" s="5" t="s">
        <v>69</v>
      </c>
    </row>
    <row r="29" spans="1:13" ht="16">
      <c r="A29" s="53" t="s">
        <v>49</v>
      </c>
      <c r="B29" s="53"/>
      <c r="C29" s="54"/>
      <c r="D29" s="54"/>
      <c r="E29" s="54"/>
      <c r="F29" s="54"/>
      <c r="G29" s="54"/>
      <c r="H29" s="54"/>
      <c r="I29" s="54"/>
      <c r="J29" s="54"/>
    </row>
    <row r="30" spans="1:13">
      <c r="A30" s="10" t="s">
        <v>68</v>
      </c>
      <c r="B30" s="9" t="s">
        <v>206</v>
      </c>
      <c r="C30" s="9" t="s">
        <v>207</v>
      </c>
      <c r="D30" s="9" t="s">
        <v>208</v>
      </c>
      <c r="E30" s="9" t="s">
        <v>389</v>
      </c>
      <c r="F30" s="9" t="s">
        <v>376</v>
      </c>
      <c r="G30" s="22" t="s">
        <v>169</v>
      </c>
      <c r="H30" s="22" t="s">
        <v>209</v>
      </c>
      <c r="I30" s="22" t="s">
        <v>22</v>
      </c>
      <c r="J30" s="10"/>
      <c r="K30" s="33" t="str">
        <f>"195,0"</f>
        <v>195,0</v>
      </c>
      <c r="L30" s="10" t="str">
        <f>"114,7965"</f>
        <v>114,7965</v>
      </c>
      <c r="M30" s="9" t="s">
        <v>210</v>
      </c>
    </row>
    <row r="31" spans="1:13">
      <c r="A31" s="12" t="s">
        <v>70</v>
      </c>
      <c r="B31" s="11" t="s">
        <v>56</v>
      </c>
      <c r="C31" s="11" t="s">
        <v>57</v>
      </c>
      <c r="D31" s="11" t="s">
        <v>58</v>
      </c>
      <c r="E31" s="11" t="s">
        <v>389</v>
      </c>
      <c r="F31" s="11" t="s">
        <v>379</v>
      </c>
      <c r="G31" s="24" t="s">
        <v>31</v>
      </c>
      <c r="H31" s="24" t="s">
        <v>32</v>
      </c>
      <c r="I31" s="12"/>
      <c r="J31" s="12"/>
      <c r="K31" s="35" t="str">
        <f>"160,0"</f>
        <v>160,0</v>
      </c>
      <c r="L31" s="12" t="str">
        <f>"95,6160"</f>
        <v>95,6160</v>
      </c>
      <c r="M31" s="11"/>
    </row>
    <row r="32" spans="1:13">
      <c r="A32" s="14" t="s">
        <v>68</v>
      </c>
      <c r="B32" s="13" t="s">
        <v>56</v>
      </c>
      <c r="C32" s="13" t="s">
        <v>60</v>
      </c>
      <c r="D32" s="13" t="s">
        <v>58</v>
      </c>
      <c r="E32" s="13" t="s">
        <v>391</v>
      </c>
      <c r="F32" s="13" t="s">
        <v>379</v>
      </c>
      <c r="G32" s="26" t="s">
        <v>31</v>
      </c>
      <c r="H32" s="26" t="s">
        <v>32</v>
      </c>
      <c r="I32" s="14"/>
      <c r="J32" s="14"/>
      <c r="K32" s="34" t="str">
        <f>"160,0"</f>
        <v>160,0</v>
      </c>
      <c r="L32" s="14" t="str">
        <f>"103,0740"</f>
        <v>103,0740</v>
      </c>
      <c r="M32" s="13"/>
    </row>
    <row r="33" spans="1:13">
      <c r="B33" s="5" t="s">
        <v>69</v>
      </c>
    </row>
    <row r="34" spans="1:13" ht="16">
      <c r="A34" s="53" t="s">
        <v>170</v>
      </c>
      <c r="B34" s="53"/>
      <c r="C34" s="54"/>
      <c r="D34" s="54"/>
      <c r="E34" s="54"/>
      <c r="F34" s="54"/>
      <c r="G34" s="54"/>
      <c r="H34" s="54"/>
      <c r="I34" s="54"/>
      <c r="J34" s="54"/>
    </row>
    <row r="35" spans="1:13">
      <c r="A35" s="8" t="s">
        <v>68</v>
      </c>
      <c r="B35" s="7" t="s">
        <v>211</v>
      </c>
      <c r="C35" s="7" t="s">
        <v>212</v>
      </c>
      <c r="D35" s="7" t="s">
        <v>213</v>
      </c>
      <c r="E35" s="7" t="s">
        <v>389</v>
      </c>
      <c r="F35" s="7" t="s">
        <v>214</v>
      </c>
      <c r="G35" s="20" t="s">
        <v>215</v>
      </c>
      <c r="H35" s="20" t="s">
        <v>95</v>
      </c>
      <c r="I35" s="21" t="s">
        <v>115</v>
      </c>
      <c r="J35" s="8"/>
      <c r="K35" s="31" t="str">
        <f>"215,0"</f>
        <v>215,0</v>
      </c>
      <c r="L35" s="8" t="str">
        <f>"122,8510"</f>
        <v>122,8510</v>
      </c>
      <c r="M35" s="7" t="s">
        <v>216</v>
      </c>
    </row>
    <row r="36" spans="1:13">
      <c r="B36" s="5" t="s">
        <v>69</v>
      </c>
    </row>
    <row r="37" spans="1:13">
      <c r="B37" s="5" t="s">
        <v>69</v>
      </c>
    </row>
    <row r="38" spans="1:13">
      <c r="B38" s="5" t="s">
        <v>69</v>
      </c>
    </row>
    <row r="39" spans="1:13" ht="18">
      <c r="B39" s="15" t="s">
        <v>61</v>
      </c>
      <c r="C39" s="15"/>
    </row>
    <row r="40" spans="1:13" ht="16">
      <c r="B40" s="16" t="s">
        <v>66</v>
      </c>
      <c r="C40" s="16"/>
    </row>
    <row r="41" spans="1:13" ht="14">
      <c r="B41" s="17"/>
      <c r="C41" s="18" t="s">
        <v>62</v>
      </c>
    </row>
    <row r="42" spans="1:13" ht="14">
      <c r="B42" s="19" t="s">
        <v>63</v>
      </c>
      <c r="C42" s="19" t="s">
        <v>64</v>
      </c>
      <c r="D42" s="19" t="s">
        <v>377</v>
      </c>
      <c r="E42" s="19" t="s">
        <v>176</v>
      </c>
      <c r="F42" s="19" t="s">
        <v>65</v>
      </c>
    </row>
    <row r="43" spans="1:13">
      <c r="B43" s="5" t="s">
        <v>185</v>
      </c>
      <c r="C43" s="5" t="s">
        <v>62</v>
      </c>
      <c r="D43" s="6" t="s">
        <v>174</v>
      </c>
      <c r="E43" s="6" t="s">
        <v>74</v>
      </c>
      <c r="F43" s="6" t="s">
        <v>217</v>
      </c>
    </row>
    <row r="44" spans="1:13">
      <c r="B44" s="5" t="s">
        <v>197</v>
      </c>
      <c r="C44" s="5" t="s">
        <v>62</v>
      </c>
      <c r="D44" s="6" t="s">
        <v>67</v>
      </c>
      <c r="E44" s="6" t="s">
        <v>22</v>
      </c>
      <c r="F44" s="6" t="s">
        <v>218</v>
      </c>
    </row>
    <row r="45" spans="1:13">
      <c r="B45" s="5" t="s">
        <v>211</v>
      </c>
      <c r="C45" s="5" t="s">
        <v>62</v>
      </c>
      <c r="D45" s="6" t="s">
        <v>175</v>
      </c>
      <c r="E45" s="6" t="s">
        <v>95</v>
      </c>
      <c r="F45" s="6" t="s">
        <v>219</v>
      </c>
    </row>
  </sheetData>
  <mergeCells count="20">
    <mergeCell ref="A29:J29"/>
    <mergeCell ref="A34:J34"/>
    <mergeCell ref="B3:B4"/>
    <mergeCell ref="A8:J8"/>
    <mergeCell ref="A11:J11"/>
    <mergeCell ref="A14:J14"/>
    <mergeCell ref="A18:J18"/>
    <mergeCell ref="A21:J21"/>
    <mergeCell ref="A24:J2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6640625" style="5" bestFit="1" customWidth="1"/>
    <col min="3" max="3" width="27" style="5" bestFit="1" customWidth="1"/>
    <col min="4" max="4" width="15.1640625" style="5" bestFit="1" customWidth="1"/>
    <col min="5" max="5" width="10.1640625" style="5" bestFit="1" customWidth="1"/>
    <col min="6" max="6" width="27.6640625" style="5" bestFit="1" customWidth="1"/>
    <col min="7" max="9" width="5.33203125" style="6" customWidth="1"/>
    <col min="10" max="10" width="4.6640625" style="6" customWidth="1"/>
    <col min="11" max="11" width="10.5" style="6" bestFit="1" customWidth="1"/>
    <col min="12" max="12" width="8.3320312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36" t="s">
        <v>367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385</v>
      </c>
      <c r="B3" s="49" t="s">
        <v>0</v>
      </c>
      <c r="C3" s="46" t="s">
        <v>386</v>
      </c>
      <c r="D3" s="46" t="s">
        <v>6</v>
      </c>
      <c r="E3" s="48" t="s">
        <v>387</v>
      </c>
      <c r="F3" s="48" t="s">
        <v>5</v>
      </c>
      <c r="G3" s="48" t="s">
        <v>8</v>
      </c>
      <c r="H3" s="48"/>
      <c r="I3" s="48"/>
      <c r="J3" s="48"/>
      <c r="K3" s="48" t="s">
        <v>177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55" t="s">
        <v>49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68</v>
      </c>
      <c r="B6" s="9" t="s">
        <v>56</v>
      </c>
      <c r="C6" s="9" t="s">
        <v>57</v>
      </c>
      <c r="D6" s="9" t="s">
        <v>58</v>
      </c>
      <c r="E6" s="9" t="s">
        <v>389</v>
      </c>
      <c r="F6" s="9" t="s">
        <v>379</v>
      </c>
      <c r="G6" s="22" t="s">
        <v>15</v>
      </c>
      <c r="H6" s="22" t="s">
        <v>59</v>
      </c>
      <c r="I6" s="22" t="s">
        <v>75</v>
      </c>
      <c r="J6" s="10"/>
      <c r="K6" s="10" t="str">
        <f>"230,0"</f>
        <v>230,0</v>
      </c>
      <c r="L6" s="10" t="str">
        <f>"131,2495"</f>
        <v>131,2495</v>
      </c>
      <c r="M6" s="9"/>
    </row>
    <row r="7" spans="1:13">
      <c r="A7" s="14" t="s">
        <v>68</v>
      </c>
      <c r="B7" s="13" t="s">
        <v>56</v>
      </c>
      <c r="C7" s="13" t="s">
        <v>60</v>
      </c>
      <c r="D7" s="13" t="s">
        <v>58</v>
      </c>
      <c r="E7" s="13" t="s">
        <v>391</v>
      </c>
      <c r="F7" s="13" t="s">
        <v>379</v>
      </c>
      <c r="G7" s="26" t="s">
        <v>15</v>
      </c>
      <c r="H7" s="26" t="s">
        <v>59</v>
      </c>
      <c r="I7" s="26" t="s">
        <v>75</v>
      </c>
      <c r="J7" s="14"/>
      <c r="K7" s="14" t="str">
        <f>"230,0"</f>
        <v>230,0</v>
      </c>
      <c r="L7" s="14" t="str">
        <f>"140,1745"</f>
        <v>140,1745</v>
      </c>
      <c r="M7" s="13"/>
    </row>
    <row r="8" spans="1:13">
      <c r="B8" s="5" t="s">
        <v>69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Тяга без экипировки ДК</vt:lpstr>
      <vt:lpstr>WRPF Тяга без экипировки</vt:lpstr>
      <vt:lpstr>WEPF Тяга экип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2021-06-18T12:31:05Z</dcterms:modified>
</cp:coreProperties>
</file>