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Июнь/"/>
    </mc:Choice>
  </mc:AlternateContent>
  <xr:revisionPtr revIDLastSave="0" documentId="13_ncr:1_{127FAAA7-8EC2-C949-B7E5-AA43CD43F9AF}" xr6:coauthVersionLast="45" xr6:coauthVersionMax="45" xr10:uidLastSave="{00000000-0000-0000-0000-000000000000}"/>
  <bookViews>
    <workbookView xWindow="480" yWindow="460" windowWidth="28320" windowHeight="15900" tabRatio="909" xr2:uid="{00000000-000D-0000-FFFF-FFFF00000000}"/>
  </bookViews>
  <sheets>
    <sheet name="IPL ПЛ без экипировки ДК" sheetId="6" r:id="rId1"/>
    <sheet name="IPL ПЛ без экипировки" sheetId="5" r:id="rId2"/>
    <sheet name="IPL ПЛ в бинтах ДК" sheetId="8" r:id="rId3"/>
    <sheet name="IPL ПЛ в бинтах" sheetId="7" r:id="rId4"/>
    <sheet name="IPL Двоеборье без экип ДК" sheetId="23" r:id="rId5"/>
    <sheet name="IPL Двоеборье без экип" sheetId="22" r:id="rId6"/>
    <sheet name="IPL Двоеборье экип ДК" sheetId="25" r:id="rId7"/>
    <sheet name="IPL Присед без экипировки ДК" sheetId="19" r:id="rId8"/>
    <sheet name="IPL Присед без экипировки" sheetId="18" r:id="rId9"/>
    <sheet name="IPL Присед в бинтах ДК" sheetId="21" r:id="rId10"/>
    <sheet name="IPL Присед в бинтах" sheetId="20" r:id="rId11"/>
    <sheet name="IPL Жим без экипировки ДК" sheetId="10" r:id="rId12"/>
    <sheet name="IPL Жим без экипировки" sheetId="9" r:id="rId13"/>
    <sheet name="IPL Жим однослой ДК" sheetId="12" r:id="rId14"/>
    <sheet name="IPL Жим однослой" sheetId="11" r:id="rId15"/>
    <sheet name="IPL Жим многослой" sheetId="13" r:id="rId16"/>
    <sheet name="СПР Жим софт однопетельная ДК" sheetId="27" r:id="rId17"/>
    <sheet name="СПР Жим софт однопетельная" sheetId="26" r:id="rId18"/>
    <sheet name="СПР Жим софт многопетельная ДК" sheetId="29" r:id="rId19"/>
    <sheet name="СПР Жим софт многопетельная" sheetId="28" r:id="rId20"/>
    <sheet name="СПР Жим СФО" sheetId="62" r:id="rId21"/>
    <sheet name="IPL Тяга без экипировки ДК" sheetId="15" r:id="rId22"/>
    <sheet name="IPL Тяга без экипировки" sheetId="14" r:id="rId23"/>
    <sheet name="СПР Пауэрспорт ДК" sheetId="34" r:id="rId24"/>
    <sheet name="СПР Пауэрспорт" sheetId="33" r:id="rId25"/>
    <sheet name="СПР Подъем на бицепс ДК" sheetId="32" r:id="rId26"/>
    <sheet name="СПР Подъем на бицепс" sheetId="31" r:id="rId27"/>
    <sheet name="ФЖД ЖД Софт однослой" sheetId="38" r:id="rId28"/>
    <sheet name="ФЖД Любители ДК жим на макс." sheetId="37" r:id="rId29"/>
    <sheet name="ФЖД Любители жим на макс." sheetId="35" r:id="rId30"/>
    <sheet name="ФЖД Софт однослой жим макс ДК" sheetId="41" r:id="rId31"/>
    <sheet name="ФЖД Софт многослой жим макс ДК" sheetId="43" r:id="rId32"/>
    <sheet name="ФЖД Армейский жим на макс" sheetId="45" r:id="rId33"/>
  </sheets>
  <definedNames>
    <definedName name="_FilterDatabase" localSheetId="1" hidden="1">'IPL ПЛ без экипировки'!$A$1:$S$3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" i="43" l="1"/>
  <c r="L34" i="62" l="1"/>
  <c r="K34" i="62"/>
  <c r="L33" i="62"/>
  <c r="K33" i="62"/>
  <c r="L32" i="62"/>
  <c r="K32" i="62"/>
  <c r="L31" i="62"/>
  <c r="K31" i="62"/>
  <c r="L28" i="62"/>
  <c r="K28" i="62"/>
  <c r="L25" i="62"/>
  <c r="K25" i="62"/>
  <c r="L24" i="62"/>
  <c r="K24" i="62"/>
  <c r="L21" i="62"/>
  <c r="K21" i="62"/>
  <c r="L20" i="62"/>
  <c r="K20" i="62"/>
  <c r="L19" i="62"/>
  <c r="K19" i="62"/>
  <c r="L18" i="62"/>
  <c r="K18" i="62"/>
  <c r="L15" i="62"/>
  <c r="K15" i="62"/>
  <c r="L12" i="62"/>
  <c r="K12" i="62"/>
  <c r="L9" i="62"/>
  <c r="K9" i="62"/>
  <c r="L6" i="62"/>
  <c r="K6" i="62"/>
  <c r="L6" i="45"/>
  <c r="K6" i="45"/>
  <c r="L6" i="43"/>
  <c r="K6" i="43"/>
  <c r="L12" i="41"/>
  <c r="K12" i="41"/>
  <c r="L9" i="41"/>
  <c r="K9" i="41"/>
  <c r="L6" i="41"/>
  <c r="K6" i="41"/>
  <c r="N17" i="38"/>
  <c r="M17" i="38"/>
  <c r="N14" i="38"/>
  <c r="M14" i="38"/>
  <c r="N13" i="38"/>
  <c r="M13" i="38"/>
  <c r="N12" i="38"/>
  <c r="M12" i="38"/>
  <c r="N9" i="38"/>
  <c r="M9" i="38"/>
  <c r="N6" i="38"/>
  <c r="M6" i="38"/>
  <c r="L15" i="37"/>
  <c r="K15" i="37"/>
  <c r="L12" i="37"/>
  <c r="K12" i="37"/>
  <c r="L9" i="37"/>
  <c r="K9" i="37"/>
  <c r="L6" i="37"/>
  <c r="K6" i="37"/>
  <c r="L9" i="35"/>
  <c r="K9" i="35"/>
  <c r="L6" i="35"/>
  <c r="K6" i="35"/>
  <c r="P9" i="34"/>
  <c r="O9" i="34"/>
  <c r="P6" i="34"/>
  <c r="O6" i="34"/>
  <c r="P11" i="33"/>
  <c r="O11" i="33"/>
  <c r="P8" i="33"/>
  <c r="O8" i="33"/>
  <c r="P7" i="33"/>
  <c r="O7" i="33"/>
  <c r="P6" i="33"/>
  <c r="O6" i="33"/>
  <c r="L19" i="32"/>
  <c r="K19" i="32"/>
  <c r="L16" i="32"/>
  <c r="K16" i="32"/>
  <c r="L15" i="32"/>
  <c r="K15" i="32"/>
  <c r="L12" i="32"/>
  <c r="K12" i="32"/>
  <c r="L9" i="32"/>
  <c r="K9" i="32"/>
  <c r="L6" i="32"/>
  <c r="K6" i="32"/>
  <c r="L22" i="31"/>
  <c r="K22" i="31"/>
  <c r="L19" i="31"/>
  <c r="K19" i="31"/>
  <c r="L16" i="31"/>
  <c r="K16" i="31"/>
  <c r="L15" i="31"/>
  <c r="K15" i="31"/>
  <c r="L12" i="31"/>
  <c r="K12" i="31"/>
  <c r="L9" i="31"/>
  <c r="K9" i="31"/>
  <c r="L6" i="31"/>
  <c r="K6" i="31"/>
  <c r="L11" i="29"/>
  <c r="K11" i="29"/>
  <c r="L10" i="29"/>
  <c r="K10" i="29"/>
  <c r="L9" i="29"/>
  <c r="K9" i="29"/>
  <c r="L6" i="29"/>
  <c r="K6" i="29"/>
  <c r="L29" i="28"/>
  <c r="K29" i="28"/>
  <c r="L26" i="28"/>
  <c r="K26" i="28"/>
  <c r="L25" i="28"/>
  <c r="K25" i="28"/>
  <c r="L24" i="28"/>
  <c r="L23" i="28"/>
  <c r="K23" i="28"/>
  <c r="L20" i="28"/>
  <c r="L19" i="28"/>
  <c r="L18" i="28"/>
  <c r="K18" i="28"/>
  <c r="L17" i="28"/>
  <c r="K17" i="28"/>
  <c r="L16" i="28"/>
  <c r="K16" i="28"/>
  <c r="L13" i="28"/>
  <c r="L10" i="28"/>
  <c r="K10" i="28"/>
  <c r="L7" i="28"/>
  <c r="K7" i="28"/>
  <c r="L6" i="28"/>
  <c r="K6" i="28"/>
  <c r="L28" i="27"/>
  <c r="K28" i="27"/>
  <c r="L25" i="27"/>
  <c r="K25" i="27"/>
  <c r="L24" i="27"/>
  <c r="K24" i="27"/>
  <c r="L21" i="27"/>
  <c r="K21" i="27"/>
  <c r="L20" i="27"/>
  <c r="K20" i="27"/>
  <c r="L17" i="27"/>
  <c r="K17" i="27"/>
  <c r="L14" i="27"/>
  <c r="K14" i="27"/>
  <c r="L13" i="27"/>
  <c r="K13" i="27"/>
  <c r="L12" i="27"/>
  <c r="K12" i="27"/>
  <c r="L9" i="27"/>
  <c r="K9" i="27"/>
  <c r="L6" i="27"/>
  <c r="K6" i="27"/>
  <c r="L44" i="26"/>
  <c r="K44" i="26"/>
  <c r="L41" i="26"/>
  <c r="K41" i="26"/>
  <c r="L40" i="26"/>
  <c r="K40" i="26"/>
  <c r="L39" i="26"/>
  <c r="K39" i="26"/>
  <c r="L36" i="26"/>
  <c r="K36" i="26"/>
  <c r="L35" i="26"/>
  <c r="K35" i="26"/>
  <c r="L32" i="26"/>
  <c r="K32" i="26"/>
  <c r="L31" i="26"/>
  <c r="K31" i="26"/>
  <c r="L30" i="26"/>
  <c r="K30" i="26"/>
  <c r="L29" i="26"/>
  <c r="K29" i="26"/>
  <c r="L28" i="26"/>
  <c r="K28" i="26"/>
  <c r="L25" i="26"/>
  <c r="K25" i="26"/>
  <c r="L24" i="26"/>
  <c r="K24" i="26"/>
  <c r="L21" i="26"/>
  <c r="K21" i="26"/>
  <c r="L18" i="26"/>
  <c r="L17" i="26"/>
  <c r="L14" i="26"/>
  <c r="K14" i="26"/>
  <c r="L13" i="26"/>
  <c r="K13" i="26"/>
  <c r="L12" i="26"/>
  <c r="K12" i="26"/>
  <c r="L9" i="26"/>
  <c r="K9" i="26"/>
  <c r="L6" i="26"/>
  <c r="K6" i="26"/>
  <c r="P6" i="25"/>
  <c r="P37" i="23"/>
  <c r="O37" i="23"/>
  <c r="P36" i="23"/>
  <c r="O36" i="23"/>
  <c r="P35" i="23"/>
  <c r="O35" i="23"/>
  <c r="P32" i="23"/>
  <c r="O32" i="23"/>
  <c r="P31" i="23"/>
  <c r="O31" i="23"/>
  <c r="P28" i="23"/>
  <c r="O28" i="23"/>
  <c r="P27" i="23"/>
  <c r="O27" i="23"/>
  <c r="P24" i="23"/>
  <c r="O24" i="23"/>
  <c r="P23" i="23"/>
  <c r="O23" i="23"/>
  <c r="P20" i="23"/>
  <c r="O20" i="23"/>
  <c r="P17" i="23"/>
  <c r="O17" i="23"/>
  <c r="P16" i="23"/>
  <c r="O16" i="23"/>
  <c r="P13" i="23"/>
  <c r="O13" i="23"/>
  <c r="P12" i="23"/>
  <c r="O12" i="23"/>
  <c r="P9" i="23"/>
  <c r="O9" i="23"/>
  <c r="P6" i="23"/>
  <c r="O6" i="23"/>
  <c r="P23" i="22"/>
  <c r="O23" i="22"/>
  <c r="P22" i="22"/>
  <c r="O22" i="22"/>
  <c r="P21" i="22"/>
  <c r="O21" i="22"/>
  <c r="P18" i="22"/>
  <c r="O18" i="22"/>
  <c r="P17" i="22"/>
  <c r="O17" i="22"/>
  <c r="P16" i="22"/>
  <c r="O16" i="22"/>
  <c r="P13" i="22"/>
  <c r="O13" i="22"/>
  <c r="P10" i="22"/>
  <c r="O10" i="22"/>
  <c r="P9" i="22"/>
  <c r="O9" i="22"/>
  <c r="P6" i="22"/>
  <c r="O6" i="22"/>
  <c r="L6" i="21"/>
  <c r="L6" i="20"/>
  <c r="K6" i="20"/>
  <c r="L13" i="19"/>
  <c r="K13" i="19"/>
  <c r="L12" i="19"/>
  <c r="K12" i="19"/>
  <c r="L9" i="19"/>
  <c r="K9" i="19"/>
  <c r="L6" i="19"/>
  <c r="K6" i="19"/>
  <c r="L6" i="18"/>
  <c r="K6" i="18"/>
  <c r="L57" i="15"/>
  <c r="K57" i="15"/>
  <c r="L56" i="15"/>
  <c r="K56" i="15"/>
  <c r="L55" i="15"/>
  <c r="K55" i="15"/>
  <c r="L54" i="15"/>
  <c r="K54" i="15"/>
  <c r="L51" i="15"/>
  <c r="K51" i="15"/>
  <c r="L50" i="15"/>
  <c r="K50" i="15"/>
  <c r="L49" i="15"/>
  <c r="K49" i="15"/>
  <c r="L46" i="15"/>
  <c r="K46" i="15"/>
  <c r="L45" i="15"/>
  <c r="K45" i="15"/>
  <c r="L42" i="15"/>
  <c r="K42" i="15"/>
  <c r="L41" i="15"/>
  <c r="K41" i="15"/>
  <c r="L40" i="15"/>
  <c r="K40" i="15"/>
  <c r="L39" i="15"/>
  <c r="K39" i="15"/>
  <c r="L36" i="15"/>
  <c r="K36" i="15"/>
  <c r="L35" i="15"/>
  <c r="K35" i="15"/>
  <c r="L34" i="15"/>
  <c r="K34" i="15"/>
  <c r="L31" i="15"/>
  <c r="K31" i="15"/>
  <c r="L28" i="15"/>
  <c r="K28" i="15"/>
  <c r="L25" i="15"/>
  <c r="K25" i="15"/>
  <c r="L22" i="15"/>
  <c r="K22" i="15"/>
  <c r="L19" i="15"/>
  <c r="K19" i="15"/>
  <c r="L16" i="15"/>
  <c r="K16" i="15"/>
  <c r="L15" i="15"/>
  <c r="K15" i="15"/>
  <c r="L14" i="15"/>
  <c r="K14" i="15"/>
  <c r="L11" i="15"/>
  <c r="K11" i="15"/>
  <c r="L10" i="15"/>
  <c r="K10" i="15"/>
  <c r="L9" i="15"/>
  <c r="K9" i="15"/>
  <c r="L6" i="15"/>
  <c r="K6" i="15"/>
  <c r="L47" i="14"/>
  <c r="K47" i="14"/>
  <c r="L46" i="14"/>
  <c r="K46" i="14"/>
  <c r="L43" i="14"/>
  <c r="K43" i="14"/>
  <c r="L42" i="14"/>
  <c r="K42" i="14"/>
  <c r="L41" i="14"/>
  <c r="K41" i="14"/>
  <c r="L40" i="14"/>
  <c r="K40" i="14"/>
  <c r="L39" i="14"/>
  <c r="K39" i="14"/>
  <c r="L38" i="14"/>
  <c r="K38" i="14"/>
  <c r="L37" i="14"/>
  <c r="K37" i="14"/>
  <c r="L34" i="14"/>
  <c r="K34" i="14"/>
  <c r="L33" i="14"/>
  <c r="K33" i="14"/>
  <c r="L32" i="14"/>
  <c r="K32" i="14"/>
  <c r="L31" i="14"/>
  <c r="K31" i="14"/>
  <c r="L30" i="14"/>
  <c r="K30" i="14"/>
  <c r="L27" i="14"/>
  <c r="L26" i="14"/>
  <c r="K26" i="14"/>
  <c r="L23" i="14"/>
  <c r="K23" i="14"/>
  <c r="L20" i="14"/>
  <c r="K20" i="14"/>
  <c r="L17" i="14"/>
  <c r="K17" i="14"/>
  <c r="L14" i="14"/>
  <c r="K14" i="14"/>
  <c r="L13" i="14"/>
  <c r="K13" i="14"/>
  <c r="L10" i="14"/>
  <c r="K10" i="14"/>
  <c r="L7" i="14"/>
  <c r="K7" i="14"/>
  <c r="L6" i="14"/>
  <c r="K6" i="14"/>
  <c r="L12" i="13"/>
  <c r="K12" i="13"/>
  <c r="L11" i="13"/>
  <c r="K11" i="13"/>
  <c r="L10" i="13"/>
  <c r="L9" i="13"/>
  <c r="K9" i="13"/>
  <c r="L6" i="13"/>
  <c r="K6" i="13"/>
  <c r="L7" i="12"/>
  <c r="K7" i="12"/>
  <c r="L6" i="12"/>
  <c r="K6" i="12"/>
  <c r="L10" i="11"/>
  <c r="K10" i="11"/>
  <c r="L9" i="11"/>
  <c r="K9" i="11"/>
  <c r="L6" i="11"/>
  <c r="K6" i="11"/>
  <c r="L88" i="10"/>
  <c r="K88" i="10"/>
  <c r="L85" i="10"/>
  <c r="K85" i="10"/>
  <c r="L84" i="10"/>
  <c r="K84" i="10"/>
  <c r="L83" i="10"/>
  <c r="K83" i="10"/>
  <c r="L82" i="10"/>
  <c r="K82" i="10"/>
  <c r="L79" i="10"/>
  <c r="K79" i="10"/>
  <c r="L78" i="10"/>
  <c r="K78" i="10"/>
  <c r="L77" i="10"/>
  <c r="L76" i="10"/>
  <c r="K76" i="10"/>
  <c r="L75" i="10"/>
  <c r="K75" i="10"/>
  <c r="L74" i="10"/>
  <c r="K74" i="10"/>
  <c r="L71" i="10"/>
  <c r="K71" i="10"/>
  <c r="L70" i="10"/>
  <c r="K70" i="10"/>
  <c r="L69" i="10"/>
  <c r="K69" i="10"/>
  <c r="L68" i="10"/>
  <c r="L67" i="10"/>
  <c r="K67" i="10"/>
  <c r="L66" i="10"/>
  <c r="K66" i="10"/>
  <c r="L65" i="10"/>
  <c r="K65" i="10"/>
  <c r="L64" i="10"/>
  <c r="K64" i="10"/>
  <c r="L61" i="10"/>
  <c r="K61" i="10"/>
  <c r="L60" i="10"/>
  <c r="K60" i="10"/>
  <c r="L59" i="10"/>
  <c r="K59" i="10"/>
  <c r="L58" i="10"/>
  <c r="K58" i="10"/>
  <c r="L57" i="10"/>
  <c r="L56" i="10"/>
  <c r="K56" i="10"/>
  <c r="L55" i="10"/>
  <c r="K55" i="10"/>
  <c r="L54" i="10"/>
  <c r="K54" i="10"/>
  <c r="L53" i="10"/>
  <c r="K53" i="10"/>
  <c r="L52" i="10"/>
  <c r="K52" i="10"/>
  <c r="L49" i="10"/>
  <c r="K49" i="10"/>
  <c r="L48" i="10"/>
  <c r="K48" i="10"/>
  <c r="L47" i="10"/>
  <c r="K47" i="10"/>
  <c r="L46" i="10"/>
  <c r="K46" i="10"/>
  <c r="L45" i="10"/>
  <c r="K45" i="10"/>
  <c r="L42" i="10"/>
  <c r="K42" i="10"/>
  <c r="L41" i="10"/>
  <c r="K41" i="10"/>
  <c r="L40" i="10"/>
  <c r="K40" i="10"/>
  <c r="L37" i="10"/>
  <c r="K37" i="10"/>
  <c r="L34" i="10"/>
  <c r="K34" i="10"/>
  <c r="L31" i="10"/>
  <c r="K31" i="10"/>
  <c r="L28" i="10"/>
  <c r="K28" i="10"/>
  <c r="L27" i="10"/>
  <c r="K27" i="10"/>
  <c r="L26" i="10"/>
  <c r="K26" i="10"/>
  <c r="L25" i="10"/>
  <c r="K25" i="10"/>
  <c r="L22" i="10"/>
  <c r="K22" i="10"/>
  <c r="L21" i="10"/>
  <c r="K21" i="10"/>
  <c r="L20" i="10"/>
  <c r="K20" i="10"/>
  <c r="L19" i="10"/>
  <c r="K19" i="10"/>
  <c r="L18" i="10"/>
  <c r="K18" i="10"/>
  <c r="L17" i="10"/>
  <c r="K17" i="10"/>
  <c r="L14" i="10"/>
  <c r="K14" i="10"/>
  <c r="L11" i="10"/>
  <c r="K11" i="10"/>
  <c r="L10" i="10"/>
  <c r="K10" i="10"/>
  <c r="L7" i="10"/>
  <c r="K7" i="10"/>
  <c r="L6" i="10"/>
  <c r="K6" i="10"/>
  <c r="L61" i="9"/>
  <c r="K61" i="9"/>
  <c r="L60" i="9"/>
  <c r="K60" i="9"/>
  <c r="L57" i="9"/>
  <c r="K57" i="9"/>
  <c r="L56" i="9"/>
  <c r="K56" i="9"/>
  <c r="L55" i="9"/>
  <c r="K55" i="9"/>
  <c r="L54" i="9"/>
  <c r="K54" i="9"/>
  <c r="L53" i="9"/>
  <c r="K53" i="9"/>
  <c r="L50" i="9"/>
  <c r="K50" i="9"/>
  <c r="L49" i="9"/>
  <c r="K49" i="9"/>
  <c r="L48" i="9"/>
  <c r="L47" i="9"/>
  <c r="K47" i="9"/>
  <c r="L46" i="9"/>
  <c r="L45" i="9"/>
  <c r="K45" i="9"/>
  <c r="L44" i="9"/>
  <c r="K44" i="9"/>
  <c r="L43" i="9"/>
  <c r="K43" i="9"/>
  <c r="L40" i="9"/>
  <c r="K40" i="9"/>
  <c r="L39" i="9"/>
  <c r="K39" i="9"/>
  <c r="L38" i="9"/>
  <c r="K38" i="9"/>
  <c r="L37" i="9"/>
  <c r="K37" i="9"/>
  <c r="L36" i="9"/>
  <c r="K36" i="9"/>
  <c r="L35" i="9"/>
  <c r="K35" i="9"/>
  <c r="L34" i="9"/>
  <c r="K34" i="9"/>
  <c r="L33" i="9"/>
  <c r="K33" i="9"/>
  <c r="L32" i="9"/>
  <c r="K32" i="9"/>
  <c r="L29" i="9"/>
  <c r="K29" i="9"/>
  <c r="L28" i="9"/>
  <c r="L27" i="9"/>
  <c r="L26" i="9"/>
  <c r="K26" i="9"/>
  <c r="L25" i="9"/>
  <c r="K25" i="9"/>
  <c r="L24" i="9"/>
  <c r="K24" i="9"/>
  <c r="L23" i="9"/>
  <c r="K23" i="9"/>
  <c r="L20" i="9"/>
  <c r="K20" i="9"/>
  <c r="L19" i="9"/>
  <c r="K19" i="9"/>
  <c r="L16" i="9"/>
  <c r="K16" i="9"/>
  <c r="L15" i="9"/>
  <c r="K15" i="9"/>
  <c r="L12" i="9"/>
  <c r="K12" i="9"/>
  <c r="L9" i="9"/>
  <c r="K9" i="9"/>
  <c r="L6" i="9"/>
  <c r="K6" i="9"/>
  <c r="T17" i="8"/>
  <c r="S17" i="8"/>
  <c r="T14" i="8"/>
  <c r="S14" i="8"/>
  <c r="T11" i="8"/>
  <c r="S11" i="8"/>
  <c r="T10" i="8"/>
  <c r="S10" i="8"/>
  <c r="T9" i="8"/>
  <c r="S9" i="8"/>
  <c r="T6" i="8"/>
  <c r="S6" i="8"/>
  <c r="T25" i="7"/>
  <c r="S25" i="7"/>
  <c r="T22" i="7"/>
  <c r="T21" i="7"/>
  <c r="T20" i="7"/>
  <c r="S20" i="7"/>
  <c r="T17" i="7"/>
  <c r="S17" i="7"/>
  <c r="T16" i="7"/>
  <c r="S16" i="7"/>
  <c r="T15" i="7"/>
  <c r="S15" i="7"/>
  <c r="T12" i="7"/>
  <c r="S12" i="7"/>
  <c r="T9" i="7"/>
  <c r="S9" i="7"/>
  <c r="T6" i="7"/>
  <c r="T100" i="6"/>
  <c r="S100" i="6"/>
  <c r="T97" i="6"/>
  <c r="S97" i="6"/>
  <c r="T94" i="6"/>
  <c r="S94" i="6"/>
  <c r="T93" i="6"/>
  <c r="S93" i="6"/>
  <c r="T92" i="6"/>
  <c r="T91" i="6"/>
  <c r="S91" i="6"/>
  <c r="T90" i="6"/>
  <c r="S90" i="6"/>
  <c r="T89" i="6"/>
  <c r="S89" i="6"/>
  <c r="T86" i="6"/>
  <c r="S86" i="6"/>
  <c r="T85" i="6"/>
  <c r="S85" i="6"/>
  <c r="T84" i="6"/>
  <c r="S84" i="6"/>
  <c r="T83" i="6"/>
  <c r="S83" i="6"/>
  <c r="T82" i="6"/>
  <c r="S82" i="6"/>
  <c r="T81" i="6"/>
  <c r="S81" i="6"/>
  <c r="T80" i="6"/>
  <c r="S80" i="6"/>
  <c r="T77" i="6"/>
  <c r="S77" i="6"/>
  <c r="T76" i="6"/>
  <c r="S76" i="6"/>
  <c r="T75" i="6"/>
  <c r="S75" i="6"/>
  <c r="T74" i="6"/>
  <c r="S74" i="6"/>
  <c r="T73" i="6"/>
  <c r="S73" i="6"/>
  <c r="T72" i="6"/>
  <c r="S72" i="6"/>
  <c r="T71" i="6"/>
  <c r="S71" i="6"/>
  <c r="T70" i="6"/>
  <c r="S70" i="6"/>
  <c r="T69" i="6"/>
  <c r="S69" i="6"/>
  <c r="T68" i="6"/>
  <c r="S68" i="6"/>
  <c r="T65" i="6"/>
  <c r="S65" i="6"/>
  <c r="T64" i="6"/>
  <c r="S64" i="6"/>
  <c r="T63" i="6"/>
  <c r="S63" i="6"/>
  <c r="T62" i="6"/>
  <c r="S62" i="6"/>
  <c r="T61" i="6"/>
  <c r="S61" i="6"/>
  <c r="T60" i="6"/>
  <c r="S60" i="6"/>
  <c r="T59" i="6"/>
  <c r="S59" i="6"/>
  <c r="T56" i="6"/>
  <c r="S56" i="6"/>
  <c r="T55" i="6"/>
  <c r="S55" i="6"/>
  <c r="T54" i="6"/>
  <c r="T53" i="6"/>
  <c r="S53" i="6"/>
  <c r="T52" i="6"/>
  <c r="S52" i="6"/>
  <c r="T51" i="6"/>
  <c r="S51" i="6"/>
  <c r="T48" i="6"/>
  <c r="S48" i="6"/>
  <c r="T45" i="6"/>
  <c r="S45" i="6"/>
  <c r="T42" i="6"/>
  <c r="S42" i="6"/>
  <c r="T39" i="6"/>
  <c r="S39" i="6"/>
  <c r="T36" i="6"/>
  <c r="S36" i="6"/>
  <c r="T35" i="6"/>
  <c r="S35" i="6"/>
  <c r="T34" i="6"/>
  <c r="S34" i="6"/>
  <c r="T31" i="6"/>
  <c r="S31" i="6"/>
  <c r="T30" i="6"/>
  <c r="S30" i="6"/>
  <c r="T29" i="6"/>
  <c r="S29" i="6"/>
  <c r="T28" i="6"/>
  <c r="S28" i="6"/>
  <c r="T27" i="6"/>
  <c r="S27" i="6"/>
  <c r="T26" i="6"/>
  <c r="S26" i="6"/>
  <c r="T25" i="6"/>
  <c r="S25" i="6"/>
  <c r="T24" i="6"/>
  <c r="S24" i="6"/>
  <c r="T21" i="6"/>
  <c r="S21" i="6"/>
  <c r="T18" i="6"/>
  <c r="S18" i="6"/>
  <c r="T17" i="6"/>
  <c r="S17" i="6"/>
  <c r="T14" i="6"/>
  <c r="S14" i="6"/>
  <c r="T13" i="6"/>
  <c r="S13" i="6"/>
  <c r="T12" i="6"/>
  <c r="S12" i="6"/>
  <c r="T11" i="6"/>
  <c r="S11" i="6"/>
  <c r="T8" i="6"/>
  <c r="S8" i="6"/>
  <c r="T7" i="6"/>
  <c r="S7" i="6"/>
  <c r="T6" i="6"/>
  <c r="S6" i="6"/>
  <c r="T60" i="5"/>
  <c r="S60" i="5"/>
  <c r="T59" i="5"/>
  <c r="S59" i="5"/>
  <c r="T58" i="5"/>
  <c r="S58" i="5"/>
  <c r="T55" i="5"/>
  <c r="T54" i="5"/>
  <c r="S54" i="5"/>
  <c r="T53" i="5"/>
  <c r="S53" i="5"/>
  <c r="T52" i="5"/>
  <c r="S52" i="5"/>
  <c r="T49" i="5"/>
  <c r="S49" i="5"/>
  <c r="T48" i="5"/>
  <c r="T47" i="5"/>
  <c r="S47" i="5"/>
  <c r="T46" i="5"/>
  <c r="S46" i="5"/>
  <c r="T45" i="5"/>
  <c r="S45" i="5"/>
  <c r="T44" i="5"/>
  <c r="S44" i="5"/>
  <c r="T43" i="5"/>
  <c r="S43" i="5"/>
  <c r="T42" i="5"/>
  <c r="S42" i="5"/>
  <c r="T41" i="5"/>
  <c r="S41" i="5"/>
  <c r="T40" i="5"/>
  <c r="S40" i="5"/>
  <c r="T37" i="5"/>
  <c r="S37" i="5"/>
  <c r="T36" i="5"/>
  <c r="S36" i="5"/>
  <c r="T35" i="5"/>
  <c r="S35" i="5"/>
  <c r="T34" i="5"/>
  <c r="S34" i="5"/>
  <c r="T33" i="5"/>
  <c r="S33" i="5"/>
  <c r="T32" i="5"/>
  <c r="S32" i="5"/>
  <c r="T31" i="5"/>
  <c r="S31" i="5"/>
  <c r="T30" i="5"/>
  <c r="S30" i="5"/>
  <c r="T27" i="5"/>
  <c r="S27" i="5"/>
  <c r="T26" i="5"/>
  <c r="S26" i="5"/>
  <c r="T25" i="5"/>
  <c r="S25" i="5"/>
  <c r="T22" i="5"/>
  <c r="T21" i="5"/>
  <c r="S21" i="5"/>
  <c r="T20" i="5"/>
  <c r="S20" i="5"/>
  <c r="T17" i="5"/>
  <c r="S17" i="5"/>
  <c r="T14" i="5"/>
  <c r="T13" i="5"/>
  <c r="S13" i="5"/>
  <c r="T10" i="5"/>
  <c r="S10" i="5"/>
  <c r="T7" i="5"/>
  <c r="S7" i="5"/>
  <c r="T6" i="5"/>
  <c r="S6" i="5"/>
</calcChain>
</file>

<file path=xl/sharedStrings.xml><?xml version="1.0" encoding="utf-8"?>
<sst xmlns="http://schemas.openxmlformats.org/spreadsheetml/2006/main" count="5800" uniqueCount="1444">
  <si>
    <t>ФИО</t>
  </si>
  <si>
    <t>Сумма</t>
  </si>
  <si>
    <t>Тренер</t>
  </si>
  <si>
    <t>Очки</t>
  </si>
  <si>
    <t>Рек</t>
  </si>
  <si>
    <t>Город/Область</t>
  </si>
  <si>
    <t>Вес</t>
  </si>
  <si>
    <t>Повторы</t>
  </si>
  <si>
    <t>Собственный 
вес</t>
  </si>
  <si>
    <t>Приседание</t>
  </si>
  <si>
    <t>Жим лёжа</t>
  </si>
  <si>
    <t>Становая тяга</t>
  </si>
  <si>
    <t>ВЕСОВАЯ КАТЕГОРИЯ   67.5</t>
  </si>
  <si>
    <t>Пархоменко Ольга</t>
  </si>
  <si>
    <t>Открытая (12.11.1988)/32</t>
  </si>
  <si>
    <t>65,50</t>
  </si>
  <si>
    <t xml:space="preserve">Москва </t>
  </si>
  <si>
    <t>100,0</t>
  </si>
  <si>
    <t>105,0</t>
  </si>
  <si>
    <t>110,0</t>
  </si>
  <si>
    <t>75,0</t>
  </si>
  <si>
    <t>77,5</t>
  </si>
  <si>
    <t>120,0</t>
  </si>
  <si>
    <t>125,0</t>
  </si>
  <si>
    <t>Кондрашева Нина</t>
  </si>
  <si>
    <t>66,60</t>
  </si>
  <si>
    <t xml:space="preserve">Тында/Амурская область </t>
  </si>
  <si>
    <t>115,0</t>
  </si>
  <si>
    <t>122,5</t>
  </si>
  <si>
    <t>132,5</t>
  </si>
  <si>
    <t>67,5</t>
  </si>
  <si>
    <t>70,0</t>
  </si>
  <si>
    <t>135,0</t>
  </si>
  <si>
    <t>145,0</t>
  </si>
  <si>
    <t>ВЕСОВАЯ КАТЕГОРИЯ   82.5</t>
  </si>
  <si>
    <t>Клинцова Мария</t>
  </si>
  <si>
    <t>Открытая (31.01.1987)/34</t>
  </si>
  <si>
    <t>82,00</t>
  </si>
  <si>
    <t>165,0</t>
  </si>
  <si>
    <t>172,5</t>
  </si>
  <si>
    <t>175,0</t>
  </si>
  <si>
    <t>82,5</t>
  </si>
  <si>
    <t>90,0</t>
  </si>
  <si>
    <t>185,0</t>
  </si>
  <si>
    <t xml:space="preserve">Мельников А. </t>
  </si>
  <si>
    <t>ВЕСОВАЯ КАТЕГОРИЯ   90+</t>
  </si>
  <si>
    <t>Курдюкова Екатерина</t>
  </si>
  <si>
    <t>Открытая (07.10.1981)/39</t>
  </si>
  <si>
    <t>91,20</t>
  </si>
  <si>
    <t>150,0</t>
  </si>
  <si>
    <t>65,0</t>
  </si>
  <si>
    <t>160,0</t>
  </si>
  <si>
    <t>170,0</t>
  </si>
  <si>
    <t>Осипова Ольга</t>
  </si>
  <si>
    <t>Открытая (07.06.1973)/48</t>
  </si>
  <si>
    <t>101,40</t>
  </si>
  <si>
    <t>190,0</t>
  </si>
  <si>
    <t>ВЕСОВАЯ КАТЕГОРИЯ   60</t>
  </si>
  <si>
    <t>Никулин Алексей</t>
  </si>
  <si>
    <t>Открытая (01.11.1982)/38</t>
  </si>
  <si>
    <t>57,60</t>
  </si>
  <si>
    <t xml:space="preserve">Дзержинский/Московская область </t>
  </si>
  <si>
    <t>255,0</t>
  </si>
  <si>
    <t>270,0</t>
  </si>
  <si>
    <t>280,0</t>
  </si>
  <si>
    <t>130,0</t>
  </si>
  <si>
    <t>240,0</t>
  </si>
  <si>
    <t>260,0</t>
  </si>
  <si>
    <t>ВЕСОВАЯ КАТЕГОРИЯ   75</t>
  </si>
  <si>
    <t>Морозов Ярослав</t>
  </si>
  <si>
    <t>75,00</t>
  </si>
  <si>
    <t xml:space="preserve">Новосибирск/Новосибирская область </t>
  </si>
  <si>
    <t>180,0</t>
  </si>
  <si>
    <t>187,5</t>
  </si>
  <si>
    <t>197,5</t>
  </si>
  <si>
    <t>140,0</t>
  </si>
  <si>
    <t>147,5</t>
  </si>
  <si>
    <t>155,0</t>
  </si>
  <si>
    <t>195,0</t>
  </si>
  <si>
    <t>210,0</t>
  </si>
  <si>
    <t xml:space="preserve">Никулин А. </t>
  </si>
  <si>
    <t>Майоров Владислав</t>
  </si>
  <si>
    <t>73,80</t>
  </si>
  <si>
    <t>127,5</t>
  </si>
  <si>
    <t>192,5</t>
  </si>
  <si>
    <t>200,0</t>
  </si>
  <si>
    <t>Гусев Герман</t>
  </si>
  <si>
    <t>Открытая (04.08.1990)/30</t>
  </si>
  <si>
    <t>Шишкин Денис</t>
  </si>
  <si>
    <t>Открытая (20.04.1983)/38</t>
  </si>
  <si>
    <t>81,70</t>
  </si>
  <si>
    <t>225,0</t>
  </si>
  <si>
    <t>235,0</t>
  </si>
  <si>
    <t>290,0</t>
  </si>
  <si>
    <t>300,0</t>
  </si>
  <si>
    <t>Тихомиров Константин</t>
  </si>
  <si>
    <t>Открытая (10.07.1982)/38</t>
  </si>
  <si>
    <t>81,20</t>
  </si>
  <si>
    <t>250,0</t>
  </si>
  <si>
    <t xml:space="preserve">Золотаренок А. </t>
  </si>
  <si>
    <t>Шахурин Василий</t>
  </si>
  <si>
    <t>Открытая (21.12.1985)/35</t>
  </si>
  <si>
    <t>81,80</t>
  </si>
  <si>
    <t>137,5</t>
  </si>
  <si>
    <t>205,0</t>
  </si>
  <si>
    <t>ВЕСОВАЯ КАТЕГОРИЯ   90</t>
  </si>
  <si>
    <t>Мацько Игорь</t>
  </si>
  <si>
    <t>Открытая (24.05.1993)/28</t>
  </si>
  <si>
    <t>87,30</t>
  </si>
  <si>
    <t>265,0</t>
  </si>
  <si>
    <t>275,0</t>
  </si>
  <si>
    <t>207,5</t>
  </si>
  <si>
    <t>320,0</t>
  </si>
  <si>
    <t>330,5</t>
  </si>
  <si>
    <t>337,5</t>
  </si>
  <si>
    <t>Панкратов Максим</t>
  </si>
  <si>
    <t>Открытая (06.06.1995)/26</t>
  </si>
  <si>
    <t>86,80</t>
  </si>
  <si>
    <t xml:space="preserve">Дзержинск/Нижегородская область </t>
  </si>
  <si>
    <t>220,0</t>
  </si>
  <si>
    <t>310,0</t>
  </si>
  <si>
    <t>Борисов Александр</t>
  </si>
  <si>
    <t>Открытая (03.06.1997)/24</t>
  </si>
  <si>
    <t>88,60</t>
  </si>
  <si>
    <t xml:space="preserve">Арзамас/Нижегородская область </t>
  </si>
  <si>
    <t>227,5</t>
  </si>
  <si>
    <t>167,5</t>
  </si>
  <si>
    <t>245,0</t>
  </si>
  <si>
    <t>257,5</t>
  </si>
  <si>
    <t>Трофимов Алексей</t>
  </si>
  <si>
    <t>Открытая (27.02.1996)/25</t>
  </si>
  <si>
    <t>89,70</t>
  </si>
  <si>
    <t>215,0</t>
  </si>
  <si>
    <t>230,0</t>
  </si>
  <si>
    <t xml:space="preserve">Панкратов М. </t>
  </si>
  <si>
    <t>Жаднов Евгений</t>
  </si>
  <si>
    <t>Открытая (11.06.1996)/25</t>
  </si>
  <si>
    <t>88,70</t>
  </si>
  <si>
    <t xml:space="preserve">Ковров/Владимирская область </t>
  </si>
  <si>
    <t>Корнилов Евгений</t>
  </si>
  <si>
    <t>Открытая (10.05.1991)/30</t>
  </si>
  <si>
    <t>88,90</t>
  </si>
  <si>
    <t xml:space="preserve">Юрьев-Польский/Владимирская область </t>
  </si>
  <si>
    <t>Рогозин Иван</t>
  </si>
  <si>
    <t>Открытая (09.07.1996)/24</t>
  </si>
  <si>
    <t>88,40</t>
  </si>
  <si>
    <t xml:space="preserve">Атанов Р. </t>
  </si>
  <si>
    <t>Угодин Сергей</t>
  </si>
  <si>
    <t>Открытая (14.07.1982)/38</t>
  </si>
  <si>
    <t>85,80</t>
  </si>
  <si>
    <t xml:space="preserve">Петрушкин Р. </t>
  </si>
  <si>
    <t>ВЕСОВАЯ КАТЕГОРИЯ   100</t>
  </si>
  <si>
    <t>Решетников Александр</t>
  </si>
  <si>
    <t>99,70</t>
  </si>
  <si>
    <t xml:space="preserve">Киров/Кировская область </t>
  </si>
  <si>
    <t>312,5</t>
  </si>
  <si>
    <t>340,0</t>
  </si>
  <si>
    <t>350,0</t>
  </si>
  <si>
    <t>Белкин Юрий</t>
  </si>
  <si>
    <t>Открытая (05.12.1990)/30</t>
  </si>
  <si>
    <t>99,60</t>
  </si>
  <si>
    <t>295,0</t>
  </si>
  <si>
    <t>322,5</t>
  </si>
  <si>
    <t>222,5</t>
  </si>
  <si>
    <t>405,0</t>
  </si>
  <si>
    <t>425,0</t>
  </si>
  <si>
    <t>Открытая (22.02.1999)/22</t>
  </si>
  <si>
    <t>Швецов Анатолий</t>
  </si>
  <si>
    <t>Открытая (14.09.1985)/35</t>
  </si>
  <si>
    <t>98,50</t>
  </si>
  <si>
    <t xml:space="preserve">Балашиха/Московская область </t>
  </si>
  <si>
    <t>262,5</t>
  </si>
  <si>
    <t>Кольца Ярослав</t>
  </si>
  <si>
    <t>Открытая (14.09.1988)/32</t>
  </si>
  <si>
    <t>98,70</t>
  </si>
  <si>
    <t xml:space="preserve">Мурманск/Мурманская область </t>
  </si>
  <si>
    <t>Гулевский Александр</t>
  </si>
  <si>
    <t>Открытая (25.05.1987)/34</t>
  </si>
  <si>
    <t>94,20</t>
  </si>
  <si>
    <t>Лукьянов Евгений</t>
  </si>
  <si>
    <t>Открытая (06.02.1981)/40</t>
  </si>
  <si>
    <t>96,50</t>
  </si>
  <si>
    <t xml:space="preserve">Радужный/Владимирская область </t>
  </si>
  <si>
    <t>202,5</t>
  </si>
  <si>
    <t>Соколов Дмитрий</t>
  </si>
  <si>
    <t>Открытая (18.07.1986)/34</t>
  </si>
  <si>
    <t>90,20</t>
  </si>
  <si>
    <t>95,0</t>
  </si>
  <si>
    <t>Денискин Сергей</t>
  </si>
  <si>
    <t>Открытая (28.08.1995)/25</t>
  </si>
  <si>
    <t>Коньков Андрей</t>
  </si>
  <si>
    <t xml:space="preserve">Раменское/Московская область </t>
  </si>
  <si>
    <t>ВЕСОВАЯ КАТЕГОРИЯ   110</t>
  </si>
  <si>
    <t>Гусев Сергей</t>
  </si>
  <si>
    <t>Открытая (11.01.1988)/33</t>
  </si>
  <si>
    <t>109,60</t>
  </si>
  <si>
    <t xml:space="preserve">Солигалич/Костромская область </t>
  </si>
  <si>
    <t>272,5</t>
  </si>
  <si>
    <t>285,0</t>
  </si>
  <si>
    <t xml:space="preserve">Куликов С. </t>
  </si>
  <si>
    <t>Загороднюк Иван</t>
  </si>
  <si>
    <t>Открытая (02.05.1997)/24</t>
  </si>
  <si>
    <t>109,20</t>
  </si>
  <si>
    <t>305,0</t>
  </si>
  <si>
    <t xml:space="preserve">Смирнов Д. </t>
  </si>
  <si>
    <t>Воронин Александр</t>
  </si>
  <si>
    <t>Открытая (26.03.1995)/26</t>
  </si>
  <si>
    <t>107,50</t>
  </si>
  <si>
    <t>Абрамов Александр</t>
  </si>
  <si>
    <t>Открытая (14.05.1991)/30</t>
  </si>
  <si>
    <t>108,70</t>
  </si>
  <si>
    <t xml:space="preserve">Санкт-Петербург </t>
  </si>
  <si>
    <t>ВЕСОВАЯ КАТЕГОРИЯ   125</t>
  </si>
  <si>
    <t>Туляков Никита</t>
  </si>
  <si>
    <t>Открытая (23.02.1988)/33</t>
  </si>
  <si>
    <t>124,20</t>
  </si>
  <si>
    <t>182,5</t>
  </si>
  <si>
    <t>Стрежнев Сергей</t>
  </si>
  <si>
    <t>Открытая (19.09.1996)/24</t>
  </si>
  <si>
    <t>122,50</t>
  </si>
  <si>
    <t xml:space="preserve">Екатеринбург/Свердловская область </t>
  </si>
  <si>
    <t>282,5</t>
  </si>
  <si>
    <t>Макаренко Алексей</t>
  </si>
  <si>
    <t>Открытая (22.02.1981)/40</t>
  </si>
  <si>
    <t>119,50</t>
  </si>
  <si>
    <t xml:space="preserve">Подольск/Московская область </t>
  </si>
  <si>
    <t xml:space="preserve">Крылов В. 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</si>
  <si>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</si>
  <si>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</si>
  <si>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</si>
  <si>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</si>
  <si>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</si>
  <si>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</si>
  <si>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</si>
  <si>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</si>
  <si>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>82.5</t>
  </si>
  <si>
    <t>67.5</t>
  </si>
  <si>
    <t xml:space="preserve">Мастера </t>
  </si>
  <si>
    <t>342,5</t>
  </si>
  <si>
    <t xml:space="preserve">Мужчины </t>
  </si>
  <si>
    <t>100</t>
  </si>
  <si>
    <t>890,0</t>
  </si>
  <si>
    <t>542,2770</t>
  </si>
  <si>
    <t>75</t>
  </si>
  <si>
    <t>955,0</t>
  </si>
  <si>
    <t>582,1680</t>
  </si>
  <si>
    <t>60</t>
  </si>
  <si>
    <t>650,0</t>
  </si>
  <si>
    <t>575,8350</t>
  </si>
  <si>
    <t>1</t>
  </si>
  <si>
    <t/>
  </si>
  <si>
    <t>-</t>
  </si>
  <si>
    <t>2</t>
  </si>
  <si>
    <t>3</t>
  </si>
  <si>
    <t>4</t>
  </si>
  <si>
    <t>5</t>
  </si>
  <si>
    <t>6</t>
  </si>
  <si>
    <t>7</t>
  </si>
  <si>
    <t>8</t>
  </si>
  <si>
    <t>ВЕСОВАЯ КАТЕГОРИЯ   48</t>
  </si>
  <si>
    <t>Дегтярева Юлия</t>
  </si>
  <si>
    <t>Открытая (08.09.1990)/30</t>
  </si>
  <si>
    <t>47,30</t>
  </si>
  <si>
    <t xml:space="preserve">Зеленоград/Московская область </t>
  </si>
  <si>
    <t>112,5</t>
  </si>
  <si>
    <t>117,5</t>
  </si>
  <si>
    <t>60,0</t>
  </si>
  <si>
    <t>152,5</t>
  </si>
  <si>
    <t>157,5</t>
  </si>
  <si>
    <t xml:space="preserve">Сакович О. </t>
  </si>
  <si>
    <t>Лопухова Мария</t>
  </si>
  <si>
    <t>Открытая (07.12.1997)/23</t>
  </si>
  <si>
    <t>47,90</t>
  </si>
  <si>
    <t>85,0</t>
  </si>
  <si>
    <t>92,5</t>
  </si>
  <si>
    <t>40,0</t>
  </si>
  <si>
    <t>42,5</t>
  </si>
  <si>
    <t>45,0</t>
  </si>
  <si>
    <t xml:space="preserve">Моргулец Д. </t>
  </si>
  <si>
    <t>Евсеева Екатерина</t>
  </si>
  <si>
    <t>Открытая (05.08.1986)/34</t>
  </si>
  <si>
    <t>46,00</t>
  </si>
  <si>
    <t xml:space="preserve">Тула/Тульская область </t>
  </si>
  <si>
    <t>50,0</t>
  </si>
  <si>
    <t>25,0</t>
  </si>
  <si>
    <t>27,5</t>
  </si>
  <si>
    <t>30,0</t>
  </si>
  <si>
    <t>72,5</t>
  </si>
  <si>
    <t xml:space="preserve">Москвин А. </t>
  </si>
  <si>
    <t>ВЕСОВАЯ КАТЕГОРИЯ   52</t>
  </si>
  <si>
    <t>Фролова Арина</t>
  </si>
  <si>
    <t>Девушки 15-19 (20.01.2002)/19</t>
  </si>
  <si>
    <t>51,30</t>
  </si>
  <si>
    <t>80,0</t>
  </si>
  <si>
    <t>47,5</t>
  </si>
  <si>
    <t>Петрушкина Виктория</t>
  </si>
  <si>
    <t>Девушки 15-19 (26.04.2006)/15</t>
  </si>
  <si>
    <t>51,00</t>
  </si>
  <si>
    <t>87,5</t>
  </si>
  <si>
    <t>Лебедикова Евгения</t>
  </si>
  <si>
    <t>Открытая (23.03.1995)/26</t>
  </si>
  <si>
    <t>51,10</t>
  </si>
  <si>
    <t xml:space="preserve">Курск/Курская область </t>
  </si>
  <si>
    <t>52,5</t>
  </si>
  <si>
    <t xml:space="preserve">Лебедиков Е. </t>
  </si>
  <si>
    <t>Россохина Людмила</t>
  </si>
  <si>
    <t>Открытая (03.10.1986)/34</t>
  </si>
  <si>
    <t xml:space="preserve">Пермь/Пермский край </t>
  </si>
  <si>
    <t>55,0</t>
  </si>
  <si>
    <t>62,5</t>
  </si>
  <si>
    <t xml:space="preserve">Головизнин Н. </t>
  </si>
  <si>
    <t>ВЕСОВАЯ КАТЕГОРИЯ   56</t>
  </si>
  <si>
    <t>Клочкова Ирина</t>
  </si>
  <si>
    <t>Открытая (06.05.1985)/36</t>
  </si>
  <si>
    <t>55,40</t>
  </si>
  <si>
    <t>35,0</t>
  </si>
  <si>
    <t>37,5</t>
  </si>
  <si>
    <t>Синицкая Ольга</t>
  </si>
  <si>
    <t>55,70</t>
  </si>
  <si>
    <t>97,5</t>
  </si>
  <si>
    <t>Ярославцева Ольга</t>
  </si>
  <si>
    <t>Открытая (27.08.1988)/32</t>
  </si>
  <si>
    <t>59,40</t>
  </si>
  <si>
    <t>Харина Валентина</t>
  </si>
  <si>
    <t>Открытая (24.12.1977)/43</t>
  </si>
  <si>
    <t>65,00</t>
  </si>
  <si>
    <t xml:space="preserve">Прокопов М. </t>
  </si>
  <si>
    <t>Ядрихинская Мария</t>
  </si>
  <si>
    <t>Открытая (09.07.1982)/38</t>
  </si>
  <si>
    <t>66,80</t>
  </si>
  <si>
    <t>Попова Мария</t>
  </si>
  <si>
    <t>Открытая (28.01.1984)/37</t>
  </si>
  <si>
    <t>65,20</t>
  </si>
  <si>
    <t>Абрамова Елена</t>
  </si>
  <si>
    <t>Открытая (28.06.1993)/27</t>
  </si>
  <si>
    <t>67,50</t>
  </si>
  <si>
    <t xml:space="preserve">Щёкино/Тульская область </t>
  </si>
  <si>
    <t>Леонтьева Дарья</t>
  </si>
  <si>
    <t>Открытая (26.01.1995)/26</t>
  </si>
  <si>
    <t xml:space="preserve">Ермолаев В. </t>
  </si>
  <si>
    <t>Кутепова Марина</t>
  </si>
  <si>
    <t>66,90</t>
  </si>
  <si>
    <t xml:space="preserve">Иваново/Ивановская область </t>
  </si>
  <si>
    <t>142,5</t>
  </si>
  <si>
    <t xml:space="preserve">Стасюк И. </t>
  </si>
  <si>
    <t>Григорьева Марина</t>
  </si>
  <si>
    <t>64,60</t>
  </si>
  <si>
    <t xml:space="preserve">Нижний Новгород/Нижегородская область </t>
  </si>
  <si>
    <t xml:space="preserve">Волжский А. </t>
  </si>
  <si>
    <t>Крайнова Анна</t>
  </si>
  <si>
    <t>Открытая (20.04.1997)/24</t>
  </si>
  <si>
    <t>70,80</t>
  </si>
  <si>
    <t>Алимова Диана</t>
  </si>
  <si>
    <t>Открытая (19.05.1990)/31</t>
  </si>
  <si>
    <t>73,40</t>
  </si>
  <si>
    <t xml:space="preserve">Туляков Н. </t>
  </si>
  <si>
    <t>Кардакова Наталья</t>
  </si>
  <si>
    <t>70,00</t>
  </si>
  <si>
    <t xml:space="preserve">Тверь/Тверская область </t>
  </si>
  <si>
    <t xml:space="preserve">Харина В. </t>
  </si>
  <si>
    <t>Башкатова Наталия</t>
  </si>
  <si>
    <t>81,00</t>
  </si>
  <si>
    <t xml:space="preserve">Конев Н. </t>
  </si>
  <si>
    <t>Сметанкина Вера</t>
  </si>
  <si>
    <t>91,80</t>
  </si>
  <si>
    <t>Утешов Ержан</t>
  </si>
  <si>
    <t>Юноши 15-19 (21.12.2004)/16</t>
  </si>
  <si>
    <t>54,90</t>
  </si>
  <si>
    <t xml:space="preserve">Харабали/Астраханская область </t>
  </si>
  <si>
    <t xml:space="preserve">Пересветов В. </t>
  </si>
  <si>
    <t>Лашманов Дмитрий</t>
  </si>
  <si>
    <t>Открытая (05.01.1996)/25</t>
  </si>
  <si>
    <t>57,80</t>
  </si>
  <si>
    <t>Соколов Данила</t>
  </si>
  <si>
    <t>Юноши 15-19 (08.03.2007)/14</t>
  </si>
  <si>
    <t>70,70</t>
  </si>
  <si>
    <t>Ахматов Илья</t>
  </si>
  <si>
    <t>Юноши 15-19 (27.06.2004)/16</t>
  </si>
  <si>
    <t>72,00</t>
  </si>
  <si>
    <t>162,5</t>
  </si>
  <si>
    <t>Зорин Никита</t>
  </si>
  <si>
    <t>Юноши 15-19 (21.09.2008)/12</t>
  </si>
  <si>
    <t>69,30</t>
  </si>
  <si>
    <t xml:space="preserve">Моисеев П. </t>
  </si>
  <si>
    <t>Кленюшин Алексей</t>
  </si>
  <si>
    <t>Юноши 15-19 (14.09.2004)/16</t>
  </si>
  <si>
    <t>74,50</t>
  </si>
  <si>
    <t xml:space="preserve">Родники/Ивановская область </t>
  </si>
  <si>
    <t xml:space="preserve">Коновалов А. </t>
  </si>
  <si>
    <t>Уханов Павел</t>
  </si>
  <si>
    <t>Открытая (30.11.1987)/33</t>
  </si>
  <si>
    <t>73,50</t>
  </si>
  <si>
    <t>Зайцев Андрей</t>
  </si>
  <si>
    <t xml:space="preserve">Бастрыкин А. </t>
  </si>
  <si>
    <t>Сметанкин Алексей</t>
  </si>
  <si>
    <t>Юноши 15-19 (26.09.2009)/11</t>
  </si>
  <si>
    <t>82,50</t>
  </si>
  <si>
    <t>Шашерин Артем</t>
  </si>
  <si>
    <t>Открытая (08.11.1984)/36</t>
  </si>
  <si>
    <t>80,60</t>
  </si>
  <si>
    <t xml:space="preserve">Великий Устюг/Вологодская область </t>
  </si>
  <si>
    <t xml:space="preserve">Рассохин А. </t>
  </si>
  <si>
    <t>Саркисян Аркадий</t>
  </si>
  <si>
    <t>Открытая (05.02.1993)/28</t>
  </si>
  <si>
    <t>81,90</t>
  </si>
  <si>
    <t>107,5</t>
  </si>
  <si>
    <t xml:space="preserve">Кузнецов Г. </t>
  </si>
  <si>
    <t>Заверняев Александр</t>
  </si>
  <si>
    <t>Открытая (17.10.1980)/40</t>
  </si>
  <si>
    <t xml:space="preserve">Судогда/Владимирская область </t>
  </si>
  <si>
    <t>212,5</t>
  </si>
  <si>
    <t>Абаринов Александр</t>
  </si>
  <si>
    <t>Открытая (01.06.1986)/35</t>
  </si>
  <si>
    <t>79,80</t>
  </si>
  <si>
    <t>Лялякин Вячеслав</t>
  </si>
  <si>
    <t>Открытая (02.01.1988)/33</t>
  </si>
  <si>
    <t>80,90</t>
  </si>
  <si>
    <t xml:space="preserve">Ногинск/Московская область </t>
  </si>
  <si>
    <t>Булатов Алексей</t>
  </si>
  <si>
    <t>Открытая (09.01.1986)/35</t>
  </si>
  <si>
    <t>80,50</t>
  </si>
  <si>
    <t>102,5</t>
  </si>
  <si>
    <t>Алимов Артём</t>
  </si>
  <si>
    <t>Юноши 15-19 (25.09.2004)/16</t>
  </si>
  <si>
    <t>86,00</t>
  </si>
  <si>
    <t>Щелыкальнов Александр</t>
  </si>
  <si>
    <t>86,30</t>
  </si>
  <si>
    <t xml:space="preserve">Гусь-Хрустальный/Владимирская область </t>
  </si>
  <si>
    <t xml:space="preserve">Кочнев Г. </t>
  </si>
  <si>
    <t>Воробьев Николай</t>
  </si>
  <si>
    <t>Открытая (07.08.1984)/36</t>
  </si>
  <si>
    <t>88,50</t>
  </si>
  <si>
    <t xml:space="preserve">Бор/Нижегородская область </t>
  </si>
  <si>
    <t>232,5</t>
  </si>
  <si>
    <t>277,5</t>
  </si>
  <si>
    <t>Головизнин Никита</t>
  </si>
  <si>
    <t>Открытая (24.11.1988)/32</t>
  </si>
  <si>
    <t>297,5</t>
  </si>
  <si>
    <t>Пашков Игорь</t>
  </si>
  <si>
    <t>Открытая (10.06.1986)/35</t>
  </si>
  <si>
    <t>86,60</t>
  </si>
  <si>
    <t>Гирко Владислав</t>
  </si>
  <si>
    <t>Открытая (19.09.1987)/33</t>
  </si>
  <si>
    <t>Киселев Андрей</t>
  </si>
  <si>
    <t>Открытая (31.10.1991)/29</t>
  </si>
  <si>
    <t xml:space="preserve">Владимир/Владимирская область </t>
  </si>
  <si>
    <t>Богдасаров Виталий</t>
  </si>
  <si>
    <t>Открытая (17.11.1992)/28</t>
  </si>
  <si>
    <t>89,60</t>
  </si>
  <si>
    <t>Киселев Евгений</t>
  </si>
  <si>
    <t>Открытая (23.08.1988)/32</t>
  </si>
  <si>
    <t xml:space="preserve">Ляпин Е. </t>
  </si>
  <si>
    <t>Бабанов Станислав</t>
  </si>
  <si>
    <t>Открытая (21.05.1983)/38</t>
  </si>
  <si>
    <t xml:space="preserve">Тамбов/Тамбовская область </t>
  </si>
  <si>
    <t>Коноплев Данила</t>
  </si>
  <si>
    <t>Юноши 15-19 (02.12.2005)/15</t>
  </si>
  <si>
    <t>92,50</t>
  </si>
  <si>
    <t>Сахаров Даниил</t>
  </si>
  <si>
    <t xml:space="preserve">Щёлково/Московская область </t>
  </si>
  <si>
    <t xml:space="preserve">Танаев М. </t>
  </si>
  <si>
    <t>Ляпин Евгений</t>
  </si>
  <si>
    <t>Открытая (03.06.1988)/33</t>
  </si>
  <si>
    <t>252,5</t>
  </si>
  <si>
    <t>177,5</t>
  </si>
  <si>
    <t>Майоров Александр</t>
  </si>
  <si>
    <t>Открытая (29.11.1980)/40</t>
  </si>
  <si>
    <t>96,90</t>
  </si>
  <si>
    <t>Марченко Артём</t>
  </si>
  <si>
    <t>Открытая (21.09.1988)/32</t>
  </si>
  <si>
    <t>96,40</t>
  </si>
  <si>
    <t xml:space="preserve">Краснозаводск/Московская область </t>
  </si>
  <si>
    <t>Третьяков Сергей</t>
  </si>
  <si>
    <t>99,20</t>
  </si>
  <si>
    <t xml:space="preserve">Сергиев Посад/Московская область </t>
  </si>
  <si>
    <t>217,5</t>
  </si>
  <si>
    <t xml:space="preserve">Кляузов С. </t>
  </si>
  <si>
    <t>Суворов Александр</t>
  </si>
  <si>
    <t>Открытая (16.04.1995)/26</t>
  </si>
  <si>
    <t>107,10</t>
  </si>
  <si>
    <t>Самарянов Дмитрий</t>
  </si>
  <si>
    <t>Открытая (17.10.1978)/42</t>
  </si>
  <si>
    <t>110,00</t>
  </si>
  <si>
    <t>Завьялов Виктор</t>
  </si>
  <si>
    <t>Открытая (02.09.1984)/36</t>
  </si>
  <si>
    <t>103,20</t>
  </si>
  <si>
    <t xml:space="preserve">Коньков </t>
  </si>
  <si>
    <t>Алтухов Алексей</t>
  </si>
  <si>
    <t>Открытая (11.12.1984)/36</t>
  </si>
  <si>
    <t>101,50</t>
  </si>
  <si>
    <t>Серёгин Константин</t>
  </si>
  <si>
    <t>102,50</t>
  </si>
  <si>
    <t>Дурандин Сергей</t>
  </si>
  <si>
    <t>106,50</t>
  </si>
  <si>
    <t xml:space="preserve">Кострома/Костромская область </t>
  </si>
  <si>
    <t>Медведев Алексей</t>
  </si>
  <si>
    <t>Открытая (19.05.1987)/34</t>
  </si>
  <si>
    <t>114,80</t>
  </si>
  <si>
    <t xml:space="preserve">Эрнандес Ортега А. </t>
  </si>
  <si>
    <t>ВЕСОВАЯ КАТЕГОРИЯ   140</t>
  </si>
  <si>
    <t>Шуров Антон</t>
  </si>
  <si>
    <t>136,00</t>
  </si>
  <si>
    <t xml:space="preserve">Луговой А. </t>
  </si>
  <si>
    <t>48</t>
  </si>
  <si>
    <t>335,0</t>
  </si>
  <si>
    <t>448,4645</t>
  </si>
  <si>
    <t>397,5</t>
  </si>
  <si>
    <t>417,0173</t>
  </si>
  <si>
    <t>352,1928</t>
  </si>
  <si>
    <t>428,6937</t>
  </si>
  <si>
    <t>330,0</t>
  </si>
  <si>
    <t>343,7217</t>
  </si>
  <si>
    <t>339,1551</t>
  </si>
  <si>
    <t>90</t>
  </si>
  <si>
    <t>410,0</t>
  </si>
  <si>
    <t>140</t>
  </si>
  <si>
    <t>600,0</t>
  </si>
  <si>
    <t>433,6800</t>
  </si>
  <si>
    <t>660,0</t>
  </si>
  <si>
    <t>425,0400</t>
  </si>
  <si>
    <t>692,5</t>
  </si>
  <si>
    <t>424,0177</t>
  </si>
  <si>
    <t>110</t>
  </si>
  <si>
    <t>Епихина Виктория</t>
  </si>
  <si>
    <t>Открытая (18.04.1991)/30</t>
  </si>
  <si>
    <t xml:space="preserve">Астрахань/Астраханская область </t>
  </si>
  <si>
    <t xml:space="preserve">Суслов Н. </t>
  </si>
  <si>
    <t xml:space="preserve">Шейко Б. </t>
  </si>
  <si>
    <t>Венгер Александр</t>
  </si>
  <si>
    <t>Открытая (22.02.1988)/33</t>
  </si>
  <si>
    <t>87,60</t>
  </si>
  <si>
    <t>Пономарев Владимир</t>
  </si>
  <si>
    <t>Открытая (03.08.1981)/39</t>
  </si>
  <si>
    <t>Мацкевич Александр</t>
  </si>
  <si>
    <t>Открытая (26.08.1988)/32</t>
  </si>
  <si>
    <t>98,40</t>
  </si>
  <si>
    <t>Мжельский Эдуард</t>
  </si>
  <si>
    <t>99,90</t>
  </si>
  <si>
    <t xml:space="preserve">Ликино-Дулёво/Московская область </t>
  </si>
  <si>
    <t xml:space="preserve">Фисун Т. </t>
  </si>
  <si>
    <t>Павлов Дмитрий</t>
  </si>
  <si>
    <t>104,10</t>
  </si>
  <si>
    <t xml:space="preserve">Котлас/Архангельская область </t>
  </si>
  <si>
    <t>Анисимов Егор</t>
  </si>
  <si>
    <t>Открытая (09.09.1988)/32</t>
  </si>
  <si>
    <t>106,30</t>
  </si>
  <si>
    <t xml:space="preserve">Кочетов А. </t>
  </si>
  <si>
    <t>Чакин Сергей</t>
  </si>
  <si>
    <t>Открытая (24.03.1974)/47</t>
  </si>
  <si>
    <t>109,90</t>
  </si>
  <si>
    <t xml:space="preserve">Обухов Ф. </t>
  </si>
  <si>
    <t>Амирханов Амирхан</t>
  </si>
  <si>
    <t>Открытая (04.11.1986)/34</t>
  </si>
  <si>
    <t>123,80</t>
  </si>
  <si>
    <t xml:space="preserve">Заволжск/Ивановская область </t>
  </si>
  <si>
    <t xml:space="preserve">Амирханов М. </t>
  </si>
  <si>
    <t>125</t>
  </si>
  <si>
    <t>Виноградова Дарья</t>
  </si>
  <si>
    <t>Открытая (21.01.1989)/32</t>
  </si>
  <si>
    <t xml:space="preserve">Кубинка/Московская область </t>
  </si>
  <si>
    <t>Майоров Дмитрий</t>
  </si>
  <si>
    <t>Открытая (04.09.1992)/28</t>
  </si>
  <si>
    <t>89,20</t>
  </si>
  <si>
    <t>Галактионов Дмитрий</t>
  </si>
  <si>
    <t>Открытая (10.01.1983)/38</t>
  </si>
  <si>
    <t>87,20</t>
  </si>
  <si>
    <t>Липский Даниил</t>
  </si>
  <si>
    <t>Открытая (14.03.1995)/26</t>
  </si>
  <si>
    <t>85,70</t>
  </si>
  <si>
    <t>Калинин Антон</t>
  </si>
  <si>
    <t>Открытая (05.07.1986)/34</t>
  </si>
  <si>
    <t>98,20</t>
  </si>
  <si>
    <t xml:space="preserve">Рязань/Рязанская область </t>
  </si>
  <si>
    <t xml:space="preserve">Щенников А. </t>
  </si>
  <si>
    <t>Долгих Андрей</t>
  </si>
  <si>
    <t>Открытая (06.11.1987)/33</t>
  </si>
  <si>
    <t>121,80</t>
  </si>
  <si>
    <t>Бахтиев Павел</t>
  </si>
  <si>
    <t>Открытая (12.09.1988)/32</t>
  </si>
  <si>
    <t>112,00</t>
  </si>
  <si>
    <t xml:space="preserve">Тырныауз/Кабардино-Балкария республика </t>
  </si>
  <si>
    <t xml:space="preserve">Тягнырядко В. </t>
  </si>
  <si>
    <t>ВЕСОВАЯ КАТЕГОРИЯ   44</t>
  </si>
  <si>
    <t>Василенко Анастасия</t>
  </si>
  <si>
    <t>Девушки 15-19 (18.06.2009)/12</t>
  </si>
  <si>
    <t>37,50</t>
  </si>
  <si>
    <t xml:space="preserve">Михнево/Московская область </t>
  </si>
  <si>
    <t>20,0</t>
  </si>
  <si>
    <t xml:space="preserve">Василенко Д. </t>
  </si>
  <si>
    <t>Румянцева Светлана</t>
  </si>
  <si>
    <t>Открытая (16.05.1988)/33</t>
  </si>
  <si>
    <t>67,00</t>
  </si>
  <si>
    <t xml:space="preserve">Румянцев С. </t>
  </si>
  <si>
    <t>Байдуров Егор</t>
  </si>
  <si>
    <t>Открытая (13.01.1986)/35</t>
  </si>
  <si>
    <t>74,30</t>
  </si>
  <si>
    <t>Голиней Александр</t>
  </si>
  <si>
    <t>74,00</t>
  </si>
  <si>
    <t>Еремин Юрий</t>
  </si>
  <si>
    <t>Открытая (23.11.1983)/37</t>
  </si>
  <si>
    <t>80,70</t>
  </si>
  <si>
    <t xml:space="preserve">Вологда/Вологодская область </t>
  </si>
  <si>
    <t>Ветров Владимир</t>
  </si>
  <si>
    <t>79,60</t>
  </si>
  <si>
    <t xml:space="preserve">Домодедово/Московская область </t>
  </si>
  <si>
    <t xml:space="preserve">Петров А. </t>
  </si>
  <si>
    <t>Предтеченский Павел</t>
  </si>
  <si>
    <t>Юноши 15-19 (12.01.2004)/17</t>
  </si>
  <si>
    <t>84,20</t>
  </si>
  <si>
    <t>Бакушкин Юрий</t>
  </si>
  <si>
    <t>Открытая (17.07.1990)/30</t>
  </si>
  <si>
    <t>Синюхин Алексей</t>
  </si>
  <si>
    <t>Открытая (22.07.1993)/27</t>
  </si>
  <si>
    <t>88,00</t>
  </si>
  <si>
    <t>Самойленко Александр</t>
  </si>
  <si>
    <t>Открытая (20.09.1985)/35</t>
  </si>
  <si>
    <t>88,20</t>
  </si>
  <si>
    <t>Нранян Роман</t>
  </si>
  <si>
    <t>Открытая (05.02.1989)/32</t>
  </si>
  <si>
    <t>86,40</t>
  </si>
  <si>
    <t>Абрамов Максим</t>
  </si>
  <si>
    <t>Открытая (30.08.1983)/37</t>
  </si>
  <si>
    <t>Серегин Сергей</t>
  </si>
  <si>
    <t xml:space="preserve">Магнитогорск/Челябинская область </t>
  </si>
  <si>
    <t xml:space="preserve">Палей А. </t>
  </si>
  <si>
    <t>Терлецкий Матвей</t>
  </si>
  <si>
    <t>Открытая (22.04.1992)/29</t>
  </si>
  <si>
    <t xml:space="preserve">Потапов А. </t>
  </si>
  <si>
    <t>Гаврилюк Сергей</t>
  </si>
  <si>
    <t>Открытая (02.09.1988)/32</t>
  </si>
  <si>
    <t>95,50</t>
  </si>
  <si>
    <t xml:space="preserve">Ейск/Краснодарский край </t>
  </si>
  <si>
    <t xml:space="preserve">Сидорова В. </t>
  </si>
  <si>
    <t>Сурков Сергей</t>
  </si>
  <si>
    <t>Открытая (14.10.1985)/35</t>
  </si>
  <si>
    <t>95,60</t>
  </si>
  <si>
    <t xml:space="preserve">Потехин К. </t>
  </si>
  <si>
    <t>Вабищевич Иван</t>
  </si>
  <si>
    <t>Открытая (01.04.1991)/30</t>
  </si>
  <si>
    <t>100,00</t>
  </si>
  <si>
    <t>Поздняков Александр</t>
  </si>
  <si>
    <t>Открытая (22.04.1982)/39</t>
  </si>
  <si>
    <t>Богачёв Дмитрий</t>
  </si>
  <si>
    <t>Открытая (26.03.1996)/25</t>
  </si>
  <si>
    <t>93,60</t>
  </si>
  <si>
    <t>Селезнев Иван</t>
  </si>
  <si>
    <t>97,70</t>
  </si>
  <si>
    <t xml:space="preserve">Поздняков А. </t>
  </si>
  <si>
    <t>Пеньков Александр</t>
  </si>
  <si>
    <t>94,50</t>
  </si>
  <si>
    <t>Жаченков Александр</t>
  </si>
  <si>
    <t>Открытая (30.07.1981)/39</t>
  </si>
  <si>
    <t xml:space="preserve">Протвино/Московская область </t>
  </si>
  <si>
    <t>Лисицын Сергей</t>
  </si>
  <si>
    <t>Открытая (26.10.1970)/50</t>
  </si>
  <si>
    <t>105,50</t>
  </si>
  <si>
    <t xml:space="preserve">Нахабино/Московская область </t>
  </si>
  <si>
    <t>Моисеев Александр</t>
  </si>
  <si>
    <t>Открытая (11.11.1972)/48</t>
  </si>
  <si>
    <t>107,30</t>
  </si>
  <si>
    <t>Пузырев Денис</t>
  </si>
  <si>
    <t>109,70</t>
  </si>
  <si>
    <t xml:space="preserve">Серпухов/Московская область </t>
  </si>
  <si>
    <t xml:space="preserve">Грудев А. </t>
  </si>
  <si>
    <t>Зяблов Николай</t>
  </si>
  <si>
    <t>101,30</t>
  </si>
  <si>
    <t xml:space="preserve">Дубна/Московская область </t>
  </si>
  <si>
    <t xml:space="preserve">Разумов А. </t>
  </si>
  <si>
    <t>Герасимов Сергей</t>
  </si>
  <si>
    <t>Открытая (08.11.1975)/45</t>
  </si>
  <si>
    <t xml:space="preserve">Великие Луки/Псковская область </t>
  </si>
  <si>
    <t xml:space="preserve">Соловьев В. </t>
  </si>
  <si>
    <t>Черепнин Валентин</t>
  </si>
  <si>
    <t>Открытая (08.12.1976)/44</t>
  </si>
  <si>
    <t>111,30</t>
  </si>
  <si>
    <t>Кустов Максим</t>
  </si>
  <si>
    <t>Открытая (25.03.1985)/36</t>
  </si>
  <si>
    <t>113,20</t>
  </si>
  <si>
    <t>Жерелов Алексей</t>
  </si>
  <si>
    <t>Открытая (16.09.1990)/30</t>
  </si>
  <si>
    <t>134,90</t>
  </si>
  <si>
    <t xml:space="preserve">Кинешма/Ивановская область </t>
  </si>
  <si>
    <t>Крылов Виктор</t>
  </si>
  <si>
    <t>Открытая (20.05.1985)/36</t>
  </si>
  <si>
    <t>138,60</t>
  </si>
  <si>
    <t xml:space="preserve">Результат </t>
  </si>
  <si>
    <t>141,9050</t>
  </si>
  <si>
    <t>141,2400</t>
  </si>
  <si>
    <t>130,0860</t>
  </si>
  <si>
    <t>142,3637</t>
  </si>
  <si>
    <t>137,6966</t>
  </si>
  <si>
    <t>134,6843</t>
  </si>
  <si>
    <t>Результат</t>
  </si>
  <si>
    <t>Авдеева Екатерина</t>
  </si>
  <si>
    <t>Открытая (09.08.1982)/38</t>
  </si>
  <si>
    <t>51,90</t>
  </si>
  <si>
    <t>Колесникова Ольга</t>
  </si>
  <si>
    <t>Открытая (13.09.1994)/26</t>
  </si>
  <si>
    <t>57,5</t>
  </si>
  <si>
    <t xml:space="preserve">Белкин Ю. </t>
  </si>
  <si>
    <t>Баннова Екатерина</t>
  </si>
  <si>
    <t>Открытая (12.02.1986)/35</t>
  </si>
  <si>
    <t>55,80</t>
  </si>
  <si>
    <t xml:space="preserve">Гусаров К. </t>
  </si>
  <si>
    <t>Максимчук Ольга</t>
  </si>
  <si>
    <t>59,20</t>
  </si>
  <si>
    <t xml:space="preserve">Ступино/Московская область </t>
  </si>
  <si>
    <t>Лымарева Елена</t>
  </si>
  <si>
    <t>Открытая (20.04.1966)/55</t>
  </si>
  <si>
    <t xml:space="preserve">Вишняков М. </t>
  </si>
  <si>
    <t>Киселёва Елена</t>
  </si>
  <si>
    <t>Открытая (27.11.1981)/39</t>
  </si>
  <si>
    <t>65,90</t>
  </si>
  <si>
    <t>Досхоева Марет</t>
  </si>
  <si>
    <t>71,60</t>
  </si>
  <si>
    <t xml:space="preserve">Котельнич/Кировская область </t>
  </si>
  <si>
    <t>Открытая (03.12.1999)/21</t>
  </si>
  <si>
    <t>Семыкина Дарья</t>
  </si>
  <si>
    <t>Открытая (03.03.2001)/20</t>
  </si>
  <si>
    <t>70,30</t>
  </si>
  <si>
    <t>Котов Глеб</t>
  </si>
  <si>
    <t>Юноши 15-19 (14.06.2011)/10</t>
  </si>
  <si>
    <t>40,90</t>
  </si>
  <si>
    <t>Косатиков Глеб</t>
  </si>
  <si>
    <t>Юноши 15-19 (29.11.2001)/19</t>
  </si>
  <si>
    <t>59,00</t>
  </si>
  <si>
    <t>Савельев Никита</t>
  </si>
  <si>
    <t>Открытая (30.11.2001)/19</t>
  </si>
  <si>
    <t>66,70</t>
  </si>
  <si>
    <t>Сокольников Николай</t>
  </si>
  <si>
    <t>Открытая (24.10.1970)/50</t>
  </si>
  <si>
    <t>74,20</t>
  </si>
  <si>
    <t>Касараев Сергей</t>
  </si>
  <si>
    <t>Открытая (18.02.1974)/47</t>
  </si>
  <si>
    <t xml:space="preserve">Владивосток/Приморский край </t>
  </si>
  <si>
    <t>Едигарян Самвел</t>
  </si>
  <si>
    <t>Открытая (29.11.1985)/35</t>
  </si>
  <si>
    <t>82,40</t>
  </si>
  <si>
    <t xml:space="preserve">Ортега А. </t>
  </si>
  <si>
    <t>Пайзулаев Расул</t>
  </si>
  <si>
    <t>Открытая (07.09.1988)/32</t>
  </si>
  <si>
    <t>Яцковский Андрей</t>
  </si>
  <si>
    <t>79,00</t>
  </si>
  <si>
    <t xml:space="preserve">Самойлов А. </t>
  </si>
  <si>
    <t>Попов Александр</t>
  </si>
  <si>
    <t>Открытая (05.01.1984)/37</t>
  </si>
  <si>
    <t>84,60</t>
  </si>
  <si>
    <t xml:space="preserve">Черепнин В. </t>
  </si>
  <si>
    <t>Никонов Денис</t>
  </si>
  <si>
    <t>Открытая (21.03.1982)/39</t>
  </si>
  <si>
    <t>88,30</t>
  </si>
  <si>
    <t xml:space="preserve">Чекринев А. </t>
  </si>
  <si>
    <t>Сокол Андрей</t>
  </si>
  <si>
    <t>Открытая (22.05.1987)/34</t>
  </si>
  <si>
    <t>Корнилов Алексей</t>
  </si>
  <si>
    <t>Открытая (05.08.1990)/30</t>
  </si>
  <si>
    <t>87,80</t>
  </si>
  <si>
    <t>Хухрин Дмитрий</t>
  </si>
  <si>
    <t>Открытая (30.11.1988)/32</t>
  </si>
  <si>
    <t>86,50</t>
  </si>
  <si>
    <t xml:space="preserve">Быков П. </t>
  </si>
  <si>
    <t>Медведев Михаил</t>
  </si>
  <si>
    <t>89,00</t>
  </si>
  <si>
    <t>Куличихин Андрей</t>
  </si>
  <si>
    <t>88,10</t>
  </si>
  <si>
    <t xml:space="preserve">Суший И. </t>
  </si>
  <si>
    <t>Тимофеев Игорь</t>
  </si>
  <si>
    <t xml:space="preserve">Собинка/Владимирская область </t>
  </si>
  <si>
    <t>Базанов Сергей</t>
  </si>
  <si>
    <t>87,00</t>
  </si>
  <si>
    <t xml:space="preserve">Ржев/Тверская область </t>
  </si>
  <si>
    <t>Богачев Андрей</t>
  </si>
  <si>
    <t>Открытая (29.04.1994)/27</t>
  </si>
  <si>
    <t>99,50</t>
  </si>
  <si>
    <t>Солодин Дмитрий</t>
  </si>
  <si>
    <t>Открытая (05.08.1992)/28</t>
  </si>
  <si>
    <t>98,60</t>
  </si>
  <si>
    <t xml:space="preserve">Богородск/Нижегородская область </t>
  </si>
  <si>
    <t>Потапов Михаил</t>
  </si>
  <si>
    <t>Открытая (16.12.1973)/47</t>
  </si>
  <si>
    <t xml:space="preserve">Кольчугино/Владимирская область </t>
  </si>
  <si>
    <t xml:space="preserve">Джуромский А. </t>
  </si>
  <si>
    <t>Ермолаев Сергей</t>
  </si>
  <si>
    <t>Открытая (26.01.1983)/38</t>
  </si>
  <si>
    <t>97,20</t>
  </si>
  <si>
    <t xml:space="preserve">Бронницы/Московская область </t>
  </si>
  <si>
    <t>Колчев Сергей</t>
  </si>
  <si>
    <t>98,30</t>
  </si>
  <si>
    <t xml:space="preserve">Реутов/Московская область </t>
  </si>
  <si>
    <t>Мелехов Александр</t>
  </si>
  <si>
    <t>92,90</t>
  </si>
  <si>
    <t>Доронин Михаил</t>
  </si>
  <si>
    <t>Стасюк Игорь</t>
  </si>
  <si>
    <t>Открытая (09.01.1983)/38</t>
  </si>
  <si>
    <t>109,00</t>
  </si>
  <si>
    <t>Лукьянов Иван</t>
  </si>
  <si>
    <t>Открытая (27.12.1981)/39</t>
  </si>
  <si>
    <t>108,00</t>
  </si>
  <si>
    <t>Бердинских Константин</t>
  </si>
  <si>
    <t>105,30</t>
  </si>
  <si>
    <t xml:space="preserve">Линников К. </t>
  </si>
  <si>
    <t>Гаврилов Сергей</t>
  </si>
  <si>
    <t>Открытая (08.08.1979)/41</t>
  </si>
  <si>
    <t>123,90</t>
  </si>
  <si>
    <t>Орляков Сергей</t>
  </si>
  <si>
    <t>Открытая (30.03.1983)/38</t>
  </si>
  <si>
    <t>122,70</t>
  </si>
  <si>
    <t>Волков Денис</t>
  </si>
  <si>
    <t>Открытая (21.05.1992)/29</t>
  </si>
  <si>
    <t>119,00</t>
  </si>
  <si>
    <t xml:space="preserve">Орёл/Орловская область </t>
  </si>
  <si>
    <t xml:space="preserve">Порядин И. </t>
  </si>
  <si>
    <t>Москвин Алексей</t>
  </si>
  <si>
    <t>Открытая (03.06.1985)/36</t>
  </si>
  <si>
    <t>Каныгин Сергей</t>
  </si>
  <si>
    <t>138,70</t>
  </si>
  <si>
    <t>105,3178</t>
  </si>
  <si>
    <t>123,2693</t>
  </si>
  <si>
    <t>87,6010</t>
  </si>
  <si>
    <t>125,4175</t>
  </si>
  <si>
    <t>125,3190</t>
  </si>
  <si>
    <t>124,1708</t>
  </si>
  <si>
    <t>154,6502</t>
  </si>
  <si>
    <t>139,9000</t>
  </si>
  <si>
    <t>137,3496</t>
  </si>
  <si>
    <t>Силушин Павел</t>
  </si>
  <si>
    <t>Открытая (17.09.1989)/31</t>
  </si>
  <si>
    <t>79,50</t>
  </si>
  <si>
    <t xml:space="preserve">Силушин А. </t>
  </si>
  <si>
    <t>Горбачев Дмитрий</t>
  </si>
  <si>
    <t>Открытая (06.03.1970)/51</t>
  </si>
  <si>
    <t>113,10</t>
  </si>
  <si>
    <t>Кокорев Илья</t>
  </si>
  <si>
    <t>Открытая (19.01.1973)/48</t>
  </si>
  <si>
    <t>81,40</t>
  </si>
  <si>
    <t xml:space="preserve">Ярославль/Ярославская область </t>
  </si>
  <si>
    <t>Зайцева Екатерина</t>
  </si>
  <si>
    <t>Открытая (12.02.1987)/34</t>
  </si>
  <si>
    <t>79,10</t>
  </si>
  <si>
    <t>Палей Андрей</t>
  </si>
  <si>
    <t>Открытая (11.10.1961)/59</t>
  </si>
  <si>
    <t>99,00</t>
  </si>
  <si>
    <t>Дудинец Андрей</t>
  </si>
  <si>
    <t>Открытая (02.06.1991)/30</t>
  </si>
  <si>
    <t>95,30</t>
  </si>
  <si>
    <t>287,5</t>
  </si>
  <si>
    <t>Кровиков Александр</t>
  </si>
  <si>
    <t>Кончакова Наталья</t>
  </si>
  <si>
    <t>Открытая (14.08.1977)/43</t>
  </si>
  <si>
    <t>Горбачева Наталья</t>
  </si>
  <si>
    <t>68,70</t>
  </si>
  <si>
    <t xml:space="preserve">Горбачев Д. </t>
  </si>
  <si>
    <t>Стародубова Дарья</t>
  </si>
  <si>
    <t>Открытая (27.09.2004)/16</t>
  </si>
  <si>
    <t xml:space="preserve">Никитинн А. </t>
  </si>
  <si>
    <t>Романова Нина</t>
  </si>
  <si>
    <t>96,00</t>
  </si>
  <si>
    <t>Дольников Сергей</t>
  </si>
  <si>
    <t>Открытая (05.05.1986)/35</t>
  </si>
  <si>
    <t>80,40</t>
  </si>
  <si>
    <t>Шеломанов Максим</t>
  </si>
  <si>
    <t>Юноши 15-19 (13.11.2004)/16</t>
  </si>
  <si>
    <t>84,40</t>
  </si>
  <si>
    <t>Азизмамадов Константин</t>
  </si>
  <si>
    <t>Открытая (17.03.1985)/36</t>
  </si>
  <si>
    <t>315,0</t>
  </si>
  <si>
    <t>Кравченко Евгений</t>
  </si>
  <si>
    <t>Открытая (03.11.1986)/34</t>
  </si>
  <si>
    <t>97,90</t>
  </si>
  <si>
    <t>355,0</t>
  </si>
  <si>
    <t>Щеулин Роман</t>
  </si>
  <si>
    <t>Открытая (12.02.1988)/33</t>
  </si>
  <si>
    <t xml:space="preserve">Воскресенск/Московская область </t>
  </si>
  <si>
    <t>Ржановский Александр</t>
  </si>
  <si>
    <t>Открытая (30.03.1994)/27</t>
  </si>
  <si>
    <t xml:space="preserve">Люберцы/Московская область </t>
  </si>
  <si>
    <t>Паринов Игорь</t>
  </si>
  <si>
    <t>Открытая (27.06.1983)/37</t>
  </si>
  <si>
    <t>94,80</t>
  </si>
  <si>
    <t xml:space="preserve">Саблин Д. </t>
  </si>
  <si>
    <t>Порядин Иван</t>
  </si>
  <si>
    <t>Открытая (06.06.1982)/39</t>
  </si>
  <si>
    <t>Брусов Владимир</t>
  </si>
  <si>
    <t>Открытая (17.12.1983)/37</t>
  </si>
  <si>
    <t>Крамсков Алексей</t>
  </si>
  <si>
    <t>Открытая (12.01.1994)/27</t>
  </si>
  <si>
    <t>106,80</t>
  </si>
  <si>
    <t xml:space="preserve">Ушаков А. </t>
  </si>
  <si>
    <t>Плонин Владимир</t>
  </si>
  <si>
    <t>Открытая (04.06.1996)/25</t>
  </si>
  <si>
    <t>107,00</t>
  </si>
  <si>
    <t>237,5</t>
  </si>
  <si>
    <t>Капралов Виктор</t>
  </si>
  <si>
    <t>Открытая (30.09.1981)/39</t>
  </si>
  <si>
    <t>107,70</t>
  </si>
  <si>
    <t xml:space="preserve">Фотин А. </t>
  </si>
  <si>
    <t>Лившиц Олег</t>
  </si>
  <si>
    <t>Открытая (03.10.1973)/47</t>
  </si>
  <si>
    <t xml:space="preserve">Лосино-Петровский/Московская область </t>
  </si>
  <si>
    <t>325,0</t>
  </si>
  <si>
    <t>345,0</t>
  </si>
  <si>
    <t xml:space="preserve">Шишканова С. </t>
  </si>
  <si>
    <t>Костылев Алексей</t>
  </si>
  <si>
    <t>117,80</t>
  </si>
  <si>
    <t>56</t>
  </si>
  <si>
    <t>225,9045</t>
  </si>
  <si>
    <t>209,7900</t>
  </si>
  <si>
    <t>208,7260</t>
  </si>
  <si>
    <t>Денисова Ульяна</t>
  </si>
  <si>
    <t>Девушки 15-19 (20.12.2009)/11</t>
  </si>
  <si>
    <t>50,50</t>
  </si>
  <si>
    <t xml:space="preserve">Денисов С. </t>
  </si>
  <si>
    <t>Киселева Янина</t>
  </si>
  <si>
    <t>Открытая (28.01.1988)/33</t>
  </si>
  <si>
    <t>51,20</t>
  </si>
  <si>
    <t>Бабаева Анна</t>
  </si>
  <si>
    <t>Открытая (18.09.1983)/37</t>
  </si>
  <si>
    <t>50,70</t>
  </si>
  <si>
    <t>Цветкова Светлана</t>
  </si>
  <si>
    <t>Открытая (10.03.1980)/41</t>
  </si>
  <si>
    <t>55,90</t>
  </si>
  <si>
    <t xml:space="preserve">Дурнов Р. </t>
  </si>
  <si>
    <t>Шахунц Евгения</t>
  </si>
  <si>
    <t>Открытая (14.04.1992)/29</t>
  </si>
  <si>
    <t>54,50</t>
  </si>
  <si>
    <t xml:space="preserve">Салахетдинов Э. </t>
  </si>
  <si>
    <t>Скуратова Наталья</t>
  </si>
  <si>
    <t>Открытая (24.09.1972)/48</t>
  </si>
  <si>
    <t>60,50</t>
  </si>
  <si>
    <t xml:space="preserve">Гаврилов С. </t>
  </si>
  <si>
    <t>Колыганова Александра</t>
  </si>
  <si>
    <t>Открытая (09.11.1985)/35</t>
  </si>
  <si>
    <t>78,70</t>
  </si>
  <si>
    <t xml:space="preserve">Петрозаводск/Карелия </t>
  </si>
  <si>
    <t xml:space="preserve">Руруа Т. </t>
  </si>
  <si>
    <t>Тершукова Светлана</t>
  </si>
  <si>
    <t>94,70</t>
  </si>
  <si>
    <t>Чхиквадзе Тамази</t>
  </si>
  <si>
    <t>Юноши 15-19 (03.07.2003)/17</t>
  </si>
  <si>
    <t>56,00</t>
  </si>
  <si>
    <t>Масолбасов Алексей</t>
  </si>
  <si>
    <t>Открытая (29.03.2002)/19</t>
  </si>
  <si>
    <t>Кузнецов Егор</t>
  </si>
  <si>
    <t>Открытая (17.11.2003)/17</t>
  </si>
  <si>
    <t>Черный Станислав</t>
  </si>
  <si>
    <t>Открытая (16.12.1992)/28</t>
  </si>
  <si>
    <t>80,10</t>
  </si>
  <si>
    <t>Крюков Сергей</t>
  </si>
  <si>
    <t>80,20</t>
  </si>
  <si>
    <t xml:space="preserve">Зариньш Ж. </t>
  </si>
  <si>
    <t>Амплеев Александр</t>
  </si>
  <si>
    <t>Открытая (20.05.1983)/38</t>
  </si>
  <si>
    <t>Кириллов Артём</t>
  </si>
  <si>
    <t>Открытая (28.06.1988)/32</t>
  </si>
  <si>
    <t>87,50</t>
  </si>
  <si>
    <t>Фетисов Юрий</t>
  </si>
  <si>
    <t>Ефимов Сергей</t>
  </si>
  <si>
    <t>96,20</t>
  </si>
  <si>
    <t xml:space="preserve">Эрнандес-Ортега А. </t>
  </si>
  <si>
    <t>Лоханов Николай</t>
  </si>
  <si>
    <t>99,40</t>
  </si>
  <si>
    <t>Таганов Михаил</t>
  </si>
  <si>
    <t>Открытая (14.12.1984)/36</t>
  </si>
  <si>
    <t>109,10</t>
  </si>
  <si>
    <t>Открытая (11.07.1998)/22</t>
  </si>
  <si>
    <t>125,00</t>
  </si>
  <si>
    <t>Мартьянов Кирилл</t>
  </si>
  <si>
    <t>Открытая (13.10.1990)/30</t>
  </si>
  <si>
    <t>123,50</t>
  </si>
  <si>
    <t>204,1518</t>
  </si>
  <si>
    <t>194,4195</t>
  </si>
  <si>
    <t>144,2280</t>
  </si>
  <si>
    <t>176,8800</t>
  </si>
  <si>
    <t>174,9540</t>
  </si>
  <si>
    <t>171,2700</t>
  </si>
  <si>
    <t xml:space="preserve">Исаков П. </t>
  </si>
  <si>
    <t>Прошин Алексей</t>
  </si>
  <si>
    <t>Открытая (10.04.1984)/37</t>
  </si>
  <si>
    <t>98,00</t>
  </si>
  <si>
    <t>Макаров Владимир</t>
  </si>
  <si>
    <t>93,50</t>
  </si>
  <si>
    <t>Демидова Анна</t>
  </si>
  <si>
    <t>Открытая (12.08.1983)/37</t>
  </si>
  <si>
    <t>57,50</t>
  </si>
  <si>
    <t>Открытая (12.01.1979)/42</t>
  </si>
  <si>
    <t>Сидоровский Сергей</t>
  </si>
  <si>
    <t>73,90</t>
  </si>
  <si>
    <t xml:space="preserve">Силушин П. </t>
  </si>
  <si>
    <t>Дмитриев Максим</t>
  </si>
  <si>
    <t>Открытая (29.05.1991)/30</t>
  </si>
  <si>
    <t>82,30</t>
  </si>
  <si>
    <t>Евдокимов Алексей</t>
  </si>
  <si>
    <t>Открытая (10.10.1988)/32</t>
  </si>
  <si>
    <t>94,40</t>
  </si>
  <si>
    <t>Киевский Никита</t>
  </si>
  <si>
    <t>Открытая (14.03.1988)/33</t>
  </si>
  <si>
    <t>106,60</t>
  </si>
  <si>
    <t>Курзанов Михаил</t>
  </si>
  <si>
    <t>108,50</t>
  </si>
  <si>
    <t>Зайцев Василий</t>
  </si>
  <si>
    <t>Открытая (29.08.1985)/35</t>
  </si>
  <si>
    <t>123,60</t>
  </si>
  <si>
    <t>Сидоров Дмитрий</t>
  </si>
  <si>
    <t>122,90</t>
  </si>
  <si>
    <t>517,5</t>
  </si>
  <si>
    <t>295,4408</t>
  </si>
  <si>
    <t>430,0</t>
  </si>
  <si>
    <t>276,9200</t>
  </si>
  <si>
    <t>435,0</t>
  </si>
  <si>
    <t>248,4720</t>
  </si>
  <si>
    <t>332,5</t>
  </si>
  <si>
    <t>370,0</t>
  </si>
  <si>
    <t>Боровков Владимир</t>
  </si>
  <si>
    <t>Открытая (13.11.1992)/28</t>
  </si>
  <si>
    <t>72,20</t>
  </si>
  <si>
    <t xml:space="preserve">Кстово/Нижегородская область </t>
  </si>
  <si>
    <t xml:space="preserve">Козырев О. </t>
  </si>
  <si>
    <t>Балясина Евгения</t>
  </si>
  <si>
    <t>Открытая (21.05.1989)/32</t>
  </si>
  <si>
    <t>47,20</t>
  </si>
  <si>
    <t>Колпакова Елена</t>
  </si>
  <si>
    <t>Открытая (16.06.1978)/43</t>
  </si>
  <si>
    <t>59,60</t>
  </si>
  <si>
    <t xml:space="preserve">Узловая/Тульская область </t>
  </si>
  <si>
    <t xml:space="preserve">Самардин А. </t>
  </si>
  <si>
    <t>Лазуренко Ольга</t>
  </si>
  <si>
    <t>Открытая (05.09.1971)/49</t>
  </si>
  <si>
    <t xml:space="preserve">Воронеж/Воронежская область </t>
  </si>
  <si>
    <t xml:space="preserve">Остапенко И. </t>
  </si>
  <si>
    <t>Макарова Елена</t>
  </si>
  <si>
    <t xml:space="preserve">Липецк/Липецкая область </t>
  </si>
  <si>
    <t xml:space="preserve">Внуков О. </t>
  </si>
  <si>
    <t>Березин Лев</t>
  </si>
  <si>
    <t>Открытая (12.11.1975)/45</t>
  </si>
  <si>
    <t>73,60</t>
  </si>
  <si>
    <t xml:space="preserve">Рыбинск/Ярославская область </t>
  </si>
  <si>
    <t>Ерохов Андрей</t>
  </si>
  <si>
    <t>Илюшин Руслан</t>
  </si>
  <si>
    <t>Открытая (25.02.1991)/30</t>
  </si>
  <si>
    <t xml:space="preserve">Орехово-Зуево/Московская область </t>
  </si>
  <si>
    <t>293,0</t>
  </si>
  <si>
    <t xml:space="preserve">Ушков И. </t>
  </si>
  <si>
    <t>Суший Илья</t>
  </si>
  <si>
    <t>Открытая (20.08.1984)/36</t>
  </si>
  <si>
    <t>84,00</t>
  </si>
  <si>
    <t xml:space="preserve">Северск/Томская область </t>
  </si>
  <si>
    <t>267,5</t>
  </si>
  <si>
    <t>Акулич Александр</t>
  </si>
  <si>
    <t>Открытая (17.11.1981)/39</t>
  </si>
  <si>
    <t>93,70</t>
  </si>
  <si>
    <t xml:space="preserve">Наро-Фоминск/Московская область </t>
  </si>
  <si>
    <t>Семенов Роман</t>
  </si>
  <si>
    <t>Открытая (12.11.1979)/41</t>
  </si>
  <si>
    <t xml:space="preserve">Королёв/Московская область </t>
  </si>
  <si>
    <t>306,0</t>
  </si>
  <si>
    <t>Черняев Владимир</t>
  </si>
  <si>
    <t>Открытая (21.12.1988)/32</t>
  </si>
  <si>
    <t>Плетнев Виталий</t>
  </si>
  <si>
    <t>Открытая (31.03.1974)/47</t>
  </si>
  <si>
    <t>Емельянов Николай</t>
  </si>
  <si>
    <t>Открытая (30.08.1979)/41</t>
  </si>
  <si>
    <t>118,10</t>
  </si>
  <si>
    <t>Остапенко Илья</t>
  </si>
  <si>
    <t>Открытая (22.12.1987)/33</t>
  </si>
  <si>
    <t>119,10</t>
  </si>
  <si>
    <t>ВЕСОВАЯ КАТЕГОРИЯ   140+</t>
  </si>
  <si>
    <t>Лукин Сергей</t>
  </si>
  <si>
    <t>143,50</t>
  </si>
  <si>
    <t xml:space="preserve">Касимов/Рязанская область </t>
  </si>
  <si>
    <t xml:space="preserve">Gloss </t>
  </si>
  <si>
    <t>182,6950</t>
  </si>
  <si>
    <t>176,9280</t>
  </si>
  <si>
    <t>175,3650</t>
  </si>
  <si>
    <t>108,0</t>
  </si>
  <si>
    <t>Прокопова Елена</t>
  </si>
  <si>
    <t>Открытая (07.03.1966)/55</t>
  </si>
  <si>
    <t>65,70</t>
  </si>
  <si>
    <t>Ермолаева Анна</t>
  </si>
  <si>
    <t>71,10</t>
  </si>
  <si>
    <t>Сергеев Алексей</t>
  </si>
  <si>
    <t>Открытая (19.04.1981)/40</t>
  </si>
  <si>
    <t xml:space="preserve">Еловиков Р. </t>
  </si>
  <si>
    <t>Шляпников Владимир</t>
  </si>
  <si>
    <t>Открытая (24.07.1981)/39</t>
  </si>
  <si>
    <t>247,5</t>
  </si>
  <si>
    <t>Буслаев Сергей</t>
  </si>
  <si>
    <t>Открытая (09.07.1991)/29</t>
  </si>
  <si>
    <t>89,30</t>
  </si>
  <si>
    <t xml:space="preserve">Железнодорожный/Московская область </t>
  </si>
  <si>
    <t>Николаева Екатерина</t>
  </si>
  <si>
    <t>Открытая (07.06.1984)/37</t>
  </si>
  <si>
    <t xml:space="preserve">Егорова Е. </t>
  </si>
  <si>
    <t>Егорова Евгения</t>
  </si>
  <si>
    <t>Открытая (28.11.1990)/30</t>
  </si>
  <si>
    <t xml:space="preserve">Николаева Е. </t>
  </si>
  <si>
    <t>Волков Алексей</t>
  </si>
  <si>
    <t>Открытая (03.05.1985)/36</t>
  </si>
  <si>
    <t>81,10</t>
  </si>
  <si>
    <t>Мельников Алексей</t>
  </si>
  <si>
    <t>Открытая (22.10.1987)/33</t>
  </si>
  <si>
    <t>96,80</t>
  </si>
  <si>
    <t>360,0</t>
  </si>
  <si>
    <t>400,0</t>
  </si>
  <si>
    <t xml:space="preserve">Беляев Р. </t>
  </si>
  <si>
    <t>352,5</t>
  </si>
  <si>
    <t>Беспаликов Валерий</t>
  </si>
  <si>
    <t>Открытая (07.04.1981)/40</t>
  </si>
  <si>
    <t>347,5</t>
  </si>
  <si>
    <t xml:space="preserve">Сербин А. </t>
  </si>
  <si>
    <t>420,0</t>
  </si>
  <si>
    <t>Василенко Дмитрий</t>
  </si>
  <si>
    <t>Открытая (03.06.1975)/46</t>
  </si>
  <si>
    <t>118,00</t>
  </si>
  <si>
    <t>Волков Андрей</t>
  </si>
  <si>
    <t>Открытая (28.05.1992)/29</t>
  </si>
  <si>
    <t>149,20</t>
  </si>
  <si>
    <t>415,0</t>
  </si>
  <si>
    <t>Бардаков Матвей</t>
  </si>
  <si>
    <t>88,80</t>
  </si>
  <si>
    <t>Сухарев Андрей</t>
  </si>
  <si>
    <t>Открытая (22.07.1974)/46</t>
  </si>
  <si>
    <t>377,5</t>
  </si>
  <si>
    <t>Костюков Иван</t>
  </si>
  <si>
    <t>Открытая (07.06.1988)/33</t>
  </si>
  <si>
    <t>106,20</t>
  </si>
  <si>
    <t xml:space="preserve">Авдулов Е. </t>
  </si>
  <si>
    <t>Детнева Екатерина</t>
  </si>
  <si>
    <t>Открытая (26.02.1990)/31</t>
  </si>
  <si>
    <t>65,80</t>
  </si>
  <si>
    <t xml:space="preserve">Егорьевск/Московская область </t>
  </si>
  <si>
    <t>32,5</t>
  </si>
  <si>
    <t>Буров Александр</t>
  </si>
  <si>
    <t>Открытая (09.05.1985)/36</t>
  </si>
  <si>
    <t>72,0</t>
  </si>
  <si>
    <t>Сакович Олег</t>
  </si>
  <si>
    <t>Открытая (21.08.1992)/28</t>
  </si>
  <si>
    <t>93,0</t>
  </si>
  <si>
    <t>Руруа Тариел</t>
  </si>
  <si>
    <t>Открытая (14.04.1979)/42</t>
  </si>
  <si>
    <t>101,60</t>
  </si>
  <si>
    <t>67,30</t>
  </si>
  <si>
    <t>Евменчикова Елена</t>
  </si>
  <si>
    <t>Открытая (21.06.1978)/42</t>
  </si>
  <si>
    <t>Полшков Семён</t>
  </si>
  <si>
    <t>Качалин Андрей</t>
  </si>
  <si>
    <t>Открытая (14.10.1997)/23</t>
  </si>
  <si>
    <t>73,00</t>
  </si>
  <si>
    <t>Семенов Николай</t>
  </si>
  <si>
    <t>Открытая (05.04.1988)/33</t>
  </si>
  <si>
    <t>Лалас Сергей</t>
  </si>
  <si>
    <t>Открытая (10.05.1985)/36</t>
  </si>
  <si>
    <t xml:space="preserve">Долгопрудный/Московская область </t>
  </si>
  <si>
    <t>Жим стоя</t>
  </si>
  <si>
    <t>Родин Андрей</t>
  </si>
  <si>
    <t>Открытая (02.09.1971)/49</t>
  </si>
  <si>
    <t>82,10</t>
  </si>
  <si>
    <t>56,0</t>
  </si>
  <si>
    <t>Ксенофонтов Роман</t>
  </si>
  <si>
    <t>Открытая (24.01.1989)/32</t>
  </si>
  <si>
    <t>86,70</t>
  </si>
  <si>
    <t>Степанкина Марина</t>
  </si>
  <si>
    <t>50,90</t>
  </si>
  <si>
    <t>36,0</t>
  </si>
  <si>
    <t>37,0</t>
  </si>
  <si>
    <t>31,5</t>
  </si>
  <si>
    <t>32,0</t>
  </si>
  <si>
    <t>Гайфутдинов Алексей</t>
  </si>
  <si>
    <t>Открытая (24.08.1984)/36</t>
  </si>
  <si>
    <t>73,70</t>
  </si>
  <si>
    <t>Кондрашов Тимофей</t>
  </si>
  <si>
    <t>Юноши 14-17 (26.02.2008)/13</t>
  </si>
  <si>
    <t>60,00</t>
  </si>
  <si>
    <t xml:space="preserve">Кондрашов А. </t>
  </si>
  <si>
    <t>ВЕСОВАЯ КАТЕГОРИЯ   70</t>
  </si>
  <si>
    <t>Окрепкый Ярослав</t>
  </si>
  <si>
    <t>Юноши 14-17 (08.11.2003)/17</t>
  </si>
  <si>
    <t>65,60</t>
  </si>
  <si>
    <t>ВЕСОВАЯ КАТЕГОРИЯ   80</t>
  </si>
  <si>
    <t>Косатиков Кирилл</t>
  </si>
  <si>
    <t>Юноши 14-17 (23.05.2004)/17</t>
  </si>
  <si>
    <t>Юрин Александр</t>
  </si>
  <si>
    <t>Юноши 14-17 (11.03.2006)/15</t>
  </si>
  <si>
    <t>89,50</t>
  </si>
  <si>
    <t>ВЕСОВАЯ КАТЕГОРИЯ   130+</t>
  </si>
  <si>
    <t>Богомолов Тихон</t>
  </si>
  <si>
    <t>Юниоры (10.04.2003)/18</t>
  </si>
  <si>
    <t>132,20</t>
  </si>
  <si>
    <t>Смирнов Михаил</t>
  </si>
  <si>
    <t>Открытая (12.04.1984)/37</t>
  </si>
  <si>
    <t>90,00</t>
  </si>
  <si>
    <t xml:space="preserve">Капитонов Ю. </t>
  </si>
  <si>
    <t>Манаенков Андрей</t>
  </si>
  <si>
    <t>Капитонов Юрий</t>
  </si>
  <si>
    <t>99,80</t>
  </si>
  <si>
    <t>ВЕСОВАЯ КАТЕГОРИЯ   130</t>
  </si>
  <si>
    <t>Зиновьев Александр</t>
  </si>
  <si>
    <t>123,00</t>
  </si>
  <si>
    <t>ВЕСОВАЯ КАТЕГОРИЯ   50</t>
  </si>
  <si>
    <t>Орлов Максим</t>
  </si>
  <si>
    <t>Открытая (18.01.1986)/35</t>
  </si>
  <si>
    <t>Сафин Максим</t>
  </si>
  <si>
    <t>Открытая (24.06.1983)/37</t>
  </si>
  <si>
    <t>Кублицкий Александр</t>
  </si>
  <si>
    <t>Открытая (18.09.1981)/39</t>
  </si>
  <si>
    <t>105,10</t>
  </si>
  <si>
    <t>Кондрашов Алексей</t>
  </si>
  <si>
    <t xml:space="preserve">Ковалев С. </t>
  </si>
  <si>
    <t>Тяга</t>
  </si>
  <si>
    <t>Одинцова Любовь</t>
  </si>
  <si>
    <t>Мастера 60-69 (24.10.1960)/60</t>
  </si>
  <si>
    <t>64,30</t>
  </si>
  <si>
    <t>Новикова Лилия</t>
  </si>
  <si>
    <t>Мастера 50-59 (20.08.1964)/56</t>
  </si>
  <si>
    <t>69,20</t>
  </si>
  <si>
    <t xml:space="preserve">Ковалёв С. </t>
  </si>
  <si>
    <t>Зайцева Таисья</t>
  </si>
  <si>
    <t>Мастера 70-79 (30.08.1947)/73</t>
  </si>
  <si>
    <t xml:space="preserve">Вичуга/Ивановская область </t>
  </si>
  <si>
    <t>Маева Татьяна</t>
  </si>
  <si>
    <t>Мастера 60-69 (05.07.1958)/62</t>
  </si>
  <si>
    <t>Жирнов Никита</t>
  </si>
  <si>
    <t xml:space="preserve">Муром/Владимирская область </t>
  </si>
  <si>
    <t xml:space="preserve">Кашицын Д. </t>
  </si>
  <si>
    <t>Курушин Денис</t>
  </si>
  <si>
    <t>Открытая (03.12.1984)/36</t>
  </si>
  <si>
    <t>68,00</t>
  </si>
  <si>
    <t>Пачин Алексей</t>
  </si>
  <si>
    <t>Мастера 40-49 (02.03.1979)/42</t>
  </si>
  <si>
    <t>70,90</t>
  </si>
  <si>
    <t>Косарев Евгений</t>
  </si>
  <si>
    <t>Мастера 60-69 (29.03.1961)/60</t>
  </si>
  <si>
    <t>68,50</t>
  </si>
  <si>
    <t>Аркадьев Анатолий</t>
  </si>
  <si>
    <t>Мастера 60-69 (17.08.1954)/66</t>
  </si>
  <si>
    <t>Груничев Вячеслав</t>
  </si>
  <si>
    <t>Мастера 80+ (22.06.1939)/81</t>
  </si>
  <si>
    <t>76,60</t>
  </si>
  <si>
    <t>Леднев Александр</t>
  </si>
  <si>
    <t>Мастера 40-49 (02.05.1973)/48</t>
  </si>
  <si>
    <t>85,60</t>
  </si>
  <si>
    <t>Пурышев Иван</t>
  </si>
  <si>
    <t>Мастера 40-49 (03.05.1980)/41</t>
  </si>
  <si>
    <t>Ковалев Сергей</t>
  </si>
  <si>
    <t>Мастера 50-59 (22.05.1969)/52</t>
  </si>
  <si>
    <t>97,40</t>
  </si>
  <si>
    <t>Аристов Олег</t>
  </si>
  <si>
    <t>Мастера 60-69 (08.03.1955)/66</t>
  </si>
  <si>
    <t>97,60</t>
  </si>
  <si>
    <t xml:space="preserve">Кохма/Ивановская область </t>
  </si>
  <si>
    <t>Кузнецов Владимир</t>
  </si>
  <si>
    <t>Мастера 70-79 (04.03.1945)/76</t>
  </si>
  <si>
    <t>93,90</t>
  </si>
  <si>
    <t xml:space="preserve">Мастера 60-69 </t>
  </si>
  <si>
    <t xml:space="preserve">Мастера 50-59 </t>
  </si>
  <si>
    <t>106,5164</t>
  </si>
  <si>
    <t>104,4655</t>
  </si>
  <si>
    <t>104,0125</t>
  </si>
  <si>
    <t>Беляев Р.</t>
  </si>
  <si>
    <t>Зайцев С.</t>
  </si>
  <si>
    <t xml:space="preserve">Косатиков М. </t>
  </si>
  <si>
    <t xml:space="preserve">Длужневский С. </t>
  </si>
  <si>
    <t xml:space="preserve">Зайцев С. </t>
  </si>
  <si>
    <t>Москва</t>
  </si>
  <si>
    <t>Национальный чемпионат
СПР Жим лежа СФО
Суздаль/Владимирская область, 19-20 июня 2021 года</t>
  </si>
  <si>
    <t>Национальный чемпионат ФЖД
ФЖД Софт экипировка однослойная двоеборье
Суздаль/Владимирская область, 19-20 июня 2021 года</t>
  </si>
  <si>
    <t>Национальный чемпионат ФЖД
ФЖД Любители с ДК жим на максимум
Суздаль/Владимирская область, 19-20 июня 2021 года</t>
  </si>
  <si>
    <t>Национальный чемпионат ФЖД
ФЖД Любители жим на максимум
Суздаль/Владимирская область, 19-20 июня 2021 года</t>
  </si>
  <si>
    <t>Национальный чемпионат ФЖД
ФЖД Софт экипировка однослойная жим на максимум с ДК
Суздаль/Владимирская область, 19-20 июня 2021 года</t>
  </si>
  <si>
    <t>Национальный чемпионат ФЖД
ФЖД Софт экипировка многослойная жим на максимум с ДК
Суздаль/Владимирская область, 19-20 июня 2021 года</t>
  </si>
  <si>
    <t>Национальный чемпионат ФЖД
ФЖД Армейский жим на максимум
Суздаль/Владимирская область, 19-20 июня 2021 года</t>
  </si>
  <si>
    <t xml:space="preserve">Лукьянов С. </t>
  </si>
  <si>
    <t>Владимиров Е.</t>
  </si>
  <si>
    <t>Мастера 45-49 (29.06.1975)/45</t>
  </si>
  <si>
    <t>Мастера 40-44 (24.12.1977)/43</t>
  </si>
  <si>
    <t>Мастера 40-44 (12.01.1979)/42</t>
  </si>
  <si>
    <t>Мастера 40-44 (10.05.1981)/40</t>
  </si>
  <si>
    <t>Мастера 40-44 (15.06.1981)/40</t>
  </si>
  <si>
    <t>Мастера 45-49 (05.02.1973)/48</t>
  </si>
  <si>
    <t>Мастера 40-44 (30.06.1978)/42</t>
  </si>
  <si>
    <t>Мастера 55-59 (14.11.1964)/56</t>
  </si>
  <si>
    <t>Юниоры 20-23 (13.09.1998)/22</t>
  </si>
  <si>
    <t>Юниоры 20-23 (22.02.2001)/20</t>
  </si>
  <si>
    <t>Мастера 40-44 (29.11.1980)/40</t>
  </si>
  <si>
    <t>Мастера 40-44 (17.08.1978)/42</t>
  </si>
  <si>
    <t>Мастера 40-44 (19.01.1978)/43</t>
  </si>
  <si>
    <t>Мастера 45-49 (04.05.1974)/47</t>
  </si>
  <si>
    <t>Юниоры 20-23 (01.06.2000)/21</t>
  </si>
  <si>
    <t xml:space="preserve">Мастера 40-44 </t>
  </si>
  <si>
    <t xml:space="preserve">Мастера 45-49 </t>
  </si>
  <si>
    <t>Мастера 60-64 (02.01.1960)/61</t>
  </si>
  <si>
    <t>Юниоры 20-23 (26.03.1999)/22</t>
  </si>
  <si>
    <t>Юниоры 20-23 (11.03.1998)/23</t>
  </si>
  <si>
    <t>Юниоры 20-23 (22.02.1999)/22</t>
  </si>
  <si>
    <t>Мастера 40-44 (26.07.1980)/40</t>
  </si>
  <si>
    <t>Мастера 45-49 (24.12.1972)/48</t>
  </si>
  <si>
    <t>Мастера 50-54 (12.05.1971)/50</t>
  </si>
  <si>
    <t>Мастера 45-49 (25.12.1972)/48</t>
  </si>
  <si>
    <t>Мастера 40-44 (04.05.1977)/44</t>
  </si>
  <si>
    <t>Мастера 40-44 (14.08.1977)/43</t>
  </si>
  <si>
    <t>Мастера 70-74 (25.07.1946)/74</t>
  </si>
  <si>
    <t>Юниорки 20-23 (05.07.1997)/23</t>
  </si>
  <si>
    <t>Мастера 55-59 (20.04.1966)/55</t>
  </si>
  <si>
    <t>Юниорки 20-23 (03.12.1999)/21</t>
  </si>
  <si>
    <t>Мастера 50-54 (24.10.1970)/50</t>
  </si>
  <si>
    <t>Мастера 45-49 (18.02.1974)/47</t>
  </si>
  <si>
    <t>Мастера 50-54 (14.08.1969)/51</t>
  </si>
  <si>
    <t>Мастера 40-44 (08.08.1976)/44</t>
  </si>
  <si>
    <t>Мастера 40-44 (16.06.1977)/44</t>
  </si>
  <si>
    <t>Мастера 45-49 (09.03.1975)/46</t>
  </si>
  <si>
    <t>Мастера 55-59 (22.06.1962)/58</t>
  </si>
  <si>
    <t>Мастера 40-44 (20.05.1979)/42</t>
  </si>
  <si>
    <t>Мастера 45-49 (16.12.1973)/47</t>
  </si>
  <si>
    <t>Мастера 45-49 (17.03.1975)/46</t>
  </si>
  <si>
    <t>Юниоры 20-23 (20.01.1998)/23</t>
  </si>
  <si>
    <t>Мастера 50-54 (24.08.1970)/50</t>
  </si>
  <si>
    <t>Мастера 55-59 (24.01.1966)/55</t>
  </si>
  <si>
    <t xml:space="preserve">Мастера 55-59 </t>
  </si>
  <si>
    <t>Мастера 60-64 (01.11.1957)/63</t>
  </si>
  <si>
    <t>Мастера 55-59 (02.09.1964)/56</t>
  </si>
  <si>
    <t>Мастера 50-54 (14.03.1970)/51</t>
  </si>
  <si>
    <t>Мастера 40-44 (25.02.1980)/41</t>
  </si>
  <si>
    <t>Мастера 45-49 (11.02.1973)/48</t>
  </si>
  <si>
    <t>Мастера 45-49 (31.03.1974)/47</t>
  </si>
  <si>
    <t>Мастера 45-49 (11.11.1972)/48</t>
  </si>
  <si>
    <t>Мастера 50-54 (26.10.1970)/50</t>
  </si>
  <si>
    <t>Мастера 60-64 (05.04.1958)/63</t>
  </si>
  <si>
    <t>Мастера 40-44 (08.12.1976)/44</t>
  </si>
  <si>
    <t>Мастера 45-49 (08.11.1975)/45</t>
  </si>
  <si>
    <t xml:space="preserve">Мастера 50-54 </t>
  </si>
  <si>
    <t>Мастера 45-49 (19.01.1973)/48</t>
  </si>
  <si>
    <t>Мастера 50-54 (06.03.1970)/51</t>
  </si>
  <si>
    <t>Мастера 55-59 (11.10.1961)/59</t>
  </si>
  <si>
    <t>Мастера 55-59 (26.09.1961)/59</t>
  </si>
  <si>
    <t>Мастера 40-49 (24.12.1977)/43</t>
  </si>
  <si>
    <t>Мастера 50-59 (07.03.1966)/55</t>
  </si>
  <si>
    <t>Мастера 40-49 (27.04.1975)/46</t>
  </si>
  <si>
    <t>Мастера 40-49 (19.04.1981)/40</t>
  </si>
  <si>
    <t>Мастера 40-49 (05.09.1971)/49</t>
  </si>
  <si>
    <t>Мастера 50-59 (08.08.1962)/58</t>
  </si>
  <si>
    <t>Мастера 40-49 (12.11.1975)/45</t>
  </si>
  <si>
    <t>Мастера 40-49 (07.08.1974)/46</t>
  </si>
  <si>
    <t>Мастера 40-49 (20.08.1979)/41</t>
  </si>
  <si>
    <t>Мастера 40-49 (31.03.1974)/47</t>
  </si>
  <si>
    <t>Мастера 40-49 (30.08.1979)/41</t>
  </si>
  <si>
    <t>Мастера 40-49 (13.01.1978)/43</t>
  </si>
  <si>
    <t>Юноши 13-19 (24.10.2003)/17</t>
  </si>
  <si>
    <t>Мастера 40-49 (22.07.1974)/46</t>
  </si>
  <si>
    <t>Мастера 40-49 (07.04.1981)/40</t>
  </si>
  <si>
    <t>Мастера 40-49 (04.09.1973)/47</t>
  </si>
  <si>
    <t>Юноши 13-19 (09.03.2003)/18</t>
  </si>
  <si>
    <t>Мастера 50-54 (08.11.1968)/52</t>
  </si>
  <si>
    <t>Мастера 40-44 (30.07.1980)/40</t>
  </si>
  <si>
    <t>Мастера 45-49 (11.09.1975)/45</t>
  </si>
  <si>
    <t>Мастера 45-49 (19.08.1974)/46</t>
  </si>
  <si>
    <t>Мастера 60-64 (03.04.1961)/60</t>
  </si>
  <si>
    <t>Мастера 45-49 (28.02.1973)/48</t>
  </si>
  <si>
    <t>Мастера 40-44 (19.05.1978)/43</t>
  </si>
  <si>
    <t>Мастера 45-49 (24.03.1974)/47</t>
  </si>
  <si>
    <t>Мастера 45-49 (04.09.1973)/47</t>
  </si>
  <si>
    <t>Юниорки 20-23 (17.12.1998)/22</t>
  </si>
  <si>
    <t>Мастера 40-49 (02.09.1971)/49</t>
  </si>
  <si>
    <t>Мастера 50-59 (20.04.1966)/55</t>
  </si>
  <si>
    <t>Юноши 13-19 (14.06.2005)/16</t>
  </si>
  <si>
    <t>Мастера 40-49 (28.02.1973)/48</t>
  </si>
  <si>
    <t>Мастера 50-59 (02.09.1964)/56</t>
  </si>
  <si>
    <t>Мастера 45-49 (27.08.1974)/46</t>
  </si>
  <si>
    <t>Мастера 60-64 (15.11.1957)/63</t>
  </si>
  <si>
    <t>Мастера 45-49 (11.05.1976)/45</t>
  </si>
  <si>
    <t>Мастера 40-44 (11.10.1978)/42</t>
  </si>
  <si>
    <t xml:space="preserve">Чебоксары/Республика Чувашия </t>
  </si>
  <si>
    <t>Весовая категория</t>
  </si>
  <si>
    <t>Национальный Чемпионат IPL/СПР
IPL Пауэрлифтинг без экипировки ДК
Суздаль/Владимирская область, 19-20 июня 2021 года</t>
  </si>
  <si>
    <t>Национальный Чемпионат IPL/СПР
IPL Пауэрлифтинг без экипировки
Суздаль/Владимирская область, 19-20 июня 2021 года</t>
  </si>
  <si>
    <t>Национальный Чемпионат IPL/СПР
IPL Пауэрлифтинг в бинтах ДК
Суздаль/Владимирская область, 19-20 июня 2021 года</t>
  </si>
  <si>
    <t>Национальный Чемпионат IPL/СПР
IPL Пауэрлифтинг в бинтах
Суздаль/Владимирская область, 19-20 июня 2021 года</t>
  </si>
  <si>
    <t>Национальный Чемпионат IPL/СПР
IPL Силовое двоеборье в экипировке ДК
Суздаль/Владимирская область, 19-20 июня 2021 года</t>
  </si>
  <si>
    <t>Национальный Чемпионат IPL/СПР
IPL Силовое двоеборье без экипировки ДК
Суздаль/Владимирская область, 19-20 июня 2021 года</t>
  </si>
  <si>
    <t>Национальный Чемпионат IPL/СПР
IPL Силовое двоеборье без экипировки
Суздаль/Владимирская область, 19-20 июня 2021 года</t>
  </si>
  <si>
    <t>Национальный Чемпионат IPL/СПР
IPL Присед без экипировки ДК
Суздаль/Владимирская область, 19-20 июня 2021 года</t>
  </si>
  <si>
    <t>Национальный Чемпионат IPL/СПР
IPL Присед без экипировки
Суздаль/Владимирская область, 19-20 июня 2021 года</t>
  </si>
  <si>
    <t>Национальный Чемпионат IPL/СПР
IPL Присед в бинтах ДК
Суздаль/Владимирская область, 19-20 июня 2021 года</t>
  </si>
  <si>
    <t>Национальный Чемпионат IPL/СПР
IPL Присед в бинтах
Суздаль/Владимирская область, 19-20 июня 2021 года</t>
  </si>
  <si>
    <t>Национальный Чемпионат IPL/СПР
IPL Жим лежа без экипировки ДК
Суздаль/Владимирская область, 19-20 июня 2021 года</t>
  </si>
  <si>
    <t>Национальный Чемпионат IPL/СПР
IPL Жим лежа без экипировки
Суздаль/Владимирская область, 19-20 июня 2021 года</t>
  </si>
  <si>
    <t>Национальный Чемпионат IPL/СПР
IPL Жим лежа в однослойной экипировке ДК
Суздаль/Владимирская область, 19-20 июня 2021 года</t>
  </si>
  <si>
    <t>Национальный Чемпионат IPL/СПР
IPL Жим лежа в однослойной экипировке
Суздаль/Владимирская область, 19-20 июня 2021 года</t>
  </si>
  <si>
    <t>Национальный Чемпионат IPL/СПР
IPL Жим лежа в многослойной экипировке
Суздаль/Владимирская область, 19-20 июня 2021 года</t>
  </si>
  <si>
    <t>Национальный Чемпионат IPL/СПР
IPL Становая тяга без экипировки ДК
Суздаль/Владимирская область, 19-20 июня 2021 года</t>
  </si>
  <si>
    <t>Национальный Чемпионат IPL/СПР
IPL Становая тяга без экипировки
Суздаль/Владимирская область, 19-20 июня 2021 года</t>
  </si>
  <si>
    <t>Междуреченский/ХМАО</t>
  </si>
  <si>
    <t>Стерлитамак/Республика Башкортостан</t>
  </si>
  <si>
    <t>Уренгой/ЯНАО</t>
  </si>
  <si>
    <t>Туляков Н.</t>
  </si>
  <si>
    <t>Казаков В.</t>
  </si>
  <si>
    <t>Шейко Б.</t>
  </si>
  <si>
    <t>Денискин С.</t>
  </si>
  <si>
    <t>Суслов Н.</t>
  </si>
  <si>
    <t>Гулевский А.</t>
  </si>
  <si>
    <t>Мацько И.</t>
  </si>
  <si>
    <t>Клюшев А.</t>
  </si>
  <si>
    <t>Панферова М.</t>
  </si>
  <si>
    <t>Тырныауз/Республика Кабардино-Балкария</t>
  </si>
  <si>
    <t>Карпов И.</t>
  </si>
  <si>
    <t>Самостоятельно</t>
  </si>
  <si>
    <t>Шишлянников Д.</t>
  </si>
  <si>
    <t>Дурандин С.</t>
  </si>
  <si>
    <t>Сарапул/Республика Удмуртия</t>
  </si>
  <si>
    <t>Моисеев С.</t>
  </si>
  <si>
    <t>Еремин Ю.</t>
  </si>
  <si>
    <t>Бастрыкин А.</t>
  </si>
  <si>
    <t>Капитонов Ю.</t>
  </si>
  <si>
    <t>Шалаев Е.</t>
  </si>
  <si>
    <t xml:space="preserve">Сыктывкар/Республика Коми </t>
  </si>
  <si>
    <t>Национальный Чемпионат IPL/СПР
СПР Жим лежа в однопетельной софт экипировке ДК
Суздаль/Владимирская область, 19-20 июня 2021 года</t>
  </si>
  <si>
    <t>Национальный Чемпионат IPL/СПР
СПР Жим лежа в однопетельной софт экипировке
Суздаль/Владимирская область, 19-20 июня 2021 года</t>
  </si>
  <si>
    <t>Национальный Чемпионат IPL/СПР
СПР Жим лежа в многопетельной софт экипировке ДК
Суздаль/Владимирская область, 19-20 июня 2021 года</t>
  </si>
  <si>
    <t>Национальный Чемпионат IPL/СПР
СПР Жим лежа в многопетельной софт экипировке
Суздаль/Владимирская область, 19-20 июня 2021 года</t>
  </si>
  <si>
    <t>Национальный Чемпионат IPL/СПР
СПР Пауэрспорт ДК
Суздаль/Владимирская область, 19-20 июня 2021 года</t>
  </si>
  <si>
    <t>Национальный Чемпионат IPL/СПР
СПР Пауэрспорт
Суздаль/Владимирская область, 19-20 июня 2021 года</t>
  </si>
  <si>
    <t>Национальный Чемпионат IPL/СПР
СПР Строгий подъем штанги на бицепс ДК
Суздаль/Владимирская область, 19-20 июня 2021 года</t>
  </si>
  <si>
    <t>Национальный Чемпионат IPL/СПР
СПР Строгий подъем штанги на бицепс
Суздаль/Владимирская область, 19-20 июня 2021 года</t>
  </si>
  <si>
    <t>Шульгин П.</t>
  </si>
  <si>
    <t>Гончаров О.</t>
  </si>
  <si>
    <t>Ямусукро/Кот-д'Ивуар</t>
  </si>
  <si>
    <t>Gnabro Kokolou Elisee</t>
  </si>
  <si>
    <t>Зеленоград/Московская область</t>
  </si>
  <si>
    <t>Эрнандес Отега А.</t>
  </si>
  <si>
    <t>Минск/Республика Беларусь</t>
  </si>
  <si>
    <t xml:space="preserve">Петрозаводск/Республика Карелия </t>
  </si>
  <si>
    <t>Многоповторный жим</t>
  </si>
  <si>
    <t>№</t>
  </si>
  <si>
    <t>Жим</t>
  </si>
  <si>
    <t xml:space="preserve">
Дата рождения/Возраст</t>
  </si>
  <si>
    <t>Возрастная группа</t>
  </si>
  <si>
    <t>M1</t>
  </si>
  <si>
    <t>O</t>
  </si>
  <si>
    <t>T</t>
  </si>
  <si>
    <t>J</t>
  </si>
  <si>
    <t>M2</t>
  </si>
  <si>
    <t>M5</t>
  </si>
  <si>
    <t>M3</t>
  </si>
  <si>
    <t>M4</t>
  </si>
  <si>
    <t>M</t>
  </si>
  <si>
    <t>M7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</si>
</sst>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U123"/>
  <sheetViews>
    <sheetView tabSelected="1" topLeftCell="A65" workbookViewId="0">
      <selection activeCell="E101" sqref="E101"/>
    </sheetView>
  </sheetViews>
  <sheetFormatPr baseColWidth="10" defaultColWidth="9.1640625" defaultRowHeight="13"/>
  <cols>
    <col min="1" max="1" width="7.5" style="5" bestFit="1" customWidth="1"/>
    <col min="2" max="2" width="23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9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32" bestFit="1" customWidth="1"/>
    <col min="20" max="20" width="8.5" style="6" bestFit="1" customWidth="1"/>
    <col min="21" max="21" width="20.1640625" style="5" bestFit="1" customWidth="1"/>
    <col min="22" max="16384" width="9.1640625" style="3"/>
  </cols>
  <sheetData>
    <row r="1" spans="1:21" s="2" customFormat="1" ht="29" customHeight="1">
      <c r="A1" s="57" t="s">
        <v>1371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</row>
    <row r="2" spans="1:21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4"/>
    </row>
    <row r="3" spans="1:21" s="1" customFormat="1" ht="12.75" customHeight="1">
      <c r="A3" s="65" t="s">
        <v>1430</v>
      </c>
      <c r="B3" s="77" t="s">
        <v>0</v>
      </c>
      <c r="C3" s="67" t="s">
        <v>1432</v>
      </c>
      <c r="D3" s="67" t="s">
        <v>8</v>
      </c>
      <c r="E3" s="69" t="s">
        <v>1433</v>
      </c>
      <c r="F3" s="69" t="s">
        <v>5</v>
      </c>
      <c r="G3" s="69" t="s">
        <v>9</v>
      </c>
      <c r="H3" s="69"/>
      <c r="I3" s="69"/>
      <c r="J3" s="69"/>
      <c r="K3" s="69" t="s">
        <v>10</v>
      </c>
      <c r="L3" s="69"/>
      <c r="M3" s="69"/>
      <c r="N3" s="69"/>
      <c r="O3" s="69" t="s">
        <v>11</v>
      </c>
      <c r="P3" s="69"/>
      <c r="Q3" s="69"/>
      <c r="R3" s="69"/>
      <c r="S3" s="71" t="s">
        <v>1</v>
      </c>
      <c r="T3" s="69" t="s">
        <v>3</v>
      </c>
      <c r="U3" s="73" t="s">
        <v>2</v>
      </c>
    </row>
    <row r="4" spans="1:21" s="1" customFormat="1" ht="21" customHeight="1" thickBot="1">
      <c r="A4" s="66"/>
      <c r="B4" s="78"/>
      <c r="C4" s="68"/>
      <c r="D4" s="68"/>
      <c r="E4" s="68"/>
      <c r="F4" s="6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72"/>
      <c r="T4" s="68"/>
      <c r="U4" s="74"/>
    </row>
    <row r="5" spans="1:21" ht="16">
      <c r="A5" s="75" t="s">
        <v>259</v>
      </c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1:21">
      <c r="A6" s="8" t="s">
        <v>249</v>
      </c>
      <c r="B6" s="7" t="s">
        <v>260</v>
      </c>
      <c r="C6" s="7" t="s">
        <v>261</v>
      </c>
      <c r="D6" s="7" t="s">
        <v>262</v>
      </c>
      <c r="E6" s="7" t="s">
        <v>1435</v>
      </c>
      <c r="F6" s="7" t="s">
        <v>263</v>
      </c>
      <c r="G6" s="20" t="s">
        <v>264</v>
      </c>
      <c r="H6" s="21" t="s">
        <v>264</v>
      </c>
      <c r="I6" s="21" t="s">
        <v>265</v>
      </c>
      <c r="J6" s="8"/>
      <c r="K6" s="21" t="s">
        <v>266</v>
      </c>
      <c r="L6" s="21" t="s">
        <v>50</v>
      </c>
      <c r="M6" s="20" t="s">
        <v>30</v>
      </c>
      <c r="N6" s="8"/>
      <c r="O6" s="21" t="s">
        <v>76</v>
      </c>
      <c r="P6" s="21" t="s">
        <v>267</v>
      </c>
      <c r="Q6" s="20" t="s">
        <v>268</v>
      </c>
      <c r="R6" s="8"/>
      <c r="S6" s="33" t="str">
        <f>"335,0"</f>
        <v>335,0</v>
      </c>
      <c r="T6" s="8" t="str">
        <f>"448,4645"</f>
        <v>448,4645</v>
      </c>
      <c r="U6" s="7" t="s">
        <v>269</v>
      </c>
    </row>
    <row r="7" spans="1:21">
      <c r="A7" s="14" t="s">
        <v>252</v>
      </c>
      <c r="B7" s="13" t="s">
        <v>270</v>
      </c>
      <c r="C7" s="13" t="s">
        <v>271</v>
      </c>
      <c r="D7" s="13" t="s">
        <v>272</v>
      </c>
      <c r="E7" s="13" t="s">
        <v>1435</v>
      </c>
      <c r="F7" s="13" t="s">
        <v>1262</v>
      </c>
      <c r="G7" s="26" t="s">
        <v>273</v>
      </c>
      <c r="H7" s="26" t="s">
        <v>42</v>
      </c>
      <c r="I7" s="26" t="s">
        <v>274</v>
      </c>
      <c r="J7" s="14"/>
      <c r="K7" s="26" t="s">
        <v>275</v>
      </c>
      <c r="L7" s="26" t="s">
        <v>276</v>
      </c>
      <c r="M7" s="26" t="s">
        <v>277</v>
      </c>
      <c r="N7" s="14"/>
      <c r="O7" s="26" t="s">
        <v>17</v>
      </c>
      <c r="P7" s="26" t="s">
        <v>18</v>
      </c>
      <c r="Q7" s="26" t="s">
        <v>19</v>
      </c>
      <c r="R7" s="14"/>
      <c r="S7" s="34" t="str">
        <f>"247,5"</f>
        <v>247,5</v>
      </c>
      <c r="T7" s="14" t="str">
        <f>"328,3088"</f>
        <v>328,3088</v>
      </c>
      <c r="U7" s="13" t="s">
        <v>278</v>
      </c>
    </row>
    <row r="8" spans="1:21">
      <c r="A8" s="10" t="s">
        <v>253</v>
      </c>
      <c r="B8" s="9" t="s">
        <v>279</v>
      </c>
      <c r="C8" s="9" t="s">
        <v>280</v>
      </c>
      <c r="D8" s="9" t="s">
        <v>281</v>
      </c>
      <c r="E8" s="9" t="s">
        <v>1435</v>
      </c>
      <c r="F8" s="9" t="s">
        <v>282</v>
      </c>
      <c r="G8" s="23" t="s">
        <v>277</v>
      </c>
      <c r="H8" s="22" t="s">
        <v>277</v>
      </c>
      <c r="I8" s="22" t="s">
        <v>283</v>
      </c>
      <c r="J8" s="10"/>
      <c r="K8" s="22" t="s">
        <v>284</v>
      </c>
      <c r="L8" s="22" t="s">
        <v>285</v>
      </c>
      <c r="M8" s="23" t="s">
        <v>286</v>
      </c>
      <c r="N8" s="10"/>
      <c r="O8" s="22" t="s">
        <v>50</v>
      </c>
      <c r="P8" s="22" t="s">
        <v>31</v>
      </c>
      <c r="Q8" s="22" t="s">
        <v>287</v>
      </c>
      <c r="R8" s="10"/>
      <c r="S8" s="35" t="str">
        <f>"150,0"</f>
        <v>150,0</v>
      </c>
      <c r="T8" s="10" t="str">
        <f>"204,8550"</f>
        <v>204,8550</v>
      </c>
      <c r="U8" s="9" t="s">
        <v>288</v>
      </c>
    </row>
    <row r="9" spans="1:21">
      <c r="B9" s="5" t="s">
        <v>250</v>
      </c>
    </row>
    <row r="10" spans="1:21" ht="16">
      <c r="A10" s="70" t="s">
        <v>289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21">
      <c r="A11" s="8" t="s">
        <v>249</v>
      </c>
      <c r="B11" s="7" t="s">
        <v>290</v>
      </c>
      <c r="C11" s="7" t="s">
        <v>291</v>
      </c>
      <c r="D11" s="7" t="s">
        <v>292</v>
      </c>
      <c r="E11" s="7" t="s">
        <v>1436</v>
      </c>
      <c r="F11" s="7" t="s">
        <v>138</v>
      </c>
      <c r="G11" s="21" t="s">
        <v>293</v>
      </c>
      <c r="H11" s="21" t="s">
        <v>273</v>
      </c>
      <c r="I11" s="21" t="s">
        <v>42</v>
      </c>
      <c r="J11" s="8"/>
      <c r="K11" s="21" t="s">
        <v>277</v>
      </c>
      <c r="L11" s="21" t="s">
        <v>294</v>
      </c>
      <c r="M11" s="21" t="s">
        <v>283</v>
      </c>
      <c r="N11" s="8"/>
      <c r="O11" s="21" t="s">
        <v>17</v>
      </c>
      <c r="P11" s="21" t="s">
        <v>19</v>
      </c>
      <c r="Q11" s="20" t="s">
        <v>22</v>
      </c>
      <c r="R11" s="8"/>
      <c r="S11" s="33" t="str">
        <f>"250,0"</f>
        <v>250,0</v>
      </c>
      <c r="T11" s="8" t="str">
        <f>"314,9250"</f>
        <v>314,9250</v>
      </c>
      <c r="U11" s="7" t="s">
        <v>150</v>
      </c>
    </row>
    <row r="12" spans="1:21">
      <c r="A12" s="14" t="s">
        <v>252</v>
      </c>
      <c r="B12" s="13" t="s">
        <v>295</v>
      </c>
      <c r="C12" s="13" t="s">
        <v>296</v>
      </c>
      <c r="D12" s="13" t="s">
        <v>297</v>
      </c>
      <c r="E12" s="13" t="s">
        <v>1436</v>
      </c>
      <c r="F12" s="13" t="s">
        <v>138</v>
      </c>
      <c r="G12" s="26" t="s">
        <v>50</v>
      </c>
      <c r="H12" s="26" t="s">
        <v>30</v>
      </c>
      <c r="I12" s="26" t="s">
        <v>31</v>
      </c>
      <c r="J12" s="14"/>
      <c r="K12" s="26" t="s">
        <v>277</v>
      </c>
      <c r="L12" s="26" t="s">
        <v>294</v>
      </c>
      <c r="M12" s="27" t="s">
        <v>283</v>
      </c>
      <c r="N12" s="14"/>
      <c r="O12" s="26" t="s">
        <v>293</v>
      </c>
      <c r="P12" s="26" t="s">
        <v>273</v>
      </c>
      <c r="Q12" s="26" t="s">
        <v>298</v>
      </c>
      <c r="R12" s="14"/>
      <c r="S12" s="34" t="str">
        <f>"205,0"</f>
        <v>205,0</v>
      </c>
      <c r="T12" s="14" t="str">
        <f>"259,4070"</f>
        <v>259,4070</v>
      </c>
      <c r="U12" s="13" t="s">
        <v>150</v>
      </c>
    </row>
    <row r="13" spans="1:21">
      <c r="A13" s="14" t="s">
        <v>249</v>
      </c>
      <c r="B13" s="13" t="s">
        <v>299</v>
      </c>
      <c r="C13" s="13" t="s">
        <v>300</v>
      </c>
      <c r="D13" s="13" t="s">
        <v>301</v>
      </c>
      <c r="E13" s="13" t="s">
        <v>1435</v>
      </c>
      <c r="F13" s="13" t="s">
        <v>302</v>
      </c>
      <c r="G13" s="26" t="s">
        <v>42</v>
      </c>
      <c r="H13" s="26" t="s">
        <v>187</v>
      </c>
      <c r="I13" s="26" t="s">
        <v>17</v>
      </c>
      <c r="J13" s="14"/>
      <c r="K13" s="26" t="s">
        <v>294</v>
      </c>
      <c r="L13" s="27" t="s">
        <v>303</v>
      </c>
      <c r="M13" s="27" t="s">
        <v>303</v>
      </c>
      <c r="N13" s="14"/>
      <c r="O13" s="26" t="s">
        <v>42</v>
      </c>
      <c r="P13" s="26" t="s">
        <v>187</v>
      </c>
      <c r="Q13" s="26" t="s">
        <v>17</v>
      </c>
      <c r="R13" s="14"/>
      <c r="S13" s="34" t="str">
        <f>"247,5"</f>
        <v>247,5</v>
      </c>
      <c r="T13" s="14" t="str">
        <f>"312,7162"</f>
        <v>312,7162</v>
      </c>
      <c r="U13" s="13" t="s">
        <v>304</v>
      </c>
    </row>
    <row r="14" spans="1:21">
      <c r="A14" s="10" t="s">
        <v>252</v>
      </c>
      <c r="B14" s="9" t="s">
        <v>305</v>
      </c>
      <c r="C14" s="9" t="s">
        <v>306</v>
      </c>
      <c r="D14" s="9" t="s">
        <v>297</v>
      </c>
      <c r="E14" s="9" t="s">
        <v>1435</v>
      </c>
      <c r="F14" s="9" t="s">
        <v>307</v>
      </c>
      <c r="G14" s="22" t="s">
        <v>308</v>
      </c>
      <c r="H14" s="23" t="s">
        <v>309</v>
      </c>
      <c r="I14" s="22" t="s">
        <v>309</v>
      </c>
      <c r="J14" s="10"/>
      <c r="K14" s="22" t="s">
        <v>276</v>
      </c>
      <c r="L14" s="22" t="s">
        <v>277</v>
      </c>
      <c r="M14" s="23" t="s">
        <v>283</v>
      </c>
      <c r="N14" s="10"/>
      <c r="O14" s="22" t="s">
        <v>17</v>
      </c>
      <c r="P14" s="22" t="s">
        <v>19</v>
      </c>
      <c r="Q14" s="22" t="s">
        <v>22</v>
      </c>
      <c r="R14" s="10"/>
      <c r="S14" s="35" t="str">
        <f>"227,5"</f>
        <v>227,5</v>
      </c>
      <c r="T14" s="10" t="str">
        <f>"287,8785"</f>
        <v>287,8785</v>
      </c>
      <c r="U14" s="9" t="s">
        <v>310</v>
      </c>
    </row>
    <row r="15" spans="1:21">
      <c r="B15" s="5" t="s">
        <v>250</v>
      </c>
    </row>
    <row r="16" spans="1:21" ht="16">
      <c r="A16" s="70" t="s">
        <v>311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</row>
    <row r="17" spans="1:21">
      <c r="A17" s="8" t="s">
        <v>249</v>
      </c>
      <c r="B17" s="7" t="s">
        <v>312</v>
      </c>
      <c r="C17" s="7" t="s">
        <v>313</v>
      </c>
      <c r="D17" s="7" t="s">
        <v>314</v>
      </c>
      <c r="E17" s="7" t="s">
        <v>1435</v>
      </c>
      <c r="F17" s="7" t="s">
        <v>282</v>
      </c>
      <c r="G17" s="21" t="s">
        <v>42</v>
      </c>
      <c r="H17" s="20" t="s">
        <v>187</v>
      </c>
      <c r="I17" s="20" t="s">
        <v>187</v>
      </c>
      <c r="J17" s="8"/>
      <c r="K17" s="21" t="s">
        <v>315</v>
      </c>
      <c r="L17" s="21" t="s">
        <v>316</v>
      </c>
      <c r="M17" s="20" t="s">
        <v>275</v>
      </c>
      <c r="N17" s="8"/>
      <c r="O17" s="21" t="s">
        <v>17</v>
      </c>
      <c r="P17" s="21" t="s">
        <v>18</v>
      </c>
      <c r="Q17" s="21" t="s">
        <v>19</v>
      </c>
      <c r="R17" s="8"/>
      <c r="S17" s="33" t="str">
        <f>"237,5"</f>
        <v>237,5</v>
      </c>
      <c r="T17" s="8" t="str">
        <f>"281,8175"</f>
        <v>281,8175</v>
      </c>
      <c r="U17" s="7" t="s">
        <v>288</v>
      </c>
    </row>
    <row r="18" spans="1:21">
      <c r="A18" s="10" t="s">
        <v>249</v>
      </c>
      <c r="B18" s="9" t="s">
        <v>317</v>
      </c>
      <c r="C18" s="9" t="s">
        <v>1272</v>
      </c>
      <c r="D18" s="9" t="s">
        <v>318</v>
      </c>
      <c r="E18" s="9" t="s">
        <v>1438</v>
      </c>
      <c r="F18" s="9" t="s">
        <v>118</v>
      </c>
      <c r="G18" s="22" t="s">
        <v>31</v>
      </c>
      <c r="H18" s="22" t="s">
        <v>20</v>
      </c>
      <c r="I18" s="23" t="s">
        <v>21</v>
      </c>
      <c r="J18" s="10"/>
      <c r="K18" s="22" t="s">
        <v>283</v>
      </c>
      <c r="L18" s="23" t="s">
        <v>308</v>
      </c>
      <c r="M18" s="23" t="s">
        <v>308</v>
      </c>
      <c r="N18" s="10"/>
      <c r="O18" s="22" t="s">
        <v>42</v>
      </c>
      <c r="P18" s="22" t="s">
        <v>187</v>
      </c>
      <c r="Q18" s="23" t="s">
        <v>319</v>
      </c>
      <c r="R18" s="10"/>
      <c r="S18" s="35" t="str">
        <f>"220,0"</f>
        <v>220,0</v>
      </c>
      <c r="T18" s="10" t="str">
        <f>"275,5491"</f>
        <v>275,5491</v>
      </c>
      <c r="U18" s="9"/>
    </row>
    <row r="19" spans="1:21">
      <c r="B19" s="5" t="s">
        <v>250</v>
      </c>
    </row>
    <row r="20" spans="1:21" ht="16">
      <c r="A20" s="70" t="s">
        <v>57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</row>
    <row r="21" spans="1:21">
      <c r="A21" s="12" t="s">
        <v>249</v>
      </c>
      <c r="B21" s="11" t="s">
        <v>320</v>
      </c>
      <c r="C21" s="11" t="s">
        <v>321</v>
      </c>
      <c r="D21" s="11" t="s">
        <v>322</v>
      </c>
      <c r="E21" s="11" t="s">
        <v>1435</v>
      </c>
      <c r="F21" s="11" t="s">
        <v>307</v>
      </c>
      <c r="G21" s="25" t="s">
        <v>21</v>
      </c>
      <c r="H21" s="24" t="s">
        <v>21</v>
      </c>
      <c r="I21" s="24" t="s">
        <v>273</v>
      </c>
      <c r="J21" s="12"/>
      <c r="K21" s="24" t="s">
        <v>277</v>
      </c>
      <c r="L21" s="24" t="s">
        <v>283</v>
      </c>
      <c r="M21" s="25" t="s">
        <v>308</v>
      </c>
      <c r="N21" s="12"/>
      <c r="O21" s="24" t="s">
        <v>17</v>
      </c>
      <c r="P21" s="25" t="s">
        <v>19</v>
      </c>
      <c r="Q21" s="25" t="s">
        <v>19</v>
      </c>
      <c r="R21" s="12"/>
      <c r="S21" s="36" t="str">
        <f>"235,0"</f>
        <v>235,0</v>
      </c>
      <c r="T21" s="12" t="str">
        <f>"264,0460"</f>
        <v>264,0460</v>
      </c>
      <c r="U21" s="11" t="s">
        <v>310</v>
      </c>
    </row>
    <row r="22" spans="1:21">
      <c r="B22" s="5" t="s">
        <v>250</v>
      </c>
    </row>
    <row r="23" spans="1:21" ht="16">
      <c r="A23" s="70" t="s">
        <v>12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</row>
    <row r="24" spans="1:21">
      <c r="A24" s="8" t="s">
        <v>249</v>
      </c>
      <c r="B24" s="7" t="s">
        <v>323</v>
      </c>
      <c r="C24" s="7" t="s">
        <v>324</v>
      </c>
      <c r="D24" s="7" t="s">
        <v>325</v>
      </c>
      <c r="E24" s="7" t="s">
        <v>1435</v>
      </c>
      <c r="F24" s="7" t="s">
        <v>1262</v>
      </c>
      <c r="G24" s="21" t="s">
        <v>22</v>
      </c>
      <c r="H24" s="20" t="s">
        <v>65</v>
      </c>
      <c r="I24" s="21" t="s">
        <v>65</v>
      </c>
      <c r="J24" s="8"/>
      <c r="K24" s="21" t="s">
        <v>18</v>
      </c>
      <c r="L24" s="21" t="s">
        <v>27</v>
      </c>
      <c r="M24" s="21" t="s">
        <v>265</v>
      </c>
      <c r="N24" s="8"/>
      <c r="O24" s="21" t="s">
        <v>75</v>
      </c>
      <c r="P24" s="20" t="s">
        <v>49</v>
      </c>
      <c r="Q24" s="21" t="s">
        <v>49</v>
      </c>
      <c r="R24" s="8"/>
      <c r="S24" s="33" t="str">
        <f>"397,5"</f>
        <v>397,5</v>
      </c>
      <c r="T24" s="8" t="str">
        <f>"417,0173"</f>
        <v>417,0173</v>
      </c>
      <c r="U24" s="7" t="s">
        <v>326</v>
      </c>
    </row>
    <row r="25" spans="1:21">
      <c r="A25" s="14" t="s">
        <v>252</v>
      </c>
      <c r="B25" s="13" t="s">
        <v>327</v>
      </c>
      <c r="C25" s="13" t="s">
        <v>328</v>
      </c>
      <c r="D25" s="13" t="s">
        <v>329</v>
      </c>
      <c r="E25" s="13" t="s">
        <v>1435</v>
      </c>
      <c r="F25" s="31" t="s">
        <v>1262</v>
      </c>
      <c r="G25" s="26" t="s">
        <v>23</v>
      </c>
      <c r="H25" s="26" t="s">
        <v>29</v>
      </c>
      <c r="I25" s="27" t="s">
        <v>103</v>
      </c>
      <c r="J25" s="14"/>
      <c r="K25" s="26" t="s">
        <v>50</v>
      </c>
      <c r="L25" s="26" t="s">
        <v>31</v>
      </c>
      <c r="M25" s="27" t="s">
        <v>287</v>
      </c>
      <c r="N25" s="14"/>
      <c r="O25" s="26" t="s">
        <v>23</v>
      </c>
      <c r="P25" s="26" t="s">
        <v>32</v>
      </c>
      <c r="Q25" s="26" t="s">
        <v>75</v>
      </c>
      <c r="R25" s="14"/>
      <c r="S25" s="34" t="str">
        <f>"342,5"</f>
        <v>342,5</v>
      </c>
      <c r="T25" s="14" t="str">
        <f>"352,1928"</f>
        <v>352,1928</v>
      </c>
      <c r="U25" s="13"/>
    </row>
    <row r="26" spans="1:21">
      <c r="A26" s="14" t="s">
        <v>253</v>
      </c>
      <c r="B26" s="13" t="s">
        <v>330</v>
      </c>
      <c r="C26" s="13" t="s">
        <v>331</v>
      </c>
      <c r="D26" s="13" t="s">
        <v>332</v>
      </c>
      <c r="E26" s="13" t="s">
        <v>1435</v>
      </c>
      <c r="F26" s="13" t="s">
        <v>1262</v>
      </c>
      <c r="G26" s="26" t="s">
        <v>22</v>
      </c>
      <c r="H26" s="26" t="s">
        <v>23</v>
      </c>
      <c r="I26" s="27" t="s">
        <v>65</v>
      </c>
      <c r="J26" s="14"/>
      <c r="K26" s="26" t="s">
        <v>283</v>
      </c>
      <c r="L26" s="27" t="s">
        <v>308</v>
      </c>
      <c r="M26" s="27" t="s">
        <v>308</v>
      </c>
      <c r="N26" s="14"/>
      <c r="O26" s="26" t="s">
        <v>75</v>
      </c>
      <c r="P26" s="26" t="s">
        <v>267</v>
      </c>
      <c r="Q26" s="27" t="s">
        <v>51</v>
      </c>
      <c r="R26" s="14"/>
      <c r="S26" s="34" t="str">
        <f>"327,5"</f>
        <v>327,5</v>
      </c>
      <c r="T26" s="14" t="str">
        <f>"342,7943"</f>
        <v>342,7943</v>
      </c>
      <c r="U26" s="13"/>
    </row>
    <row r="27" spans="1:21">
      <c r="A27" s="14" t="s">
        <v>254</v>
      </c>
      <c r="B27" s="13" t="s">
        <v>333</v>
      </c>
      <c r="C27" s="13" t="s">
        <v>334</v>
      </c>
      <c r="D27" s="13" t="s">
        <v>335</v>
      </c>
      <c r="E27" s="13" t="s">
        <v>1435</v>
      </c>
      <c r="F27" s="13" t="s">
        <v>336</v>
      </c>
      <c r="G27" s="26" t="s">
        <v>42</v>
      </c>
      <c r="H27" s="26" t="s">
        <v>187</v>
      </c>
      <c r="I27" s="26" t="s">
        <v>17</v>
      </c>
      <c r="J27" s="14"/>
      <c r="K27" s="26" t="s">
        <v>50</v>
      </c>
      <c r="L27" s="26" t="s">
        <v>30</v>
      </c>
      <c r="M27" s="26" t="s">
        <v>31</v>
      </c>
      <c r="N27" s="14"/>
      <c r="O27" s="26" t="s">
        <v>273</v>
      </c>
      <c r="P27" s="26" t="s">
        <v>274</v>
      </c>
      <c r="Q27" s="27" t="s">
        <v>17</v>
      </c>
      <c r="R27" s="14"/>
      <c r="S27" s="34" t="str">
        <f>"262,5"</f>
        <v>262,5</v>
      </c>
      <c r="T27" s="14" t="str">
        <f>"267,9075"</f>
        <v>267,9075</v>
      </c>
      <c r="U27" s="13" t="s">
        <v>1396</v>
      </c>
    </row>
    <row r="28" spans="1:21">
      <c r="A28" s="14" t="s">
        <v>255</v>
      </c>
      <c r="B28" s="13" t="s">
        <v>337</v>
      </c>
      <c r="C28" s="13" t="s">
        <v>338</v>
      </c>
      <c r="D28" s="13" t="s">
        <v>325</v>
      </c>
      <c r="E28" s="13" t="s">
        <v>1435</v>
      </c>
      <c r="F28" s="13" t="s">
        <v>1369</v>
      </c>
      <c r="G28" s="26" t="s">
        <v>31</v>
      </c>
      <c r="H28" s="26" t="s">
        <v>293</v>
      </c>
      <c r="I28" s="26" t="s">
        <v>273</v>
      </c>
      <c r="J28" s="14"/>
      <c r="K28" s="26" t="s">
        <v>275</v>
      </c>
      <c r="L28" s="27" t="s">
        <v>277</v>
      </c>
      <c r="M28" s="27" t="s">
        <v>277</v>
      </c>
      <c r="N28" s="14"/>
      <c r="O28" s="26" t="s">
        <v>42</v>
      </c>
      <c r="P28" s="26" t="s">
        <v>187</v>
      </c>
      <c r="Q28" s="26" t="s">
        <v>18</v>
      </c>
      <c r="R28" s="14"/>
      <c r="S28" s="34" t="str">
        <f>"230,0"</f>
        <v>230,0</v>
      </c>
      <c r="T28" s="14" t="str">
        <f>"241,2930"</f>
        <v>241,2930</v>
      </c>
      <c r="U28" s="13" t="s">
        <v>339</v>
      </c>
    </row>
    <row r="29" spans="1:21">
      <c r="A29" s="14" t="s">
        <v>249</v>
      </c>
      <c r="B29" s="13" t="s">
        <v>323</v>
      </c>
      <c r="C29" s="13" t="s">
        <v>1273</v>
      </c>
      <c r="D29" s="13" t="s">
        <v>325</v>
      </c>
      <c r="E29" s="13" t="s">
        <v>1434</v>
      </c>
      <c r="F29" s="13" t="s">
        <v>1262</v>
      </c>
      <c r="G29" s="26" t="s">
        <v>22</v>
      </c>
      <c r="H29" s="27" t="s">
        <v>65</v>
      </c>
      <c r="I29" s="26" t="s">
        <v>65</v>
      </c>
      <c r="J29" s="14"/>
      <c r="K29" s="26" t="s">
        <v>18</v>
      </c>
      <c r="L29" s="26" t="s">
        <v>27</v>
      </c>
      <c r="M29" s="26" t="s">
        <v>265</v>
      </c>
      <c r="N29" s="14"/>
      <c r="O29" s="26" t="s">
        <v>75</v>
      </c>
      <c r="P29" s="27" t="s">
        <v>49</v>
      </c>
      <c r="Q29" s="26" t="s">
        <v>49</v>
      </c>
      <c r="R29" s="14"/>
      <c r="S29" s="34" t="str">
        <f>"397,5"</f>
        <v>397,5</v>
      </c>
      <c r="T29" s="14" t="str">
        <f>"428,6937"</f>
        <v>428,6937</v>
      </c>
      <c r="U29" s="13" t="s">
        <v>326</v>
      </c>
    </row>
    <row r="30" spans="1:21">
      <c r="A30" s="14" t="s">
        <v>252</v>
      </c>
      <c r="B30" s="13" t="s">
        <v>340</v>
      </c>
      <c r="C30" s="13" t="s">
        <v>1274</v>
      </c>
      <c r="D30" s="13" t="s">
        <v>341</v>
      </c>
      <c r="E30" s="13" t="s">
        <v>1434</v>
      </c>
      <c r="F30" s="13" t="s">
        <v>342</v>
      </c>
      <c r="G30" s="26" t="s">
        <v>17</v>
      </c>
      <c r="H30" s="26" t="s">
        <v>19</v>
      </c>
      <c r="I30" s="27" t="s">
        <v>27</v>
      </c>
      <c r="J30" s="14"/>
      <c r="K30" s="26" t="s">
        <v>287</v>
      </c>
      <c r="L30" s="26" t="s">
        <v>21</v>
      </c>
      <c r="M30" s="27" t="s">
        <v>293</v>
      </c>
      <c r="N30" s="14"/>
      <c r="O30" s="26" t="s">
        <v>65</v>
      </c>
      <c r="P30" s="26" t="s">
        <v>343</v>
      </c>
      <c r="Q30" s="27" t="s">
        <v>49</v>
      </c>
      <c r="R30" s="14"/>
      <c r="S30" s="34" t="str">
        <f>"330,0"</f>
        <v>330,0</v>
      </c>
      <c r="T30" s="14" t="str">
        <f>"343,7217"</f>
        <v>343,7217</v>
      </c>
      <c r="U30" s="13" t="s">
        <v>344</v>
      </c>
    </row>
    <row r="31" spans="1:21">
      <c r="A31" s="10" t="s">
        <v>253</v>
      </c>
      <c r="B31" s="9" t="s">
        <v>345</v>
      </c>
      <c r="C31" s="9" t="s">
        <v>1275</v>
      </c>
      <c r="D31" s="9" t="s">
        <v>346</v>
      </c>
      <c r="E31" s="9" t="s">
        <v>1434</v>
      </c>
      <c r="F31" s="9" t="s">
        <v>347</v>
      </c>
      <c r="G31" s="22" t="s">
        <v>50</v>
      </c>
      <c r="H31" s="23" t="s">
        <v>20</v>
      </c>
      <c r="I31" s="22" t="s">
        <v>20</v>
      </c>
      <c r="J31" s="10"/>
      <c r="K31" s="22" t="s">
        <v>294</v>
      </c>
      <c r="L31" s="23" t="s">
        <v>303</v>
      </c>
      <c r="M31" s="22" t="s">
        <v>303</v>
      </c>
      <c r="N31" s="10"/>
      <c r="O31" s="22" t="s">
        <v>273</v>
      </c>
      <c r="P31" s="22" t="s">
        <v>274</v>
      </c>
      <c r="Q31" s="22" t="s">
        <v>17</v>
      </c>
      <c r="R31" s="10"/>
      <c r="S31" s="35" t="str">
        <f>"227,5"</f>
        <v>227,5</v>
      </c>
      <c r="T31" s="10" t="str">
        <f>"239,7623"</f>
        <v>239,7623</v>
      </c>
      <c r="U31" s="9" t="s">
        <v>348</v>
      </c>
    </row>
    <row r="32" spans="1:21">
      <c r="B32" s="5" t="s">
        <v>250</v>
      </c>
    </row>
    <row r="33" spans="1:21" ht="16">
      <c r="A33" s="70" t="s">
        <v>68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</row>
    <row r="34" spans="1:21">
      <c r="A34" s="8" t="s">
        <v>249</v>
      </c>
      <c r="B34" s="7" t="s">
        <v>349</v>
      </c>
      <c r="C34" s="7" t="s">
        <v>350</v>
      </c>
      <c r="D34" s="7" t="s">
        <v>351</v>
      </c>
      <c r="E34" s="7" t="s">
        <v>1435</v>
      </c>
      <c r="F34" s="7" t="s">
        <v>342</v>
      </c>
      <c r="G34" s="21" t="s">
        <v>264</v>
      </c>
      <c r="H34" s="21" t="s">
        <v>265</v>
      </c>
      <c r="I34" s="21" t="s">
        <v>23</v>
      </c>
      <c r="J34" s="8"/>
      <c r="K34" s="21" t="s">
        <v>266</v>
      </c>
      <c r="L34" s="21" t="s">
        <v>50</v>
      </c>
      <c r="M34" s="21" t="s">
        <v>31</v>
      </c>
      <c r="N34" s="8"/>
      <c r="O34" s="21" t="s">
        <v>27</v>
      </c>
      <c r="P34" s="21" t="s">
        <v>22</v>
      </c>
      <c r="Q34" s="21" t="s">
        <v>23</v>
      </c>
      <c r="R34" s="8"/>
      <c r="S34" s="33" t="str">
        <f>"320,0"</f>
        <v>320,0</v>
      </c>
      <c r="T34" s="8" t="str">
        <f>"315,8720"</f>
        <v>315,8720</v>
      </c>
      <c r="U34" s="7" t="s">
        <v>344</v>
      </c>
    </row>
    <row r="35" spans="1:21">
      <c r="A35" s="14" t="s">
        <v>252</v>
      </c>
      <c r="B35" s="13" t="s">
        <v>352</v>
      </c>
      <c r="C35" s="13" t="s">
        <v>353</v>
      </c>
      <c r="D35" s="13" t="s">
        <v>354</v>
      </c>
      <c r="E35" s="13" t="s">
        <v>1435</v>
      </c>
      <c r="F35" s="13" t="s">
        <v>1262</v>
      </c>
      <c r="G35" s="26" t="s">
        <v>31</v>
      </c>
      <c r="H35" s="26" t="s">
        <v>20</v>
      </c>
      <c r="I35" s="26" t="s">
        <v>293</v>
      </c>
      <c r="J35" s="14"/>
      <c r="K35" s="26" t="s">
        <v>275</v>
      </c>
      <c r="L35" s="26" t="s">
        <v>276</v>
      </c>
      <c r="M35" s="26" t="s">
        <v>277</v>
      </c>
      <c r="N35" s="14"/>
      <c r="O35" s="26" t="s">
        <v>293</v>
      </c>
      <c r="P35" s="26" t="s">
        <v>42</v>
      </c>
      <c r="Q35" s="26" t="s">
        <v>187</v>
      </c>
      <c r="R35" s="14"/>
      <c r="S35" s="34" t="str">
        <f>"220,0"</f>
        <v>220,0</v>
      </c>
      <c r="T35" s="14" t="str">
        <f>"212,0360"</f>
        <v>212,0360</v>
      </c>
      <c r="U35" s="13" t="s">
        <v>355</v>
      </c>
    </row>
    <row r="36" spans="1:21">
      <c r="A36" s="10" t="s">
        <v>249</v>
      </c>
      <c r="B36" s="9" t="s">
        <v>356</v>
      </c>
      <c r="C36" s="9" t="s">
        <v>1276</v>
      </c>
      <c r="D36" s="9" t="s">
        <v>357</v>
      </c>
      <c r="E36" s="9" t="s">
        <v>1434</v>
      </c>
      <c r="F36" s="9" t="s">
        <v>358</v>
      </c>
      <c r="G36" s="23" t="s">
        <v>17</v>
      </c>
      <c r="H36" s="22" t="s">
        <v>17</v>
      </c>
      <c r="I36" s="22" t="s">
        <v>18</v>
      </c>
      <c r="J36" s="10"/>
      <c r="K36" s="22" t="s">
        <v>50</v>
      </c>
      <c r="L36" s="23" t="s">
        <v>31</v>
      </c>
      <c r="M36" s="10"/>
      <c r="N36" s="10"/>
      <c r="O36" s="22" t="s">
        <v>19</v>
      </c>
      <c r="P36" s="22" t="s">
        <v>22</v>
      </c>
      <c r="Q36" s="22" t="s">
        <v>23</v>
      </c>
      <c r="R36" s="10"/>
      <c r="S36" s="35" t="str">
        <f>"295,0"</f>
        <v>295,0</v>
      </c>
      <c r="T36" s="10" t="str">
        <f>"293,4660"</f>
        <v>293,4660</v>
      </c>
      <c r="U36" s="9" t="s">
        <v>359</v>
      </c>
    </row>
    <row r="37" spans="1:21">
      <c r="B37" s="5" t="s">
        <v>250</v>
      </c>
    </row>
    <row r="38" spans="1:21" ht="16">
      <c r="A38" s="70" t="s">
        <v>34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</row>
    <row r="39" spans="1:21">
      <c r="A39" s="12" t="s">
        <v>249</v>
      </c>
      <c r="B39" s="11" t="s">
        <v>360</v>
      </c>
      <c r="C39" s="11" t="s">
        <v>1277</v>
      </c>
      <c r="D39" s="11" t="s">
        <v>361</v>
      </c>
      <c r="E39" s="11" t="s">
        <v>1438</v>
      </c>
      <c r="F39" s="11" t="s">
        <v>342</v>
      </c>
      <c r="G39" s="24" t="s">
        <v>27</v>
      </c>
      <c r="H39" s="24" t="s">
        <v>22</v>
      </c>
      <c r="I39" s="24" t="s">
        <v>23</v>
      </c>
      <c r="J39" s="12"/>
      <c r="K39" s="24" t="s">
        <v>266</v>
      </c>
      <c r="L39" s="24" t="s">
        <v>309</v>
      </c>
      <c r="M39" s="24" t="s">
        <v>50</v>
      </c>
      <c r="N39" s="12"/>
      <c r="O39" s="24" t="s">
        <v>32</v>
      </c>
      <c r="P39" s="24" t="s">
        <v>75</v>
      </c>
      <c r="Q39" s="24" t="s">
        <v>33</v>
      </c>
      <c r="R39" s="12"/>
      <c r="S39" s="36" t="str">
        <f>"335,0"</f>
        <v>335,0</v>
      </c>
      <c r="T39" s="12" t="str">
        <f>"339,1551"</f>
        <v>339,1551</v>
      </c>
      <c r="U39" s="11" t="s">
        <v>362</v>
      </c>
    </row>
    <row r="40" spans="1:21">
      <c r="B40" s="5" t="s">
        <v>250</v>
      </c>
    </row>
    <row r="41" spans="1:21" ht="16">
      <c r="A41" s="70" t="s">
        <v>45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</row>
    <row r="42" spans="1:21">
      <c r="A42" s="12" t="s">
        <v>249</v>
      </c>
      <c r="B42" s="11" t="s">
        <v>363</v>
      </c>
      <c r="C42" s="11" t="s">
        <v>1278</v>
      </c>
      <c r="D42" s="11" t="s">
        <v>364</v>
      </c>
      <c r="E42" s="11" t="s">
        <v>1434</v>
      </c>
      <c r="F42" s="11" t="s">
        <v>1262</v>
      </c>
      <c r="G42" s="24" t="s">
        <v>50</v>
      </c>
      <c r="H42" s="24" t="s">
        <v>287</v>
      </c>
      <c r="I42" s="24" t="s">
        <v>293</v>
      </c>
      <c r="J42" s="12"/>
      <c r="K42" s="24" t="s">
        <v>283</v>
      </c>
      <c r="L42" s="24" t="s">
        <v>308</v>
      </c>
      <c r="M42" s="12"/>
      <c r="N42" s="12"/>
      <c r="O42" s="24" t="s">
        <v>273</v>
      </c>
      <c r="P42" s="24" t="s">
        <v>187</v>
      </c>
      <c r="Q42" s="24" t="s">
        <v>17</v>
      </c>
      <c r="R42" s="12"/>
      <c r="S42" s="36" t="str">
        <f>"235,0"</f>
        <v>235,0</v>
      </c>
      <c r="T42" s="12" t="str">
        <f>"204,2622"</f>
        <v>204,2622</v>
      </c>
      <c r="U42" s="11" t="s">
        <v>355</v>
      </c>
    </row>
    <row r="43" spans="1:21">
      <c r="B43" s="5" t="s">
        <v>250</v>
      </c>
    </row>
    <row r="44" spans="1:21" ht="16">
      <c r="A44" s="70" t="s">
        <v>311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</row>
    <row r="45" spans="1:21">
      <c r="A45" s="12" t="s">
        <v>249</v>
      </c>
      <c r="B45" s="11" t="s">
        <v>365</v>
      </c>
      <c r="C45" s="11" t="s">
        <v>366</v>
      </c>
      <c r="D45" s="11" t="s">
        <v>367</v>
      </c>
      <c r="E45" s="11" t="s">
        <v>1436</v>
      </c>
      <c r="F45" s="11" t="s">
        <v>368</v>
      </c>
      <c r="G45" s="25" t="s">
        <v>50</v>
      </c>
      <c r="H45" s="24" t="s">
        <v>50</v>
      </c>
      <c r="I45" s="24" t="s">
        <v>287</v>
      </c>
      <c r="J45" s="12"/>
      <c r="K45" s="24" t="s">
        <v>50</v>
      </c>
      <c r="L45" s="25" t="s">
        <v>31</v>
      </c>
      <c r="M45" s="25" t="s">
        <v>31</v>
      </c>
      <c r="N45" s="12"/>
      <c r="O45" s="24" t="s">
        <v>17</v>
      </c>
      <c r="P45" s="24" t="s">
        <v>264</v>
      </c>
      <c r="Q45" s="24" t="s">
        <v>22</v>
      </c>
      <c r="R45" s="12"/>
      <c r="S45" s="36" t="str">
        <f>"257,5"</f>
        <v>257,5</v>
      </c>
      <c r="T45" s="12" t="str">
        <f>"239,0373"</f>
        <v>239,0373</v>
      </c>
      <c r="U45" s="11" t="s">
        <v>369</v>
      </c>
    </row>
    <row r="46" spans="1:21">
      <c r="B46" s="5" t="s">
        <v>250</v>
      </c>
    </row>
    <row r="47" spans="1:21" ht="16">
      <c r="A47" s="70" t="s">
        <v>57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</row>
    <row r="48" spans="1:21">
      <c r="A48" s="12" t="s">
        <v>249</v>
      </c>
      <c r="B48" s="11" t="s">
        <v>370</v>
      </c>
      <c r="C48" s="11" t="s">
        <v>371</v>
      </c>
      <c r="D48" s="11" t="s">
        <v>372</v>
      </c>
      <c r="E48" s="11" t="s">
        <v>1435</v>
      </c>
      <c r="F48" s="11" t="s">
        <v>347</v>
      </c>
      <c r="G48" s="24" t="s">
        <v>17</v>
      </c>
      <c r="H48" s="24" t="s">
        <v>27</v>
      </c>
      <c r="I48" s="24" t="s">
        <v>22</v>
      </c>
      <c r="J48" s="12"/>
      <c r="K48" s="24" t="s">
        <v>20</v>
      </c>
      <c r="L48" s="25" t="s">
        <v>273</v>
      </c>
      <c r="M48" s="25" t="s">
        <v>273</v>
      </c>
      <c r="N48" s="12"/>
      <c r="O48" s="24" t="s">
        <v>65</v>
      </c>
      <c r="P48" s="24" t="s">
        <v>49</v>
      </c>
      <c r="Q48" s="24" t="s">
        <v>77</v>
      </c>
      <c r="R48" s="12"/>
      <c r="S48" s="36" t="str">
        <f>"350,0"</f>
        <v>350,0</v>
      </c>
      <c r="T48" s="12" t="str">
        <f>"309,0500"</f>
        <v>309,0500</v>
      </c>
      <c r="U48" s="11"/>
    </row>
    <row r="49" spans="1:21">
      <c r="B49" s="5" t="s">
        <v>250</v>
      </c>
    </row>
    <row r="50" spans="1:21" ht="16">
      <c r="A50" s="70" t="s">
        <v>68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</row>
    <row r="51" spans="1:21">
      <c r="A51" s="8" t="s">
        <v>249</v>
      </c>
      <c r="B51" s="7" t="s">
        <v>373</v>
      </c>
      <c r="C51" s="7" t="s">
        <v>374</v>
      </c>
      <c r="D51" s="7" t="s">
        <v>375</v>
      </c>
      <c r="E51" s="7" t="s">
        <v>1436</v>
      </c>
      <c r="F51" s="7" t="s">
        <v>138</v>
      </c>
      <c r="G51" s="20" t="s">
        <v>49</v>
      </c>
      <c r="H51" s="21" t="s">
        <v>51</v>
      </c>
      <c r="I51" s="20" t="s">
        <v>52</v>
      </c>
      <c r="J51" s="8"/>
      <c r="K51" s="21" t="s">
        <v>20</v>
      </c>
      <c r="L51" s="21" t="s">
        <v>293</v>
      </c>
      <c r="M51" s="20" t="s">
        <v>273</v>
      </c>
      <c r="N51" s="8"/>
      <c r="O51" s="21" t="s">
        <v>32</v>
      </c>
      <c r="P51" s="21" t="s">
        <v>343</v>
      </c>
      <c r="Q51" s="21" t="s">
        <v>76</v>
      </c>
      <c r="R51" s="8"/>
      <c r="S51" s="33" t="str">
        <f>"387,5"</f>
        <v>387,5</v>
      </c>
      <c r="T51" s="8" t="str">
        <f>"288,1838"</f>
        <v>288,1838</v>
      </c>
      <c r="U51" s="7" t="s">
        <v>150</v>
      </c>
    </row>
    <row r="52" spans="1:21">
      <c r="A52" s="14" t="s">
        <v>252</v>
      </c>
      <c r="B52" s="13" t="s">
        <v>376</v>
      </c>
      <c r="C52" s="13" t="s">
        <v>377</v>
      </c>
      <c r="D52" s="13" t="s">
        <v>378</v>
      </c>
      <c r="E52" s="13" t="s">
        <v>1436</v>
      </c>
      <c r="F52" s="13" t="s">
        <v>124</v>
      </c>
      <c r="G52" s="26" t="s">
        <v>19</v>
      </c>
      <c r="H52" s="27" t="s">
        <v>28</v>
      </c>
      <c r="I52" s="27" t="s">
        <v>65</v>
      </c>
      <c r="J52" s="14"/>
      <c r="K52" s="27" t="s">
        <v>266</v>
      </c>
      <c r="L52" s="26" t="s">
        <v>309</v>
      </c>
      <c r="M52" s="26" t="s">
        <v>287</v>
      </c>
      <c r="N52" s="14"/>
      <c r="O52" s="26" t="s">
        <v>33</v>
      </c>
      <c r="P52" s="26" t="s">
        <v>268</v>
      </c>
      <c r="Q52" s="26" t="s">
        <v>379</v>
      </c>
      <c r="R52" s="14"/>
      <c r="S52" s="34" t="str">
        <f>"345,0"</f>
        <v>345,0</v>
      </c>
      <c r="T52" s="14" t="str">
        <f>"253,1265"</f>
        <v>253,1265</v>
      </c>
      <c r="U52" s="13"/>
    </row>
    <row r="53" spans="1:21">
      <c r="A53" s="14" t="s">
        <v>253</v>
      </c>
      <c r="B53" s="13" t="s">
        <v>380</v>
      </c>
      <c r="C53" s="13" t="s">
        <v>381</v>
      </c>
      <c r="D53" s="13" t="s">
        <v>382</v>
      </c>
      <c r="E53" s="13" t="s">
        <v>1436</v>
      </c>
      <c r="F53" s="13" t="s">
        <v>342</v>
      </c>
      <c r="G53" s="26" t="s">
        <v>293</v>
      </c>
      <c r="H53" s="26" t="s">
        <v>42</v>
      </c>
      <c r="I53" s="26" t="s">
        <v>17</v>
      </c>
      <c r="J53" s="14"/>
      <c r="K53" s="26" t="s">
        <v>266</v>
      </c>
      <c r="L53" s="26" t="s">
        <v>309</v>
      </c>
      <c r="M53" s="26" t="s">
        <v>50</v>
      </c>
      <c r="N53" s="14"/>
      <c r="O53" s="26" t="s">
        <v>42</v>
      </c>
      <c r="P53" s="26" t="s">
        <v>17</v>
      </c>
      <c r="Q53" s="27" t="s">
        <v>19</v>
      </c>
      <c r="R53" s="14"/>
      <c r="S53" s="34" t="str">
        <f>"265,0"</f>
        <v>265,0</v>
      </c>
      <c r="T53" s="14" t="str">
        <f>"200,1280"</f>
        <v>200,1280</v>
      </c>
      <c r="U53" s="13" t="s">
        <v>383</v>
      </c>
    </row>
    <row r="54" spans="1:21">
      <c r="A54" s="14" t="s">
        <v>251</v>
      </c>
      <c r="B54" s="13" t="s">
        <v>384</v>
      </c>
      <c r="C54" s="13" t="s">
        <v>385</v>
      </c>
      <c r="D54" s="13" t="s">
        <v>386</v>
      </c>
      <c r="E54" s="13" t="s">
        <v>1436</v>
      </c>
      <c r="F54" s="13" t="s">
        <v>387</v>
      </c>
      <c r="G54" s="27" t="s">
        <v>49</v>
      </c>
      <c r="H54" s="27" t="s">
        <v>49</v>
      </c>
      <c r="I54" s="27" t="s">
        <v>49</v>
      </c>
      <c r="J54" s="14"/>
      <c r="K54" s="27"/>
      <c r="L54" s="14"/>
      <c r="M54" s="14"/>
      <c r="N54" s="14"/>
      <c r="O54" s="27"/>
      <c r="P54" s="14"/>
      <c r="Q54" s="14"/>
      <c r="R54" s="14"/>
      <c r="S54" s="34">
        <v>0</v>
      </c>
      <c r="T54" s="14" t="str">
        <f>"0,0000"</f>
        <v>0,0000</v>
      </c>
      <c r="U54" s="13" t="s">
        <v>388</v>
      </c>
    </row>
    <row r="55" spans="1:21">
      <c r="A55" s="14" t="s">
        <v>249</v>
      </c>
      <c r="B55" s="13" t="s">
        <v>389</v>
      </c>
      <c r="C55" s="13" t="s">
        <v>390</v>
      </c>
      <c r="D55" s="13" t="s">
        <v>391</v>
      </c>
      <c r="E55" s="13" t="s">
        <v>1435</v>
      </c>
      <c r="F55" s="13" t="s">
        <v>138</v>
      </c>
      <c r="G55" s="26" t="s">
        <v>72</v>
      </c>
      <c r="H55" s="26" t="s">
        <v>56</v>
      </c>
      <c r="I55" s="27" t="s">
        <v>78</v>
      </c>
      <c r="J55" s="14"/>
      <c r="K55" s="26" t="s">
        <v>33</v>
      </c>
      <c r="L55" s="26" t="s">
        <v>77</v>
      </c>
      <c r="M55" s="27" t="s">
        <v>38</v>
      </c>
      <c r="N55" s="14"/>
      <c r="O55" s="26" t="s">
        <v>66</v>
      </c>
      <c r="P55" s="27" t="s">
        <v>62</v>
      </c>
      <c r="Q55" s="26" t="s">
        <v>62</v>
      </c>
      <c r="R55" s="14"/>
      <c r="S55" s="34" t="str">
        <f>"600,0"</f>
        <v>600,0</v>
      </c>
      <c r="T55" s="14" t="str">
        <f>"433,6800"</f>
        <v>433,6800</v>
      </c>
      <c r="U55" s="13" t="s">
        <v>146</v>
      </c>
    </row>
    <row r="56" spans="1:21">
      <c r="A56" s="10" t="s">
        <v>249</v>
      </c>
      <c r="B56" s="9" t="s">
        <v>392</v>
      </c>
      <c r="C56" s="9" t="s">
        <v>1279</v>
      </c>
      <c r="D56" s="9" t="s">
        <v>378</v>
      </c>
      <c r="E56" s="9" t="s">
        <v>1441</v>
      </c>
      <c r="F56" s="9" t="s">
        <v>1262</v>
      </c>
      <c r="G56" s="23" t="s">
        <v>22</v>
      </c>
      <c r="H56" s="22" t="s">
        <v>65</v>
      </c>
      <c r="I56" s="23" t="s">
        <v>75</v>
      </c>
      <c r="J56" s="10"/>
      <c r="K56" s="22" t="s">
        <v>20</v>
      </c>
      <c r="L56" s="23" t="s">
        <v>273</v>
      </c>
      <c r="M56" s="23" t="s">
        <v>273</v>
      </c>
      <c r="N56" s="10"/>
      <c r="O56" s="22" t="s">
        <v>51</v>
      </c>
      <c r="P56" s="22" t="s">
        <v>38</v>
      </c>
      <c r="Q56" s="22" t="s">
        <v>52</v>
      </c>
      <c r="R56" s="10"/>
      <c r="S56" s="35" t="str">
        <f>"375,0"</f>
        <v>375,0</v>
      </c>
      <c r="T56" s="10" t="str">
        <f>"350,2500"</f>
        <v>350,2500</v>
      </c>
      <c r="U56" s="9" t="s">
        <v>393</v>
      </c>
    </row>
    <row r="57" spans="1:21">
      <c r="B57" s="5" t="s">
        <v>250</v>
      </c>
    </row>
    <row r="58" spans="1:21" ht="16">
      <c r="A58" s="70" t="s">
        <v>34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</row>
    <row r="59" spans="1:21">
      <c r="A59" s="8" t="s">
        <v>249</v>
      </c>
      <c r="B59" s="7" t="s">
        <v>394</v>
      </c>
      <c r="C59" s="7" t="s">
        <v>395</v>
      </c>
      <c r="D59" s="7" t="s">
        <v>396</v>
      </c>
      <c r="E59" s="7" t="s">
        <v>1436</v>
      </c>
      <c r="F59" s="7" t="s">
        <v>1262</v>
      </c>
      <c r="G59" s="21" t="s">
        <v>273</v>
      </c>
      <c r="H59" s="21" t="s">
        <v>42</v>
      </c>
      <c r="I59" s="21" t="s">
        <v>187</v>
      </c>
      <c r="J59" s="8"/>
      <c r="K59" s="21" t="s">
        <v>31</v>
      </c>
      <c r="L59" s="20" t="s">
        <v>287</v>
      </c>
      <c r="M59" s="20" t="s">
        <v>287</v>
      </c>
      <c r="N59" s="8"/>
      <c r="O59" s="21" t="s">
        <v>42</v>
      </c>
      <c r="P59" s="20" t="s">
        <v>17</v>
      </c>
      <c r="Q59" s="20" t="s">
        <v>17</v>
      </c>
      <c r="R59" s="8"/>
      <c r="S59" s="33" t="str">
        <f>"255,0"</f>
        <v>255,0</v>
      </c>
      <c r="T59" s="8" t="str">
        <f>"170,8245"</f>
        <v>170,8245</v>
      </c>
      <c r="U59" s="7" t="s">
        <v>355</v>
      </c>
    </row>
    <row r="60" spans="1:21">
      <c r="A60" s="14" t="s">
        <v>249</v>
      </c>
      <c r="B60" s="13" t="s">
        <v>397</v>
      </c>
      <c r="C60" s="13" t="s">
        <v>398</v>
      </c>
      <c r="D60" s="13" t="s">
        <v>399</v>
      </c>
      <c r="E60" s="13" t="s">
        <v>1435</v>
      </c>
      <c r="F60" s="13" t="s">
        <v>400</v>
      </c>
      <c r="G60" s="26" t="s">
        <v>85</v>
      </c>
      <c r="H60" s="26" t="s">
        <v>79</v>
      </c>
      <c r="I60" s="27" t="s">
        <v>132</v>
      </c>
      <c r="J60" s="14"/>
      <c r="K60" s="26" t="s">
        <v>27</v>
      </c>
      <c r="L60" s="27" t="s">
        <v>22</v>
      </c>
      <c r="M60" s="27" t="s">
        <v>22</v>
      </c>
      <c r="N60" s="14"/>
      <c r="O60" s="26" t="s">
        <v>119</v>
      </c>
      <c r="P60" s="26" t="s">
        <v>66</v>
      </c>
      <c r="Q60" s="27" t="s">
        <v>98</v>
      </c>
      <c r="R60" s="14"/>
      <c r="S60" s="34" t="str">
        <f>"565,0"</f>
        <v>565,0</v>
      </c>
      <c r="T60" s="14" t="str">
        <f>"383,9175"</f>
        <v>383,9175</v>
      </c>
      <c r="U60" s="13" t="s">
        <v>401</v>
      </c>
    </row>
    <row r="61" spans="1:21">
      <c r="A61" s="14" t="s">
        <v>252</v>
      </c>
      <c r="B61" s="13" t="s">
        <v>402</v>
      </c>
      <c r="C61" s="13" t="s">
        <v>403</v>
      </c>
      <c r="D61" s="13" t="s">
        <v>404</v>
      </c>
      <c r="E61" s="13" t="s">
        <v>1435</v>
      </c>
      <c r="F61" s="13" t="s">
        <v>342</v>
      </c>
      <c r="G61" s="26" t="s">
        <v>51</v>
      </c>
      <c r="H61" s="26" t="s">
        <v>52</v>
      </c>
      <c r="I61" s="27" t="s">
        <v>40</v>
      </c>
      <c r="J61" s="14"/>
      <c r="K61" s="26" t="s">
        <v>405</v>
      </c>
      <c r="L61" s="26" t="s">
        <v>27</v>
      </c>
      <c r="M61" s="26" t="s">
        <v>22</v>
      </c>
      <c r="N61" s="14"/>
      <c r="O61" s="26" t="s">
        <v>85</v>
      </c>
      <c r="P61" s="26" t="s">
        <v>119</v>
      </c>
      <c r="Q61" s="26" t="s">
        <v>133</v>
      </c>
      <c r="R61" s="14"/>
      <c r="S61" s="34" t="str">
        <f>"520,0"</f>
        <v>520,0</v>
      </c>
      <c r="T61" s="14" t="str">
        <f>"349,9080"</f>
        <v>349,9080</v>
      </c>
      <c r="U61" s="13" t="s">
        <v>406</v>
      </c>
    </row>
    <row r="62" spans="1:21">
      <c r="A62" s="14" t="s">
        <v>253</v>
      </c>
      <c r="B62" s="13" t="s">
        <v>407</v>
      </c>
      <c r="C62" s="13" t="s">
        <v>408</v>
      </c>
      <c r="D62" s="13" t="s">
        <v>399</v>
      </c>
      <c r="E62" s="13" t="s">
        <v>1435</v>
      </c>
      <c r="F62" s="13" t="s">
        <v>409</v>
      </c>
      <c r="G62" s="26" t="s">
        <v>49</v>
      </c>
      <c r="H62" s="26" t="s">
        <v>51</v>
      </c>
      <c r="I62" s="26" t="s">
        <v>126</v>
      </c>
      <c r="J62" s="14"/>
      <c r="K62" s="26" t="s">
        <v>65</v>
      </c>
      <c r="L62" s="27" t="s">
        <v>103</v>
      </c>
      <c r="M62" s="27" t="s">
        <v>103</v>
      </c>
      <c r="N62" s="14"/>
      <c r="O62" s="26" t="s">
        <v>79</v>
      </c>
      <c r="P62" s="27" t="s">
        <v>410</v>
      </c>
      <c r="Q62" s="26" t="s">
        <v>410</v>
      </c>
      <c r="R62" s="14"/>
      <c r="S62" s="34" t="str">
        <f>"510,0"</f>
        <v>510,0</v>
      </c>
      <c r="T62" s="14" t="str">
        <f>"346,5450"</f>
        <v>346,5450</v>
      </c>
      <c r="U62" s="13"/>
    </row>
    <row r="63" spans="1:21">
      <c r="A63" s="14" t="s">
        <v>254</v>
      </c>
      <c r="B63" s="13" t="s">
        <v>411</v>
      </c>
      <c r="C63" s="13" t="s">
        <v>412</v>
      </c>
      <c r="D63" s="13" t="s">
        <v>413</v>
      </c>
      <c r="E63" s="13" t="s">
        <v>1435</v>
      </c>
      <c r="F63" s="13" t="s">
        <v>170</v>
      </c>
      <c r="G63" s="26" t="s">
        <v>49</v>
      </c>
      <c r="H63" s="26" t="s">
        <v>51</v>
      </c>
      <c r="I63" s="26" t="s">
        <v>52</v>
      </c>
      <c r="J63" s="14"/>
      <c r="K63" s="27" t="s">
        <v>65</v>
      </c>
      <c r="L63" s="27" t="s">
        <v>65</v>
      </c>
      <c r="M63" s="26" t="s">
        <v>65</v>
      </c>
      <c r="N63" s="14"/>
      <c r="O63" s="27" t="s">
        <v>56</v>
      </c>
      <c r="P63" s="26" t="s">
        <v>56</v>
      </c>
      <c r="Q63" s="26" t="s">
        <v>85</v>
      </c>
      <c r="R63" s="14"/>
      <c r="S63" s="34" t="str">
        <f>"500,0"</f>
        <v>500,0</v>
      </c>
      <c r="T63" s="14" t="str">
        <f>"341,9000"</f>
        <v>341,9000</v>
      </c>
      <c r="U63" s="13"/>
    </row>
    <row r="64" spans="1:21">
      <c r="A64" s="14" t="s">
        <v>255</v>
      </c>
      <c r="B64" s="13" t="s">
        <v>414</v>
      </c>
      <c r="C64" s="13" t="s">
        <v>415</v>
      </c>
      <c r="D64" s="13" t="s">
        <v>416</v>
      </c>
      <c r="E64" s="13" t="s">
        <v>1435</v>
      </c>
      <c r="F64" s="13" t="s">
        <v>417</v>
      </c>
      <c r="G64" s="26" t="s">
        <v>51</v>
      </c>
      <c r="H64" s="27" t="s">
        <v>40</v>
      </c>
      <c r="I64" s="27" t="s">
        <v>40</v>
      </c>
      <c r="J64" s="14"/>
      <c r="K64" s="26" t="s">
        <v>65</v>
      </c>
      <c r="L64" s="27" t="s">
        <v>32</v>
      </c>
      <c r="M64" s="14"/>
      <c r="N64" s="14"/>
      <c r="O64" s="26" t="s">
        <v>72</v>
      </c>
      <c r="P64" s="27" t="s">
        <v>85</v>
      </c>
      <c r="Q64" s="27" t="s">
        <v>85</v>
      </c>
      <c r="R64" s="14"/>
      <c r="S64" s="34" t="str">
        <f>"470,0"</f>
        <v>470,0</v>
      </c>
      <c r="T64" s="14" t="str">
        <f>"318,6130"</f>
        <v>318,6130</v>
      </c>
      <c r="U64" s="13" t="s">
        <v>393</v>
      </c>
    </row>
    <row r="65" spans="1:21">
      <c r="A65" s="10" t="s">
        <v>256</v>
      </c>
      <c r="B65" s="9" t="s">
        <v>418</v>
      </c>
      <c r="C65" s="9" t="s">
        <v>419</v>
      </c>
      <c r="D65" s="9" t="s">
        <v>420</v>
      </c>
      <c r="E65" s="9" t="s">
        <v>1435</v>
      </c>
      <c r="F65" s="9" t="s">
        <v>307</v>
      </c>
      <c r="G65" s="22" t="s">
        <v>76</v>
      </c>
      <c r="H65" s="22" t="s">
        <v>268</v>
      </c>
      <c r="I65" s="23" t="s">
        <v>379</v>
      </c>
      <c r="J65" s="10"/>
      <c r="K65" s="22" t="s">
        <v>319</v>
      </c>
      <c r="L65" s="22" t="s">
        <v>421</v>
      </c>
      <c r="M65" s="23" t="s">
        <v>18</v>
      </c>
      <c r="N65" s="10"/>
      <c r="O65" s="22" t="s">
        <v>52</v>
      </c>
      <c r="P65" s="22" t="s">
        <v>72</v>
      </c>
      <c r="Q65" s="23" t="s">
        <v>56</v>
      </c>
      <c r="R65" s="10"/>
      <c r="S65" s="35" t="str">
        <f>"440,0"</f>
        <v>440,0</v>
      </c>
      <c r="T65" s="10" t="str">
        <f>"299,2000"</f>
        <v>299,2000</v>
      </c>
      <c r="U65" s="9" t="s">
        <v>310</v>
      </c>
    </row>
    <row r="66" spans="1:21">
      <c r="B66" s="5" t="s">
        <v>250</v>
      </c>
    </row>
    <row r="67" spans="1:21" ht="16">
      <c r="A67" s="70" t="s">
        <v>105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</row>
    <row r="68" spans="1:21">
      <c r="A68" s="8" t="s">
        <v>249</v>
      </c>
      <c r="B68" s="7" t="s">
        <v>422</v>
      </c>
      <c r="C68" s="7" t="s">
        <v>423</v>
      </c>
      <c r="D68" s="7" t="s">
        <v>424</v>
      </c>
      <c r="E68" s="7" t="s">
        <v>1436</v>
      </c>
      <c r="F68" s="7" t="s">
        <v>1262</v>
      </c>
      <c r="G68" s="21" t="s">
        <v>32</v>
      </c>
      <c r="H68" s="21" t="s">
        <v>33</v>
      </c>
      <c r="I68" s="20" t="s">
        <v>51</v>
      </c>
      <c r="J68" s="8"/>
      <c r="K68" s="20" t="s">
        <v>187</v>
      </c>
      <c r="L68" s="21" t="s">
        <v>17</v>
      </c>
      <c r="M68" s="21" t="s">
        <v>18</v>
      </c>
      <c r="N68" s="8"/>
      <c r="O68" s="21" t="s">
        <v>49</v>
      </c>
      <c r="P68" s="21" t="s">
        <v>51</v>
      </c>
      <c r="Q68" s="20" t="s">
        <v>52</v>
      </c>
      <c r="R68" s="8"/>
      <c r="S68" s="33" t="str">
        <f>"410,0"</f>
        <v>410,0</v>
      </c>
      <c r="T68" s="8" t="str">
        <f>"268,1400"</f>
        <v>268,1400</v>
      </c>
      <c r="U68" s="7" t="s">
        <v>355</v>
      </c>
    </row>
    <row r="69" spans="1:21">
      <c r="A69" s="14" t="s">
        <v>249</v>
      </c>
      <c r="B69" s="13" t="s">
        <v>425</v>
      </c>
      <c r="C69" s="13" t="s">
        <v>1280</v>
      </c>
      <c r="D69" s="13" t="s">
        <v>426</v>
      </c>
      <c r="E69" s="13" t="s">
        <v>1437</v>
      </c>
      <c r="F69" s="13" t="s">
        <v>427</v>
      </c>
      <c r="G69" s="26" t="s">
        <v>22</v>
      </c>
      <c r="H69" s="26" t="s">
        <v>83</v>
      </c>
      <c r="I69" s="27" t="s">
        <v>32</v>
      </c>
      <c r="J69" s="14"/>
      <c r="K69" s="26" t="s">
        <v>293</v>
      </c>
      <c r="L69" s="27" t="s">
        <v>273</v>
      </c>
      <c r="M69" s="26" t="s">
        <v>273</v>
      </c>
      <c r="N69" s="14"/>
      <c r="O69" s="26" t="s">
        <v>32</v>
      </c>
      <c r="P69" s="26" t="s">
        <v>33</v>
      </c>
      <c r="Q69" s="26" t="s">
        <v>49</v>
      </c>
      <c r="R69" s="14"/>
      <c r="S69" s="34" t="str">
        <f>"362,5"</f>
        <v>362,5</v>
      </c>
      <c r="T69" s="14" t="str">
        <f>"236,6400"</f>
        <v>236,6400</v>
      </c>
      <c r="U69" s="13" t="s">
        <v>428</v>
      </c>
    </row>
    <row r="70" spans="1:21">
      <c r="A70" s="14" t="s">
        <v>249</v>
      </c>
      <c r="B70" s="13" t="s">
        <v>429</v>
      </c>
      <c r="C70" s="13" t="s">
        <v>430</v>
      </c>
      <c r="D70" s="13" t="s">
        <v>431</v>
      </c>
      <c r="E70" s="13" t="s">
        <v>1435</v>
      </c>
      <c r="F70" s="13" t="s">
        <v>432</v>
      </c>
      <c r="G70" s="26" t="s">
        <v>132</v>
      </c>
      <c r="H70" s="26" t="s">
        <v>133</v>
      </c>
      <c r="I70" s="27" t="s">
        <v>433</v>
      </c>
      <c r="J70" s="14"/>
      <c r="K70" s="26" t="s">
        <v>33</v>
      </c>
      <c r="L70" s="26" t="s">
        <v>49</v>
      </c>
      <c r="M70" s="26" t="s">
        <v>267</v>
      </c>
      <c r="N70" s="14"/>
      <c r="O70" s="26" t="s">
        <v>62</v>
      </c>
      <c r="P70" s="26" t="s">
        <v>110</v>
      </c>
      <c r="Q70" s="26" t="s">
        <v>434</v>
      </c>
      <c r="R70" s="14"/>
      <c r="S70" s="34" t="str">
        <f>"660,0"</f>
        <v>660,0</v>
      </c>
      <c r="T70" s="14" t="str">
        <f>"425,0400"</f>
        <v>425,0400</v>
      </c>
      <c r="U70" s="13"/>
    </row>
    <row r="71" spans="1:21">
      <c r="A71" s="14" t="s">
        <v>252</v>
      </c>
      <c r="B71" s="13" t="s">
        <v>435</v>
      </c>
      <c r="C71" s="13" t="s">
        <v>436</v>
      </c>
      <c r="D71" s="13" t="s">
        <v>137</v>
      </c>
      <c r="E71" s="13" t="s">
        <v>1435</v>
      </c>
      <c r="F71" s="13" t="s">
        <v>307</v>
      </c>
      <c r="G71" s="26" t="s">
        <v>43</v>
      </c>
      <c r="H71" s="26" t="s">
        <v>183</v>
      </c>
      <c r="I71" s="14"/>
      <c r="J71" s="14"/>
      <c r="K71" s="26" t="s">
        <v>343</v>
      </c>
      <c r="L71" s="26" t="s">
        <v>76</v>
      </c>
      <c r="M71" s="26" t="s">
        <v>267</v>
      </c>
      <c r="N71" s="14"/>
      <c r="O71" s="26" t="s">
        <v>110</v>
      </c>
      <c r="P71" s="27" t="s">
        <v>437</v>
      </c>
      <c r="Q71" s="27" t="s">
        <v>437</v>
      </c>
      <c r="R71" s="14"/>
      <c r="S71" s="34" t="str">
        <f>"630,0"</f>
        <v>630,0</v>
      </c>
      <c r="T71" s="14" t="str">
        <f>"405,2160"</f>
        <v>405,2160</v>
      </c>
      <c r="U71" s="13"/>
    </row>
    <row r="72" spans="1:21">
      <c r="A72" s="14" t="s">
        <v>253</v>
      </c>
      <c r="B72" s="13" t="s">
        <v>438</v>
      </c>
      <c r="C72" s="13" t="s">
        <v>439</v>
      </c>
      <c r="D72" s="13" t="s">
        <v>440</v>
      </c>
      <c r="E72" s="13" t="s">
        <v>1435</v>
      </c>
      <c r="F72" s="13" t="s">
        <v>342</v>
      </c>
      <c r="G72" s="26" t="s">
        <v>79</v>
      </c>
      <c r="H72" s="27" t="s">
        <v>132</v>
      </c>
      <c r="I72" s="27" t="s">
        <v>132</v>
      </c>
      <c r="J72" s="14"/>
      <c r="K72" s="26" t="s">
        <v>33</v>
      </c>
      <c r="L72" s="26" t="s">
        <v>49</v>
      </c>
      <c r="M72" s="26" t="s">
        <v>267</v>
      </c>
      <c r="N72" s="14"/>
      <c r="O72" s="26" t="s">
        <v>62</v>
      </c>
      <c r="P72" s="27" t="s">
        <v>67</v>
      </c>
      <c r="Q72" s="14"/>
      <c r="R72" s="14"/>
      <c r="S72" s="34" t="str">
        <f>"617,5"</f>
        <v>617,5</v>
      </c>
      <c r="T72" s="14" t="str">
        <f>"402,3012"</f>
        <v>402,3012</v>
      </c>
      <c r="U72" s="13"/>
    </row>
    <row r="73" spans="1:21">
      <c r="A73" s="14" t="s">
        <v>254</v>
      </c>
      <c r="B73" s="13" t="s">
        <v>441</v>
      </c>
      <c r="C73" s="13" t="s">
        <v>442</v>
      </c>
      <c r="D73" s="13" t="s">
        <v>141</v>
      </c>
      <c r="E73" s="13" t="s">
        <v>1435</v>
      </c>
      <c r="F73" s="13" t="s">
        <v>1262</v>
      </c>
      <c r="G73" s="26" t="s">
        <v>72</v>
      </c>
      <c r="H73" s="27" t="s">
        <v>56</v>
      </c>
      <c r="I73" s="26" t="s">
        <v>56</v>
      </c>
      <c r="J73" s="14"/>
      <c r="K73" s="26" t="s">
        <v>49</v>
      </c>
      <c r="L73" s="26" t="s">
        <v>268</v>
      </c>
      <c r="M73" s="27" t="s">
        <v>379</v>
      </c>
      <c r="N73" s="14"/>
      <c r="O73" s="26" t="s">
        <v>119</v>
      </c>
      <c r="P73" s="26" t="s">
        <v>133</v>
      </c>
      <c r="Q73" s="27" t="s">
        <v>66</v>
      </c>
      <c r="R73" s="14"/>
      <c r="S73" s="34" t="str">
        <f>"577,5"</f>
        <v>577,5</v>
      </c>
      <c r="T73" s="14" t="str">
        <f>"370,9860"</f>
        <v>370,9860</v>
      </c>
      <c r="U73" s="13"/>
    </row>
    <row r="74" spans="1:21">
      <c r="A74" s="14" t="s">
        <v>255</v>
      </c>
      <c r="B74" s="13" t="s">
        <v>443</v>
      </c>
      <c r="C74" s="13" t="s">
        <v>444</v>
      </c>
      <c r="D74" s="13" t="s">
        <v>145</v>
      </c>
      <c r="E74" s="13" t="s">
        <v>1435</v>
      </c>
      <c r="F74" s="13" t="s">
        <v>445</v>
      </c>
      <c r="G74" s="27" t="s">
        <v>78</v>
      </c>
      <c r="H74" s="26" t="s">
        <v>78</v>
      </c>
      <c r="I74" s="27" t="s">
        <v>104</v>
      </c>
      <c r="J74" s="14"/>
      <c r="K74" s="26" t="s">
        <v>65</v>
      </c>
      <c r="L74" s="27" t="s">
        <v>32</v>
      </c>
      <c r="M74" s="27" t="s">
        <v>32</v>
      </c>
      <c r="N74" s="14"/>
      <c r="O74" s="26" t="s">
        <v>98</v>
      </c>
      <c r="P74" s="27" t="s">
        <v>67</v>
      </c>
      <c r="Q74" s="27" t="s">
        <v>67</v>
      </c>
      <c r="R74" s="14"/>
      <c r="S74" s="34" t="str">
        <f>"575,0"</f>
        <v>575,0</v>
      </c>
      <c r="T74" s="14" t="str">
        <f>"370,5300"</f>
        <v>370,5300</v>
      </c>
      <c r="U74" s="13"/>
    </row>
    <row r="75" spans="1:21">
      <c r="A75" s="14" t="s">
        <v>256</v>
      </c>
      <c r="B75" s="13" t="s">
        <v>446</v>
      </c>
      <c r="C75" s="13" t="s">
        <v>447</v>
      </c>
      <c r="D75" s="13" t="s">
        <v>448</v>
      </c>
      <c r="E75" s="13" t="s">
        <v>1435</v>
      </c>
      <c r="F75" s="13" t="s">
        <v>347</v>
      </c>
      <c r="G75" s="26" t="s">
        <v>52</v>
      </c>
      <c r="H75" s="27" t="s">
        <v>72</v>
      </c>
      <c r="I75" s="26" t="s">
        <v>72</v>
      </c>
      <c r="J75" s="14"/>
      <c r="K75" s="26" t="s">
        <v>22</v>
      </c>
      <c r="L75" s="26" t="s">
        <v>23</v>
      </c>
      <c r="M75" s="26" t="s">
        <v>83</v>
      </c>
      <c r="N75" s="14"/>
      <c r="O75" s="26" t="s">
        <v>85</v>
      </c>
      <c r="P75" s="26" t="s">
        <v>132</v>
      </c>
      <c r="Q75" s="26" t="s">
        <v>133</v>
      </c>
      <c r="R75" s="14"/>
      <c r="S75" s="34" t="str">
        <f>"537,5"</f>
        <v>537,5</v>
      </c>
      <c r="T75" s="14" t="str">
        <f>"343,8925"</f>
        <v>343,8925</v>
      </c>
      <c r="U75" s="13" t="s">
        <v>1270</v>
      </c>
    </row>
    <row r="76" spans="1:21">
      <c r="A76" s="14" t="s">
        <v>257</v>
      </c>
      <c r="B76" s="13" t="s">
        <v>449</v>
      </c>
      <c r="C76" s="13" t="s">
        <v>450</v>
      </c>
      <c r="D76" s="13" t="s">
        <v>426</v>
      </c>
      <c r="E76" s="13" t="s">
        <v>1435</v>
      </c>
      <c r="F76" s="13" t="s">
        <v>347</v>
      </c>
      <c r="G76" s="26" t="s">
        <v>51</v>
      </c>
      <c r="H76" s="26" t="s">
        <v>52</v>
      </c>
      <c r="I76" s="27" t="s">
        <v>72</v>
      </c>
      <c r="J76" s="14"/>
      <c r="K76" s="26" t="s">
        <v>23</v>
      </c>
      <c r="L76" s="27" t="s">
        <v>65</v>
      </c>
      <c r="M76" s="27" t="s">
        <v>65</v>
      </c>
      <c r="N76" s="14"/>
      <c r="O76" s="26" t="s">
        <v>79</v>
      </c>
      <c r="P76" s="27" t="s">
        <v>133</v>
      </c>
      <c r="Q76" s="27" t="s">
        <v>133</v>
      </c>
      <c r="R76" s="14"/>
      <c r="S76" s="34" t="str">
        <f>"505,0"</f>
        <v>505,0</v>
      </c>
      <c r="T76" s="14" t="str">
        <f>"329,6640"</f>
        <v>329,6640</v>
      </c>
      <c r="U76" s="13" t="s">
        <v>451</v>
      </c>
    </row>
    <row r="77" spans="1:21">
      <c r="A77" s="10" t="s">
        <v>258</v>
      </c>
      <c r="B77" s="9" t="s">
        <v>452</v>
      </c>
      <c r="C77" s="9" t="s">
        <v>453</v>
      </c>
      <c r="D77" s="9" t="s">
        <v>431</v>
      </c>
      <c r="E77" s="9" t="s">
        <v>1435</v>
      </c>
      <c r="F77" s="9" t="s">
        <v>454</v>
      </c>
      <c r="G77" s="23" t="s">
        <v>51</v>
      </c>
      <c r="H77" s="22" t="s">
        <v>51</v>
      </c>
      <c r="I77" s="23" t="s">
        <v>126</v>
      </c>
      <c r="J77" s="10"/>
      <c r="K77" s="22" t="s">
        <v>27</v>
      </c>
      <c r="L77" s="22" t="s">
        <v>22</v>
      </c>
      <c r="M77" s="23" t="s">
        <v>23</v>
      </c>
      <c r="N77" s="10"/>
      <c r="O77" s="22" t="s">
        <v>52</v>
      </c>
      <c r="P77" s="22" t="s">
        <v>40</v>
      </c>
      <c r="Q77" s="22" t="s">
        <v>72</v>
      </c>
      <c r="R77" s="10"/>
      <c r="S77" s="35" t="str">
        <f>"460,0"</f>
        <v>460,0</v>
      </c>
      <c r="T77" s="10" t="str">
        <f>"296,2400"</f>
        <v>296,2400</v>
      </c>
      <c r="U77" s="9" t="s">
        <v>288</v>
      </c>
    </row>
    <row r="78" spans="1:21">
      <c r="B78" s="5" t="s">
        <v>250</v>
      </c>
    </row>
    <row r="79" spans="1:21" ht="16">
      <c r="A79" s="70" t="s">
        <v>151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</row>
    <row r="80" spans="1:21">
      <c r="A80" s="8" t="s">
        <v>249</v>
      </c>
      <c r="B80" s="7" t="s">
        <v>455</v>
      </c>
      <c r="C80" s="7" t="s">
        <v>456</v>
      </c>
      <c r="D80" s="7" t="s">
        <v>457</v>
      </c>
      <c r="E80" s="7" t="s">
        <v>1436</v>
      </c>
      <c r="F80" s="7" t="s">
        <v>368</v>
      </c>
      <c r="G80" s="21" t="s">
        <v>49</v>
      </c>
      <c r="H80" s="21" t="s">
        <v>51</v>
      </c>
      <c r="I80" s="20" t="s">
        <v>38</v>
      </c>
      <c r="J80" s="8"/>
      <c r="K80" s="21" t="s">
        <v>22</v>
      </c>
      <c r="L80" s="21" t="s">
        <v>65</v>
      </c>
      <c r="M80" s="20" t="s">
        <v>29</v>
      </c>
      <c r="N80" s="8"/>
      <c r="O80" s="21" t="s">
        <v>72</v>
      </c>
      <c r="P80" s="21" t="s">
        <v>56</v>
      </c>
      <c r="Q80" s="21" t="s">
        <v>74</v>
      </c>
      <c r="R80" s="8"/>
      <c r="S80" s="33" t="str">
        <f>"487,5"</f>
        <v>487,5</v>
      </c>
      <c r="T80" s="8" t="str">
        <f>"307,0275"</f>
        <v>307,0275</v>
      </c>
      <c r="U80" s="7" t="s">
        <v>369</v>
      </c>
    </row>
    <row r="81" spans="1:21">
      <c r="A81" s="14" t="s">
        <v>249</v>
      </c>
      <c r="B81" s="13" t="s">
        <v>458</v>
      </c>
      <c r="C81" s="13" t="s">
        <v>1281</v>
      </c>
      <c r="D81" s="13" t="s">
        <v>153</v>
      </c>
      <c r="E81" s="13" t="s">
        <v>1437</v>
      </c>
      <c r="F81" s="13" t="s">
        <v>459</v>
      </c>
      <c r="G81" s="26" t="s">
        <v>72</v>
      </c>
      <c r="H81" s="26" t="s">
        <v>85</v>
      </c>
      <c r="I81" s="27" t="s">
        <v>104</v>
      </c>
      <c r="J81" s="14"/>
      <c r="K81" s="26" t="s">
        <v>49</v>
      </c>
      <c r="L81" s="26" t="s">
        <v>51</v>
      </c>
      <c r="M81" s="27" t="s">
        <v>52</v>
      </c>
      <c r="N81" s="14"/>
      <c r="O81" s="26" t="s">
        <v>133</v>
      </c>
      <c r="P81" s="26" t="s">
        <v>98</v>
      </c>
      <c r="Q81" s="27" t="s">
        <v>67</v>
      </c>
      <c r="R81" s="14"/>
      <c r="S81" s="34" t="str">
        <f>"610,0"</f>
        <v>610,0</v>
      </c>
      <c r="T81" s="14" t="str">
        <f>"371,6730"</f>
        <v>371,6730</v>
      </c>
      <c r="U81" s="13" t="s">
        <v>460</v>
      </c>
    </row>
    <row r="82" spans="1:21">
      <c r="A82" s="14" t="s">
        <v>249</v>
      </c>
      <c r="B82" s="13" t="s">
        <v>461</v>
      </c>
      <c r="C82" s="13" t="s">
        <v>462</v>
      </c>
      <c r="D82" s="13" t="s">
        <v>169</v>
      </c>
      <c r="E82" s="13" t="s">
        <v>1435</v>
      </c>
      <c r="F82" s="13" t="s">
        <v>347</v>
      </c>
      <c r="G82" s="26" t="s">
        <v>92</v>
      </c>
      <c r="H82" s="26" t="s">
        <v>127</v>
      </c>
      <c r="I82" s="27" t="s">
        <v>463</v>
      </c>
      <c r="J82" s="14"/>
      <c r="K82" s="26" t="s">
        <v>52</v>
      </c>
      <c r="L82" s="26" t="s">
        <v>464</v>
      </c>
      <c r="M82" s="27" t="s">
        <v>43</v>
      </c>
      <c r="N82" s="14"/>
      <c r="O82" s="26" t="s">
        <v>63</v>
      </c>
      <c r="P82" s="27" t="s">
        <v>221</v>
      </c>
      <c r="Q82" s="27" t="s">
        <v>221</v>
      </c>
      <c r="R82" s="14"/>
      <c r="S82" s="34" t="str">
        <f>"692,5"</f>
        <v>692,5</v>
      </c>
      <c r="T82" s="14" t="str">
        <f>"424,0177"</f>
        <v>424,0177</v>
      </c>
      <c r="U82" s="13"/>
    </row>
    <row r="83" spans="1:21">
      <c r="A83" s="14" t="s">
        <v>252</v>
      </c>
      <c r="B83" s="13" t="s">
        <v>465</v>
      </c>
      <c r="C83" s="13" t="s">
        <v>466</v>
      </c>
      <c r="D83" s="13" t="s">
        <v>467</v>
      </c>
      <c r="E83" s="13" t="s">
        <v>1435</v>
      </c>
      <c r="F83" s="13" t="s">
        <v>1262</v>
      </c>
      <c r="G83" s="26" t="s">
        <v>85</v>
      </c>
      <c r="H83" s="26" t="s">
        <v>132</v>
      </c>
      <c r="I83" s="27" t="s">
        <v>91</v>
      </c>
      <c r="J83" s="14"/>
      <c r="K83" s="26" t="s">
        <v>33</v>
      </c>
      <c r="L83" s="27" t="s">
        <v>77</v>
      </c>
      <c r="M83" s="27" t="s">
        <v>77</v>
      </c>
      <c r="N83" s="14"/>
      <c r="O83" s="26" t="s">
        <v>85</v>
      </c>
      <c r="P83" s="26" t="s">
        <v>119</v>
      </c>
      <c r="Q83" s="14"/>
      <c r="R83" s="14"/>
      <c r="S83" s="34" t="str">
        <f>"580,0"</f>
        <v>580,0</v>
      </c>
      <c r="T83" s="14" t="str">
        <f>"357,6280"</f>
        <v>357,6280</v>
      </c>
      <c r="U83" s="13" t="s">
        <v>393</v>
      </c>
    </row>
    <row r="84" spans="1:21">
      <c r="A84" s="14" t="s">
        <v>253</v>
      </c>
      <c r="B84" s="13" t="s">
        <v>468</v>
      </c>
      <c r="C84" s="13" t="s">
        <v>469</v>
      </c>
      <c r="D84" s="13" t="s">
        <v>470</v>
      </c>
      <c r="E84" s="13" t="s">
        <v>1435</v>
      </c>
      <c r="F84" s="13" t="s">
        <v>471</v>
      </c>
      <c r="G84" s="26" t="s">
        <v>52</v>
      </c>
      <c r="H84" s="27" t="s">
        <v>43</v>
      </c>
      <c r="I84" s="26" t="s">
        <v>43</v>
      </c>
      <c r="J84" s="14"/>
      <c r="K84" s="26" t="s">
        <v>22</v>
      </c>
      <c r="L84" s="26" t="s">
        <v>83</v>
      </c>
      <c r="M84" s="26" t="s">
        <v>32</v>
      </c>
      <c r="N84" s="14"/>
      <c r="O84" s="26" t="s">
        <v>79</v>
      </c>
      <c r="P84" s="27" t="s">
        <v>133</v>
      </c>
      <c r="Q84" s="27" t="s">
        <v>133</v>
      </c>
      <c r="R84" s="14"/>
      <c r="S84" s="34" t="str">
        <f>"530,0"</f>
        <v>530,0</v>
      </c>
      <c r="T84" s="14" t="str">
        <f>"327,5400"</f>
        <v>327,5400</v>
      </c>
      <c r="U84" s="13" t="s">
        <v>476</v>
      </c>
    </row>
    <row r="85" spans="1:21">
      <c r="A85" s="14" t="s">
        <v>249</v>
      </c>
      <c r="B85" s="13" t="s">
        <v>465</v>
      </c>
      <c r="C85" s="13" t="s">
        <v>1282</v>
      </c>
      <c r="D85" s="13" t="s">
        <v>467</v>
      </c>
      <c r="E85" s="13" t="s">
        <v>1434</v>
      </c>
      <c r="F85" s="13" t="s">
        <v>1262</v>
      </c>
      <c r="G85" s="26" t="s">
        <v>85</v>
      </c>
      <c r="H85" s="26" t="s">
        <v>132</v>
      </c>
      <c r="I85" s="27" t="s">
        <v>91</v>
      </c>
      <c r="J85" s="14"/>
      <c r="K85" s="26" t="s">
        <v>33</v>
      </c>
      <c r="L85" s="27" t="s">
        <v>77</v>
      </c>
      <c r="M85" s="27" t="s">
        <v>77</v>
      </c>
      <c r="N85" s="14"/>
      <c r="O85" s="26" t="s">
        <v>85</v>
      </c>
      <c r="P85" s="26" t="s">
        <v>119</v>
      </c>
      <c r="Q85" s="14"/>
      <c r="R85" s="14"/>
      <c r="S85" s="34" t="str">
        <f>"580,0"</f>
        <v>580,0</v>
      </c>
      <c r="T85" s="14" t="str">
        <f>"357,6280"</f>
        <v>357,6280</v>
      </c>
      <c r="U85" s="13" t="s">
        <v>393</v>
      </c>
    </row>
    <row r="86" spans="1:21">
      <c r="A86" s="10" t="s">
        <v>252</v>
      </c>
      <c r="B86" s="9" t="s">
        <v>472</v>
      </c>
      <c r="C86" s="9" t="s">
        <v>1283</v>
      </c>
      <c r="D86" s="9" t="s">
        <v>473</v>
      </c>
      <c r="E86" s="9" t="s">
        <v>1434</v>
      </c>
      <c r="F86" s="9" t="s">
        <v>474</v>
      </c>
      <c r="G86" s="22" t="s">
        <v>52</v>
      </c>
      <c r="H86" s="23" t="s">
        <v>43</v>
      </c>
      <c r="I86" s="22" t="s">
        <v>43</v>
      </c>
      <c r="J86" s="10"/>
      <c r="K86" s="22" t="s">
        <v>65</v>
      </c>
      <c r="L86" s="22" t="s">
        <v>75</v>
      </c>
      <c r="M86" s="22" t="s">
        <v>49</v>
      </c>
      <c r="N86" s="10"/>
      <c r="O86" s="22" t="s">
        <v>85</v>
      </c>
      <c r="P86" s="22" t="s">
        <v>475</v>
      </c>
      <c r="Q86" s="23" t="s">
        <v>91</v>
      </c>
      <c r="R86" s="10"/>
      <c r="S86" s="35" t="str">
        <f>"552,5"</f>
        <v>552,5</v>
      </c>
      <c r="T86" s="10" t="str">
        <f>"342,0795"</f>
        <v>342,0795</v>
      </c>
      <c r="U86" s="9" t="s">
        <v>476</v>
      </c>
    </row>
    <row r="87" spans="1:21">
      <c r="B87" s="5" t="s">
        <v>250</v>
      </c>
    </row>
    <row r="88" spans="1:21" ht="16">
      <c r="A88" s="70" t="s">
        <v>192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</row>
    <row r="89" spans="1:21">
      <c r="A89" s="8" t="s">
        <v>249</v>
      </c>
      <c r="B89" s="7" t="s">
        <v>477</v>
      </c>
      <c r="C89" s="7" t="s">
        <v>478</v>
      </c>
      <c r="D89" s="7" t="s">
        <v>479</v>
      </c>
      <c r="E89" s="7" t="s">
        <v>1435</v>
      </c>
      <c r="F89" s="7" t="s">
        <v>211</v>
      </c>
      <c r="G89" s="21" t="s">
        <v>92</v>
      </c>
      <c r="H89" s="20" t="s">
        <v>98</v>
      </c>
      <c r="I89" s="21" t="s">
        <v>62</v>
      </c>
      <c r="J89" s="8"/>
      <c r="K89" s="20" t="s">
        <v>49</v>
      </c>
      <c r="L89" s="21" t="s">
        <v>77</v>
      </c>
      <c r="M89" s="20" t="s">
        <v>379</v>
      </c>
      <c r="N89" s="8"/>
      <c r="O89" s="21" t="s">
        <v>64</v>
      </c>
      <c r="P89" s="20" t="s">
        <v>93</v>
      </c>
      <c r="Q89" s="20" t="s">
        <v>93</v>
      </c>
      <c r="R89" s="8"/>
      <c r="S89" s="33" t="str">
        <f>"690,0"</f>
        <v>690,0</v>
      </c>
      <c r="T89" s="8" t="str">
        <f>"409,5150"</f>
        <v>409,5150</v>
      </c>
      <c r="U89" s="7"/>
    </row>
    <row r="90" spans="1:21">
      <c r="A90" s="14" t="s">
        <v>252</v>
      </c>
      <c r="B90" s="13" t="s">
        <v>480</v>
      </c>
      <c r="C90" s="13" t="s">
        <v>481</v>
      </c>
      <c r="D90" s="13" t="s">
        <v>482</v>
      </c>
      <c r="E90" s="13" t="s">
        <v>1435</v>
      </c>
      <c r="F90" s="13" t="s">
        <v>347</v>
      </c>
      <c r="G90" s="26" t="s">
        <v>91</v>
      </c>
      <c r="H90" s="27" t="s">
        <v>92</v>
      </c>
      <c r="I90" s="26" t="s">
        <v>92</v>
      </c>
      <c r="J90" s="14"/>
      <c r="K90" s="26" t="s">
        <v>52</v>
      </c>
      <c r="L90" s="27" t="s">
        <v>72</v>
      </c>
      <c r="M90" s="27" t="s">
        <v>72</v>
      </c>
      <c r="N90" s="14"/>
      <c r="O90" s="26" t="s">
        <v>109</v>
      </c>
      <c r="P90" s="26" t="s">
        <v>110</v>
      </c>
      <c r="Q90" s="27" t="s">
        <v>64</v>
      </c>
      <c r="R90" s="14"/>
      <c r="S90" s="34" t="str">
        <f>"680,0"</f>
        <v>680,0</v>
      </c>
      <c r="T90" s="14" t="str">
        <f>"400,1800"</f>
        <v>400,1800</v>
      </c>
      <c r="U90" s="13"/>
    </row>
    <row r="91" spans="1:21">
      <c r="A91" s="14" t="s">
        <v>253</v>
      </c>
      <c r="B91" s="13" t="s">
        <v>483</v>
      </c>
      <c r="C91" s="13" t="s">
        <v>484</v>
      </c>
      <c r="D91" s="13" t="s">
        <v>485</v>
      </c>
      <c r="E91" s="13" t="s">
        <v>1435</v>
      </c>
      <c r="F91" s="13" t="s">
        <v>191</v>
      </c>
      <c r="G91" s="26" t="s">
        <v>56</v>
      </c>
      <c r="H91" s="27" t="s">
        <v>85</v>
      </c>
      <c r="I91" s="26" t="s">
        <v>85</v>
      </c>
      <c r="J91" s="14"/>
      <c r="K91" s="26" t="s">
        <v>75</v>
      </c>
      <c r="L91" s="27" t="s">
        <v>49</v>
      </c>
      <c r="M91" s="27" t="s">
        <v>49</v>
      </c>
      <c r="N91" s="14"/>
      <c r="O91" s="26" t="s">
        <v>133</v>
      </c>
      <c r="P91" s="26" t="s">
        <v>66</v>
      </c>
      <c r="Q91" s="27" t="s">
        <v>98</v>
      </c>
      <c r="R91" s="14"/>
      <c r="S91" s="34" t="str">
        <f>"580,0"</f>
        <v>580,0</v>
      </c>
      <c r="T91" s="14" t="str">
        <f>"348,7540"</f>
        <v>348,7540</v>
      </c>
      <c r="U91" s="13" t="s">
        <v>486</v>
      </c>
    </row>
    <row r="92" spans="1:21">
      <c r="A92" s="14" t="s">
        <v>251</v>
      </c>
      <c r="B92" s="13" t="s">
        <v>487</v>
      </c>
      <c r="C92" s="13" t="s">
        <v>488</v>
      </c>
      <c r="D92" s="13" t="s">
        <v>489</v>
      </c>
      <c r="E92" s="13" t="s">
        <v>1435</v>
      </c>
      <c r="F92" s="13" t="s">
        <v>1262</v>
      </c>
      <c r="G92" s="26" t="s">
        <v>75</v>
      </c>
      <c r="H92" s="27" t="s">
        <v>77</v>
      </c>
      <c r="I92" s="26" t="s">
        <v>51</v>
      </c>
      <c r="J92" s="14"/>
      <c r="K92" s="27" t="s">
        <v>75</v>
      </c>
      <c r="L92" s="27" t="s">
        <v>33</v>
      </c>
      <c r="M92" s="27" t="s">
        <v>33</v>
      </c>
      <c r="N92" s="14"/>
      <c r="O92" s="14"/>
      <c r="P92" s="14"/>
      <c r="Q92" s="14"/>
      <c r="R92" s="14"/>
      <c r="S92" s="34">
        <v>0</v>
      </c>
      <c r="T92" s="14" t="str">
        <f>"0,0000"</f>
        <v>0,0000</v>
      </c>
      <c r="U92" s="13" t="s">
        <v>359</v>
      </c>
    </row>
    <row r="93" spans="1:21">
      <c r="A93" s="14" t="s">
        <v>249</v>
      </c>
      <c r="B93" s="13" t="s">
        <v>490</v>
      </c>
      <c r="C93" s="13" t="s">
        <v>1284</v>
      </c>
      <c r="D93" s="13" t="s">
        <v>491</v>
      </c>
      <c r="E93" s="13" t="s">
        <v>1434</v>
      </c>
      <c r="F93" s="13" t="s">
        <v>417</v>
      </c>
      <c r="G93" s="26" t="s">
        <v>56</v>
      </c>
      <c r="H93" s="26" t="s">
        <v>85</v>
      </c>
      <c r="I93" s="26" t="s">
        <v>79</v>
      </c>
      <c r="J93" s="14"/>
      <c r="K93" s="26" t="s">
        <v>65</v>
      </c>
      <c r="L93" s="26" t="s">
        <v>32</v>
      </c>
      <c r="M93" s="26" t="s">
        <v>75</v>
      </c>
      <c r="N93" s="14"/>
      <c r="O93" s="26" t="s">
        <v>133</v>
      </c>
      <c r="P93" s="26" t="s">
        <v>66</v>
      </c>
      <c r="Q93" s="27" t="s">
        <v>98</v>
      </c>
      <c r="R93" s="14"/>
      <c r="S93" s="34" t="str">
        <f>"590,0"</f>
        <v>590,0</v>
      </c>
      <c r="T93" s="14" t="str">
        <f>"365,6103"</f>
        <v>365,6103</v>
      </c>
      <c r="U93" s="13" t="s">
        <v>1271</v>
      </c>
    </row>
    <row r="94" spans="1:21">
      <c r="A94" s="10" t="s">
        <v>249</v>
      </c>
      <c r="B94" s="9" t="s">
        <v>492</v>
      </c>
      <c r="C94" s="9" t="s">
        <v>1285</v>
      </c>
      <c r="D94" s="9" t="s">
        <v>493</v>
      </c>
      <c r="E94" s="9" t="s">
        <v>1438</v>
      </c>
      <c r="F94" s="9" t="s">
        <v>494</v>
      </c>
      <c r="G94" s="22" t="s">
        <v>85</v>
      </c>
      <c r="H94" s="22" t="s">
        <v>79</v>
      </c>
      <c r="I94" s="22" t="s">
        <v>119</v>
      </c>
      <c r="J94" s="10"/>
      <c r="K94" s="22" t="s">
        <v>51</v>
      </c>
      <c r="L94" s="22" t="s">
        <v>38</v>
      </c>
      <c r="M94" s="22" t="s">
        <v>52</v>
      </c>
      <c r="N94" s="10"/>
      <c r="O94" s="22" t="s">
        <v>92</v>
      </c>
      <c r="P94" s="22" t="s">
        <v>127</v>
      </c>
      <c r="Q94" s="22" t="s">
        <v>463</v>
      </c>
      <c r="R94" s="10"/>
      <c r="S94" s="35" t="str">
        <f>"642,5"</f>
        <v>642,5</v>
      </c>
      <c r="T94" s="10" t="str">
        <f>"418,7054"</f>
        <v>418,7054</v>
      </c>
      <c r="U94" s="9"/>
    </row>
    <row r="95" spans="1:21">
      <c r="B95" s="5" t="s">
        <v>250</v>
      </c>
    </row>
    <row r="96" spans="1:21" ht="16">
      <c r="A96" s="70" t="s">
        <v>212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</row>
    <row r="97" spans="1:21">
      <c r="A97" s="12" t="s">
        <v>249</v>
      </c>
      <c r="B97" s="11" t="s">
        <v>495</v>
      </c>
      <c r="C97" s="11" t="s">
        <v>496</v>
      </c>
      <c r="D97" s="11" t="s">
        <v>497</v>
      </c>
      <c r="E97" s="11" t="s">
        <v>1435</v>
      </c>
      <c r="F97" s="11" t="s">
        <v>445</v>
      </c>
      <c r="G97" s="24" t="s">
        <v>43</v>
      </c>
      <c r="H97" s="25" t="s">
        <v>78</v>
      </c>
      <c r="I97" s="24" t="s">
        <v>78</v>
      </c>
      <c r="J97" s="12"/>
      <c r="K97" s="24" t="s">
        <v>29</v>
      </c>
      <c r="L97" s="24" t="s">
        <v>343</v>
      </c>
      <c r="M97" s="24" t="s">
        <v>49</v>
      </c>
      <c r="N97" s="12"/>
      <c r="O97" s="24" t="s">
        <v>78</v>
      </c>
      <c r="P97" s="24" t="s">
        <v>104</v>
      </c>
      <c r="Q97" s="24" t="s">
        <v>132</v>
      </c>
      <c r="R97" s="12"/>
      <c r="S97" s="36" t="str">
        <f>"560,0"</f>
        <v>560,0</v>
      </c>
      <c r="T97" s="12" t="str">
        <f>"325,5280"</f>
        <v>325,5280</v>
      </c>
      <c r="U97" s="11" t="s">
        <v>498</v>
      </c>
    </row>
    <row r="98" spans="1:21">
      <c r="B98" s="5" t="s">
        <v>250</v>
      </c>
    </row>
    <row r="99" spans="1:21" ht="16">
      <c r="A99" s="70" t="s">
        <v>499</v>
      </c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</row>
    <row r="100" spans="1:21">
      <c r="A100" s="12" t="s">
        <v>249</v>
      </c>
      <c r="B100" s="11" t="s">
        <v>500</v>
      </c>
      <c r="C100" s="11" t="s">
        <v>1286</v>
      </c>
      <c r="D100" s="11" t="s">
        <v>501</v>
      </c>
      <c r="E100" s="11" t="s">
        <v>1437</v>
      </c>
      <c r="F100" s="11" t="s">
        <v>16</v>
      </c>
      <c r="G100" s="24" t="s">
        <v>62</v>
      </c>
      <c r="H100" s="24" t="s">
        <v>109</v>
      </c>
      <c r="I100" s="24" t="s">
        <v>110</v>
      </c>
      <c r="J100" s="12"/>
      <c r="K100" s="24" t="s">
        <v>52</v>
      </c>
      <c r="L100" s="24" t="s">
        <v>72</v>
      </c>
      <c r="M100" s="24" t="s">
        <v>43</v>
      </c>
      <c r="N100" s="12"/>
      <c r="O100" s="24" t="s">
        <v>109</v>
      </c>
      <c r="P100" s="24" t="s">
        <v>434</v>
      </c>
      <c r="Q100" s="24" t="s">
        <v>198</v>
      </c>
      <c r="R100" s="12"/>
      <c r="S100" s="36" t="str">
        <f>"745,0"</f>
        <v>745,0</v>
      </c>
      <c r="T100" s="12" t="str">
        <f>"418,1685"</f>
        <v>418,1685</v>
      </c>
      <c r="U100" s="11" t="s">
        <v>502</v>
      </c>
    </row>
    <row r="101" spans="1:21">
      <c r="B101" s="5" t="s">
        <v>250</v>
      </c>
    </row>
    <row r="104" spans="1:21" ht="18">
      <c r="B104" s="15" t="s">
        <v>227</v>
      </c>
      <c r="C104" s="15"/>
    </row>
    <row r="105" spans="1:21" ht="16">
      <c r="B105" s="16" t="s">
        <v>228</v>
      </c>
      <c r="C105" s="16"/>
    </row>
    <row r="106" spans="1:21" ht="14">
      <c r="B106" s="17"/>
      <c r="C106" s="18" t="s">
        <v>229</v>
      </c>
    </row>
    <row r="107" spans="1:21" ht="14">
      <c r="B107" s="19" t="s">
        <v>230</v>
      </c>
      <c r="C107" s="19" t="s">
        <v>231</v>
      </c>
      <c r="D107" s="19" t="s">
        <v>1370</v>
      </c>
      <c r="E107" s="19" t="s">
        <v>233</v>
      </c>
      <c r="F107" s="19" t="s">
        <v>234</v>
      </c>
    </row>
    <row r="108" spans="1:21">
      <c r="B108" s="5" t="s">
        <v>260</v>
      </c>
      <c r="C108" s="5" t="s">
        <v>229</v>
      </c>
      <c r="D108" s="6" t="s">
        <v>503</v>
      </c>
      <c r="E108" s="6" t="s">
        <v>504</v>
      </c>
      <c r="F108" s="6" t="s">
        <v>505</v>
      </c>
    </row>
    <row r="109" spans="1:21">
      <c r="B109" s="5" t="s">
        <v>323</v>
      </c>
      <c r="C109" s="5" t="s">
        <v>229</v>
      </c>
      <c r="D109" s="6" t="s">
        <v>236</v>
      </c>
      <c r="E109" s="6" t="s">
        <v>506</v>
      </c>
      <c r="F109" s="6" t="s">
        <v>507</v>
      </c>
    </row>
    <row r="110" spans="1:21">
      <c r="B110" s="5" t="s">
        <v>327</v>
      </c>
      <c r="C110" s="5" t="s">
        <v>229</v>
      </c>
      <c r="D110" s="6" t="s">
        <v>236</v>
      </c>
      <c r="E110" s="6" t="s">
        <v>238</v>
      </c>
      <c r="F110" s="6" t="s">
        <v>508</v>
      </c>
    </row>
    <row r="112" spans="1:21" ht="14">
      <c r="B112" s="17"/>
      <c r="C112" s="18" t="s">
        <v>237</v>
      </c>
    </row>
    <row r="113" spans="2:6" ht="14">
      <c r="B113" s="19" t="s">
        <v>230</v>
      </c>
      <c r="C113" s="19" t="s">
        <v>231</v>
      </c>
      <c r="D113" s="19" t="s">
        <v>1370</v>
      </c>
      <c r="E113" s="19" t="s">
        <v>233</v>
      </c>
      <c r="F113" s="19" t="s">
        <v>234</v>
      </c>
    </row>
    <row r="114" spans="2:6">
      <c r="B114" s="5" t="s">
        <v>323</v>
      </c>
      <c r="C114" s="5" t="s">
        <v>1287</v>
      </c>
      <c r="D114" s="6" t="s">
        <v>236</v>
      </c>
      <c r="E114" s="6" t="s">
        <v>506</v>
      </c>
      <c r="F114" s="6" t="s">
        <v>509</v>
      </c>
    </row>
    <row r="115" spans="2:6">
      <c r="B115" s="5" t="s">
        <v>340</v>
      </c>
      <c r="C115" s="5" t="s">
        <v>1287</v>
      </c>
      <c r="D115" s="6" t="s">
        <v>236</v>
      </c>
      <c r="E115" s="6" t="s">
        <v>510</v>
      </c>
      <c r="F115" s="6" t="s">
        <v>511</v>
      </c>
    </row>
    <row r="116" spans="2:6">
      <c r="B116" s="5" t="s">
        <v>360</v>
      </c>
      <c r="C116" s="5" t="s">
        <v>1288</v>
      </c>
      <c r="D116" s="6" t="s">
        <v>235</v>
      </c>
      <c r="E116" s="6" t="s">
        <v>504</v>
      </c>
      <c r="F116" s="6" t="s">
        <v>512</v>
      </c>
    </row>
    <row r="118" spans="2:6" ht="16">
      <c r="B118" s="16" t="s">
        <v>239</v>
      </c>
      <c r="C118" s="16"/>
    </row>
    <row r="119" spans="2:6" ht="14">
      <c r="B119" s="17"/>
      <c r="C119" s="18" t="s">
        <v>229</v>
      </c>
    </row>
    <row r="120" spans="2:6" ht="14">
      <c r="B120" s="19" t="s">
        <v>230</v>
      </c>
      <c r="C120" s="19" t="s">
        <v>231</v>
      </c>
      <c r="D120" s="19" t="s">
        <v>1370</v>
      </c>
      <c r="E120" s="19" t="s">
        <v>233</v>
      </c>
      <c r="F120" s="19" t="s">
        <v>234</v>
      </c>
    </row>
    <row r="121" spans="2:6">
      <c r="B121" s="5" t="s">
        <v>389</v>
      </c>
      <c r="C121" s="5" t="s">
        <v>229</v>
      </c>
      <c r="D121" s="6" t="s">
        <v>243</v>
      </c>
      <c r="E121" s="6" t="s">
        <v>516</v>
      </c>
      <c r="F121" s="6" t="s">
        <v>517</v>
      </c>
    </row>
    <row r="122" spans="2:6">
      <c r="B122" s="5" t="s">
        <v>429</v>
      </c>
      <c r="C122" s="5" t="s">
        <v>229</v>
      </c>
      <c r="D122" s="6" t="s">
        <v>513</v>
      </c>
      <c r="E122" s="6" t="s">
        <v>518</v>
      </c>
      <c r="F122" s="6" t="s">
        <v>519</v>
      </c>
    </row>
    <row r="123" spans="2:6">
      <c r="B123" s="5" t="s">
        <v>461</v>
      </c>
      <c r="C123" s="5" t="s">
        <v>229</v>
      </c>
      <c r="D123" s="6" t="s">
        <v>240</v>
      </c>
      <c r="E123" s="6" t="s">
        <v>520</v>
      </c>
      <c r="F123" s="6" t="s">
        <v>521</v>
      </c>
    </row>
  </sheetData>
  <mergeCells count="30">
    <mergeCell ref="A79:R79"/>
    <mergeCell ref="A88:R88"/>
    <mergeCell ref="A96:R96"/>
    <mergeCell ref="A99:R99"/>
    <mergeCell ref="B3:B4"/>
    <mergeCell ref="A41:R41"/>
    <mergeCell ref="A44:R44"/>
    <mergeCell ref="A47:R47"/>
    <mergeCell ref="A50:R50"/>
    <mergeCell ref="A58:R58"/>
    <mergeCell ref="A67:R67"/>
    <mergeCell ref="A10:R10"/>
    <mergeCell ref="A16:R16"/>
    <mergeCell ref="A20:R20"/>
    <mergeCell ref="A23:R23"/>
    <mergeCell ref="A33:R33"/>
    <mergeCell ref="A38:R38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5" style="5" customWidth="1"/>
    <col min="3" max="3" width="26.33203125" style="5" bestFit="1" customWidth="1"/>
    <col min="4" max="4" width="15.5" style="5" bestFit="1" customWidth="1"/>
    <col min="5" max="5" width="10" style="5" customWidth="1"/>
    <col min="6" max="6" width="40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10" style="6" customWidth="1"/>
    <col min="13" max="13" width="19.1640625" style="5" customWidth="1"/>
    <col min="14" max="16384" width="9.1640625" style="3"/>
  </cols>
  <sheetData>
    <row r="1" spans="1:13" s="2" customFormat="1" ht="29" customHeight="1">
      <c r="A1" s="57" t="s">
        <v>1380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1430</v>
      </c>
      <c r="B3" s="77" t="s">
        <v>0</v>
      </c>
      <c r="C3" s="67" t="s">
        <v>1432</v>
      </c>
      <c r="D3" s="67" t="s">
        <v>8</v>
      </c>
      <c r="E3" s="69" t="s">
        <v>1433</v>
      </c>
      <c r="F3" s="69" t="s">
        <v>5</v>
      </c>
      <c r="G3" s="69" t="s">
        <v>9</v>
      </c>
      <c r="H3" s="69"/>
      <c r="I3" s="69"/>
      <c r="J3" s="69"/>
      <c r="K3" s="69" t="s">
        <v>692</v>
      </c>
      <c r="L3" s="69" t="s">
        <v>3</v>
      </c>
      <c r="M3" s="73" t="s">
        <v>2</v>
      </c>
    </row>
    <row r="4" spans="1:13" s="1" customFormat="1" ht="21" customHeight="1" thickBot="1">
      <c r="A4" s="66"/>
      <c r="B4" s="78"/>
      <c r="C4" s="68"/>
      <c r="D4" s="68"/>
      <c r="E4" s="68"/>
      <c r="F4" s="68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74"/>
    </row>
    <row r="5" spans="1:13" ht="16">
      <c r="A5" s="75" t="s">
        <v>212</v>
      </c>
      <c r="B5" s="75"/>
      <c r="C5" s="76"/>
      <c r="D5" s="76"/>
      <c r="E5" s="76"/>
      <c r="F5" s="76"/>
      <c r="G5" s="76"/>
      <c r="H5" s="76"/>
      <c r="I5" s="76"/>
      <c r="J5" s="76"/>
    </row>
    <row r="6" spans="1:13">
      <c r="A6" s="12" t="s">
        <v>251</v>
      </c>
      <c r="B6" s="11" t="s">
        <v>577</v>
      </c>
      <c r="C6" s="11" t="s">
        <v>578</v>
      </c>
      <c r="D6" s="11" t="s">
        <v>579</v>
      </c>
      <c r="E6" s="11" t="s">
        <v>1435</v>
      </c>
      <c r="F6" s="11" t="s">
        <v>1401</v>
      </c>
      <c r="G6" s="25" t="s">
        <v>133</v>
      </c>
      <c r="H6" s="25" t="s">
        <v>133</v>
      </c>
      <c r="I6" s="25" t="s">
        <v>133</v>
      </c>
      <c r="J6" s="12"/>
      <c r="K6" s="36">
        <v>0</v>
      </c>
      <c r="L6" s="12" t="str">
        <f>"0,0000"</f>
        <v>0,0000</v>
      </c>
      <c r="M6" s="11" t="s">
        <v>581</v>
      </c>
    </row>
    <row r="7" spans="1:13">
      <c r="B7" s="5" t="s">
        <v>250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332031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1.6640625" style="5" bestFit="1" customWidth="1"/>
    <col min="7" max="10" width="5.5" style="6" customWidth="1"/>
    <col min="11" max="11" width="10.5" style="6" bestFit="1" customWidth="1"/>
    <col min="12" max="12" width="8.5" style="6" bestFit="1" customWidth="1"/>
    <col min="13" max="13" width="18.6640625" style="5" customWidth="1"/>
    <col min="14" max="16384" width="9.1640625" style="3"/>
  </cols>
  <sheetData>
    <row r="1" spans="1:13" s="2" customFormat="1" ht="29" customHeight="1">
      <c r="A1" s="57" t="s">
        <v>1381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1430</v>
      </c>
      <c r="B3" s="77" t="s">
        <v>0</v>
      </c>
      <c r="C3" s="67" t="s">
        <v>1432</v>
      </c>
      <c r="D3" s="67" t="s">
        <v>8</v>
      </c>
      <c r="E3" s="69" t="s">
        <v>1433</v>
      </c>
      <c r="F3" s="69" t="s">
        <v>5</v>
      </c>
      <c r="G3" s="69" t="s">
        <v>9</v>
      </c>
      <c r="H3" s="69"/>
      <c r="I3" s="69"/>
      <c r="J3" s="69"/>
      <c r="K3" s="69" t="s">
        <v>692</v>
      </c>
      <c r="L3" s="69" t="s">
        <v>3</v>
      </c>
      <c r="M3" s="73" t="s">
        <v>2</v>
      </c>
    </row>
    <row r="4" spans="1:13" s="1" customFormat="1" ht="21" customHeight="1" thickBot="1">
      <c r="A4" s="66"/>
      <c r="B4" s="78"/>
      <c r="C4" s="68"/>
      <c r="D4" s="68"/>
      <c r="E4" s="68"/>
      <c r="F4" s="68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74"/>
    </row>
    <row r="5" spans="1:13" ht="16">
      <c r="A5" s="75" t="s">
        <v>57</v>
      </c>
      <c r="B5" s="75"/>
      <c r="C5" s="76"/>
      <c r="D5" s="76"/>
      <c r="E5" s="76"/>
      <c r="F5" s="76"/>
      <c r="G5" s="76"/>
      <c r="H5" s="76"/>
      <c r="I5" s="76"/>
      <c r="J5" s="76"/>
    </row>
    <row r="6" spans="1:13">
      <c r="A6" s="12" t="s">
        <v>249</v>
      </c>
      <c r="B6" s="11" t="s">
        <v>58</v>
      </c>
      <c r="C6" s="11" t="s">
        <v>59</v>
      </c>
      <c r="D6" s="11" t="s">
        <v>60</v>
      </c>
      <c r="E6" s="11" t="s">
        <v>1435</v>
      </c>
      <c r="F6" s="11" t="s">
        <v>61</v>
      </c>
      <c r="G6" s="25" t="s">
        <v>62</v>
      </c>
      <c r="H6" s="24" t="s">
        <v>62</v>
      </c>
      <c r="I6" s="24" t="s">
        <v>63</v>
      </c>
      <c r="J6" s="25" t="s">
        <v>64</v>
      </c>
      <c r="K6" s="12" t="str">
        <f>"270,0"</f>
        <v>270,0</v>
      </c>
      <c r="L6" s="12" t="str">
        <f>"239,1930"</f>
        <v>239,1930</v>
      </c>
      <c r="M6" s="11" t="s">
        <v>527</v>
      </c>
    </row>
    <row r="7" spans="1:13">
      <c r="B7" s="5" t="s">
        <v>250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M112"/>
  <sheetViews>
    <sheetView topLeftCell="A54" workbookViewId="0">
      <selection activeCell="E89" sqref="E89"/>
    </sheetView>
  </sheetViews>
  <sheetFormatPr baseColWidth="10" defaultColWidth="9.1640625" defaultRowHeight="13"/>
  <cols>
    <col min="1" max="1" width="7.5" style="5" bestFit="1" customWidth="1"/>
    <col min="2" max="2" width="21.8320312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39" style="5" bestFit="1" customWidth="1"/>
    <col min="7" max="9" width="5.5" style="6" customWidth="1"/>
    <col min="10" max="10" width="4.83203125" style="6" customWidth="1"/>
    <col min="11" max="11" width="10.5" style="32" bestFit="1" customWidth="1"/>
    <col min="12" max="12" width="8.5" style="6" bestFit="1" customWidth="1"/>
    <col min="13" max="13" width="21.83203125" style="5" bestFit="1" customWidth="1"/>
    <col min="14" max="16384" width="9.1640625" style="3"/>
  </cols>
  <sheetData>
    <row r="1" spans="1:13" s="2" customFormat="1" ht="29" customHeight="1">
      <c r="A1" s="57" t="s">
        <v>1382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1430</v>
      </c>
      <c r="B3" s="77" t="s">
        <v>0</v>
      </c>
      <c r="C3" s="67" t="s">
        <v>1432</v>
      </c>
      <c r="D3" s="67" t="s">
        <v>8</v>
      </c>
      <c r="E3" s="69" t="s">
        <v>1433</v>
      </c>
      <c r="F3" s="69" t="s">
        <v>5</v>
      </c>
      <c r="G3" s="69" t="s">
        <v>10</v>
      </c>
      <c r="H3" s="69"/>
      <c r="I3" s="69"/>
      <c r="J3" s="69"/>
      <c r="K3" s="71" t="s">
        <v>692</v>
      </c>
      <c r="L3" s="69" t="s">
        <v>3</v>
      </c>
      <c r="M3" s="73" t="s">
        <v>2</v>
      </c>
    </row>
    <row r="4" spans="1:13" s="1" customFormat="1" ht="21" customHeight="1" thickBot="1">
      <c r="A4" s="66"/>
      <c r="B4" s="78"/>
      <c r="C4" s="68"/>
      <c r="D4" s="68"/>
      <c r="E4" s="68"/>
      <c r="F4" s="68"/>
      <c r="G4" s="4">
        <v>1</v>
      </c>
      <c r="H4" s="4">
        <v>2</v>
      </c>
      <c r="I4" s="4">
        <v>3</v>
      </c>
      <c r="J4" s="4" t="s">
        <v>4</v>
      </c>
      <c r="K4" s="72"/>
      <c r="L4" s="68"/>
      <c r="M4" s="74"/>
    </row>
    <row r="5" spans="1:13" ht="16">
      <c r="A5" s="75" t="s">
        <v>289</v>
      </c>
      <c r="B5" s="75"/>
      <c r="C5" s="76"/>
      <c r="D5" s="76"/>
      <c r="E5" s="76"/>
      <c r="F5" s="76"/>
      <c r="G5" s="76"/>
      <c r="H5" s="76"/>
      <c r="I5" s="76"/>
      <c r="J5" s="76"/>
    </row>
    <row r="6" spans="1:13">
      <c r="A6" s="8" t="s">
        <v>249</v>
      </c>
      <c r="B6" s="7" t="s">
        <v>295</v>
      </c>
      <c r="C6" s="7" t="s">
        <v>296</v>
      </c>
      <c r="D6" s="7" t="s">
        <v>297</v>
      </c>
      <c r="E6" s="7" t="s">
        <v>1436</v>
      </c>
      <c r="F6" s="7" t="s">
        <v>138</v>
      </c>
      <c r="G6" s="21" t="s">
        <v>277</v>
      </c>
      <c r="H6" s="21" t="s">
        <v>294</v>
      </c>
      <c r="I6" s="20" t="s">
        <v>283</v>
      </c>
      <c r="J6" s="8"/>
      <c r="K6" s="33" t="str">
        <f>"47,5"</f>
        <v>47,5</v>
      </c>
      <c r="L6" s="8" t="str">
        <f>"60,1065"</f>
        <v>60,1065</v>
      </c>
      <c r="M6" s="7" t="s">
        <v>150</v>
      </c>
    </row>
    <row r="7" spans="1:13">
      <c r="A7" s="10" t="s">
        <v>249</v>
      </c>
      <c r="B7" s="9" t="s">
        <v>693</v>
      </c>
      <c r="C7" s="9" t="s">
        <v>694</v>
      </c>
      <c r="D7" s="9" t="s">
        <v>695</v>
      </c>
      <c r="E7" s="9" t="s">
        <v>1435</v>
      </c>
      <c r="F7" s="9" t="s">
        <v>427</v>
      </c>
      <c r="G7" s="22" t="s">
        <v>275</v>
      </c>
      <c r="H7" s="22" t="s">
        <v>277</v>
      </c>
      <c r="I7" s="23" t="s">
        <v>283</v>
      </c>
      <c r="J7" s="10"/>
      <c r="K7" s="35" t="str">
        <f>"45,0"</f>
        <v>45,0</v>
      </c>
      <c r="L7" s="10" t="str">
        <f>"56,1825"</f>
        <v>56,1825</v>
      </c>
      <c r="M7" s="9"/>
    </row>
    <row r="8" spans="1:13">
      <c r="B8" s="5" t="s">
        <v>250</v>
      </c>
    </row>
    <row r="9" spans="1:13" ht="16">
      <c r="A9" s="70" t="s">
        <v>311</v>
      </c>
      <c r="B9" s="70"/>
      <c r="C9" s="70"/>
      <c r="D9" s="70"/>
      <c r="E9" s="70"/>
      <c r="F9" s="70"/>
      <c r="G9" s="70"/>
      <c r="H9" s="70"/>
      <c r="I9" s="70"/>
      <c r="J9" s="70"/>
    </row>
    <row r="10" spans="1:13">
      <c r="A10" s="8" t="s">
        <v>249</v>
      </c>
      <c r="B10" s="7" t="s">
        <v>696</v>
      </c>
      <c r="C10" s="7" t="s">
        <v>697</v>
      </c>
      <c r="D10" s="7" t="s">
        <v>314</v>
      </c>
      <c r="E10" s="7" t="s">
        <v>1435</v>
      </c>
      <c r="F10" s="7" t="s">
        <v>1262</v>
      </c>
      <c r="G10" s="21" t="s">
        <v>308</v>
      </c>
      <c r="H10" s="21" t="s">
        <v>698</v>
      </c>
      <c r="I10" s="20" t="s">
        <v>309</v>
      </c>
      <c r="J10" s="8"/>
      <c r="K10" s="33" t="str">
        <f>"57,5"</f>
        <v>57,5</v>
      </c>
      <c r="L10" s="8" t="str">
        <f>"68,2295"</f>
        <v>68,2295</v>
      </c>
      <c r="M10" s="7" t="s">
        <v>699</v>
      </c>
    </row>
    <row r="11" spans="1:13">
      <c r="A11" s="10" t="s">
        <v>252</v>
      </c>
      <c r="B11" s="9" t="s">
        <v>700</v>
      </c>
      <c r="C11" s="9" t="s">
        <v>701</v>
      </c>
      <c r="D11" s="9" t="s">
        <v>702</v>
      </c>
      <c r="E11" s="9" t="s">
        <v>1435</v>
      </c>
      <c r="F11" s="9" t="s">
        <v>445</v>
      </c>
      <c r="G11" s="22" t="s">
        <v>698</v>
      </c>
      <c r="H11" s="23" t="s">
        <v>309</v>
      </c>
      <c r="I11" s="23" t="s">
        <v>50</v>
      </c>
      <c r="J11" s="10"/>
      <c r="K11" s="35" t="str">
        <f>"57,5"</f>
        <v>57,5</v>
      </c>
      <c r="L11" s="10" t="str">
        <f>"67,8443"</f>
        <v>67,8443</v>
      </c>
      <c r="M11" s="9" t="s">
        <v>703</v>
      </c>
    </row>
    <row r="12" spans="1:13">
      <c r="B12" s="5" t="s">
        <v>250</v>
      </c>
    </row>
    <row r="13" spans="1:13" ht="16">
      <c r="A13" s="70" t="s">
        <v>57</v>
      </c>
      <c r="B13" s="70"/>
      <c r="C13" s="70"/>
      <c r="D13" s="70"/>
      <c r="E13" s="70"/>
      <c r="F13" s="70"/>
      <c r="G13" s="70"/>
      <c r="H13" s="70"/>
      <c r="I13" s="70"/>
      <c r="J13" s="70"/>
    </row>
    <row r="14" spans="1:13">
      <c r="A14" s="12" t="s">
        <v>249</v>
      </c>
      <c r="B14" s="11" t="s">
        <v>704</v>
      </c>
      <c r="C14" s="11" t="s">
        <v>1300</v>
      </c>
      <c r="D14" s="11" t="s">
        <v>705</v>
      </c>
      <c r="E14" s="11" t="s">
        <v>1437</v>
      </c>
      <c r="F14" s="11" t="s">
        <v>706</v>
      </c>
      <c r="G14" s="24" t="s">
        <v>283</v>
      </c>
      <c r="H14" s="24" t="s">
        <v>303</v>
      </c>
      <c r="I14" s="24" t="s">
        <v>308</v>
      </c>
      <c r="J14" s="12"/>
      <c r="K14" s="36" t="str">
        <f>"55,0"</f>
        <v>55,0</v>
      </c>
      <c r="L14" s="12" t="str">
        <f>"61,9630"</f>
        <v>61,9630</v>
      </c>
      <c r="M14" s="11" t="s">
        <v>1404</v>
      </c>
    </row>
    <row r="15" spans="1:13">
      <c r="B15" s="5" t="s">
        <v>250</v>
      </c>
    </row>
    <row r="16" spans="1:13" ht="16">
      <c r="A16" s="70" t="s">
        <v>12</v>
      </c>
      <c r="B16" s="70"/>
      <c r="C16" s="70"/>
      <c r="D16" s="70"/>
      <c r="E16" s="70"/>
      <c r="F16" s="70"/>
      <c r="G16" s="70"/>
      <c r="H16" s="70"/>
      <c r="I16" s="70"/>
      <c r="J16" s="70"/>
    </row>
    <row r="17" spans="1:13">
      <c r="A17" s="8" t="s">
        <v>249</v>
      </c>
      <c r="B17" s="7" t="s">
        <v>323</v>
      </c>
      <c r="C17" s="7" t="s">
        <v>324</v>
      </c>
      <c r="D17" s="7" t="s">
        <v>325</v>
      </c>
      <c r="E17" s="7" t="s">
        <v>1435</v>
      </c>
      <c r="F17" s="7" t="s">
        <v>1262</v>
      </c>
      <c r="G17" s="21" t="s">
        <v>18</v>
      </c>
      <c r="H17" s="21" t="s">
        <v>27</v>
      </c>
      <c r="I17" s="21" t="s">
        <v>265</v>
      </c>
      <c r="J17" s="8"/>
      <c r="K17" s="33" t="str">
        <f>"117,5"</f>
        <v>117,5</v>
      </c>
      <c r="L17" s="8" t="str">
        <f>"123,2693"</f>
        <v>123,2693</v>
      </c>
      <c r="M17" s="7" t="s">
        <v>326</v>
      </c>
    </row>
    <row r="18" spans="1:13">
      <c r="A18" s="14" t="s">
        <v>252</v>
      </c>
      <c r="B18" s="13" t="s">
        <v>707</v>
      </c>
      <c r="C18" s="13" t="s">
        <v>708</v>
      </c>
      <c r="D18" s="13" t="s">
        <v>25</v>
      </c>
      <c r="E18" s="13" t="s">
        <v>1435</v>
      </c>
      <c r="F18" s="13" t="s">
        <v>1262</v>
      </c>
      <c r="G18" s="26" t="s">
        <v>273</v>
      </c>
      <c r="H18" s="27" t="s">
        <v>42</v>
      </c>
      <c r="I18" s="27" t="s">
        <v>42</v>
      </c>
      <c r="J18" s="14"/>
      <c r="K18" s="34" t="str">
        <f>"85,0"</f>
        <v>85,0</v>
      </c>
      <c r="L18" s="14" t="str">
        <f>"87,6010"</f>
        <v>87,6010</v>
      </c>
      <c r="M18" s="13" t="s">
        <v>709</v>
      </c>
    </row>
    <row r="19" spans="1:13">
      <c r="A19" s="14" t="s">
        <v>253</v>
      </c>
      <c r="B19" s="13" t="s">
        <v>710</v>
      </c>
      <c r="C19" s="13" t="s">
        <v>711</v>
      </c>
      <c r="D19" s="13" t="s">
        <v>712</v>
      </c>
      <c r="E19" s="13" t="s">
        <v>1435</v>
      </c>
      <c r="F19" s="13" t="s">
        <v>1262</v>
      </c>
      <c r="G19" s="26" t="s">
        <v>20</v>
      </c>
      <c r="H19" s="27" t="s">
        <v>293</v>
      </c>
      <c r="I19" s="27" t="s">
        <v>293</v>
      </c>
      <c r="J19" s="14"/>
      <c r="K19" s="34" t="str">
        <f>"75,0"</f>
        <v>75,0</v>
      </c>
      <c r="L19" s="14" t="str">
        <f>"77,8875"</f>
        <v>77,8875</v>
      </c>
      <c r="M19" s="13"/>
    </row>
    <row r="20" spans="1:13">
      <c r="A20" s="14" t="s">
        <v>254</v>
      </c>
      <c r="B20" s="13" t="s">
        <v>333</v>
      </c>
      <c r="C20" s="13" t="s">
        <v>334</v>
      </c>
      <c r="D20" s="13" t="s">
        <v>335</v>
      </c>
      <c r="E20" s="13" t="s">
        <v>1435</v>
      </c>
      <c r="F20" s="13" t="s">
        <v>336</v>
      </c>
      <c r="G20" s="26" t="s">
        <v>50</v>
      </c>
      <c r="H20" s="26" t="s">
        <v>30</v>
      </c>
      <c r="I20" s="26" t="s">
        <v>31</v>
      </c>
      <c r="J20" s="14"/>
      <c r="K20" s="34" t="str">
        <f>"70,0"</f>
        <v>70,0</v>
      </c>
      <c r="L20" s="14" t="str">
        <f>"71,4420"</f>
        <v>71,4420</v>
      </c>
      <c r="M20" s="13" t="s">
        <v>526</v>
      </c>
    </row>
    <row r="21" spans="1:13">
      <c r="A21" s="14" t="s">
        <v>249</v>
      </c>
      <c r="B21" s="13" t="s">
        <v>323</v>
      </c>
      <c r="C21" s="13" t="s">
        <v>1273</v>
      </c>
      <c r="D21" s="13" t="s">
        <v>325</v>
      </c>
      <c r="E21" s="13" t="s">
        <v>1434</v>
      </c>
      <c r="F21" s="13" t="s">
        <v>1262</v>
      </c>
      <c r="G21" s="26" t="s">
        <v>18</v>
      </c>
      <c r="H21" s="26" t="s">
        <v>27</v>
      </c>
      <c r="I21" s="26" t="s">
        <v>265</v>
      </c>
      <c r="J21" s="14"/>
      <c r="K21" s="34" t="str">
        <f>"117,5"</f>
        <v>117,5</v>
      </c>
      <c r="L21" s="14" t="str">
        <f>"126,7208"</f>
        <v>126,7208</v>
      </c>
      <c r="M21" s="13" t="s">
        <v>326</v>
      </c>
    </row>
    <row r="22" spans="1:13">
      <c r="A22" s="10" t="s">
        <v>249</v>
      </c>
      <c r="B22" s="9" t="s">
        <v>707</v>
      </c>
      <c r="C22" s="9" t="s">
        <v>1301</v>
      </c>
      <c r="D22" s="9" t="s">
        <v>25</v>
      </c>
      <c r="E22" s="9" t="s">
        <v>1441</v>
      </c>
      <c r="F22" s="9" t="s">
        <v>1262</v>
      </c>
      <c r="G22" s="22" t="s">
        <v>273</v>
      </c>
      <c r="H22" s="23" t="s">
        <v>42</v>
      </c>
      <c r="I22" s="23" t="s">
        <v>42</v>
      </c>
      <c r="J22" s="10"/>
      <c r="K22" s="35" t="str">
        <f>"85,0"</f>
        <v>85,0</v>
      </c>
      <c r="L22" s="10" t="str">
        <f>"109,5012"</f>
        <v>109,5012</v>
      </c>
      <c r="M22" s="9" t="s">
        <v>709</v>
      </c>
    </row>
    <row r="23" spans="1:13">
      <c r="B23" s="5" t="s">
        <v>250</v>
      </c>
    </row>
    <row r="24" spans="1:13" ht="16">
      <c r="A24" s="70" t="s">
        <v>68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3">
      <c r="A25" s="8" t="s">
        <v>249</v>
      </c>
      <c r="B25" s="7" t="s">
        <v>713</v>
      </c>
      <c r="C25" s="7" t="s">
        <v>1302</v>
      </c>
      <c r="D25" s="7" t="s">
        <v>714</v>
      </c>
      <c r="E25" s="7" t="s">
        <v>1437</v>
      </c>
      <c r="F25" s="7" t="s">
        <v>715</v>
      </c>
      <c r="G25" s="21" t="s">
        <v>17</v>
      </c>
      <c r="H25" s="21" t="s">
        <v>405</v>
      </c>
      <c r="I25" s="20" t="s">
        <v>264</v>
      </c>
      <c r="J25" s="8"/>
      <c r="K25" s="33" t="str">
        <f>"107,5"</f>
        <v>107,5</v>
      </c>
      <c r="L25" s="8" t="str">
        <f>"105,3178"</f>
        <v>105,3178</v>
      </c>
      <c r="M25" s="7" t="s">
        <v>550</v>
      </c>
    </row>
    <row r="26" spans="1:13">
      <c r="A26" s="14" t="s">
        <v>249</v>
      </c>
      <c r="B26" s="13" t="s">
        <v>713</v>
      </c>
      <c r="C26" s="13" t="s">
        <v>716</v>
      </c>
      <c r="D26" s="13" t="s">
        <v>714</v>
      </c>
      <c r="E26" s="13" t="s">
        <v>1435</v>
      </c>
      <c r="F26" s="13" t="s">
        <v>715</v>
      </c>
      <c r="G26" s="26" t="s">
        <v>17</v>
      </c>
      <c r="H26" s="26" t="s">
        <v>405</v>
      </c>
      <c r="I26" s="27" t="s">
        <v>264</v>
      </c>
      <c r="J26" s="14"/>
      <c r="K26" s="34" t="str">
        <f>"107,5"</f>
        <v>107,5</v>
      </c>
      <c r="L26" s="14" t="str">
        <f>"105,3178"</f>
        <v>105,3178</v>
      </c>
      <c r="M26" s="13" t="s">
        <v>550</v>
      </c>
    </row>
    <row r="27" spans="1:13">
      <c r="A27" s="14" t="s">
        <v>252</v>
      </c>
      <c r="B27" s="13" t="s">
        <v>717</v>
      </c>
      <c r="C27" s="13" t="s">
        <v>718</v>
      </c>
      <c r="D27" s="13" t="s">
        <v>719</v>
      </c>
      <c r="E27" s="13" t="s">
        <v>1435</v>
      </c>
      <c r="F27" s="13" t="s">
        <v>1262</v>
      </c>
      <c r="G27" s="26" t="s">
        <v>31</v>
      </c>
      <c r="H27" s="26" t="s">
        <v>20</v>
      </c>
      <c r="I27" s="26" t="s">
        <v>21</v>
      </c>
      <c r="J27" s="14"/>
      <c r="K27" s="34" t="str">
        <f>"77,5"</f>
        <v>77,5</v>
      </c>
      <c r="L27" s="14" t="str">
        <f>"76,8723"</f>
        <v>76,8723</v>
      </c>
      <c r="M27" s="13" t="s">
        <v>592</v>
      </c>
    </row>
    <row r="28" spans="1:13">
      <c r="A28" s="10" t="s">
        <v>249</v>
      </c>
      <c r="B28" s="9" t="s">
        <v>356</v>
      </c>
      <c r="C28" s="9" t="s">
        <v>1276</v>
      </c>
      <c r="D28" s="9" t="s">
        <v>357</v>
      </c>
      <c r="E28" s="9" t="s">
        <v>1434</v>
      </c>
      <c r="F28" s="9" t="s">
        <v>358</v>
      </c>
      <c r="G28" s="22" t="s">
        <v>50</v>
      </c>
      <c r="H28" s="23" t="s">
        <v>31</v>
      </c>
      <c r="I28" s="10"/>
      <c r="J28" s="10"/>
      <c r="K28" s="35" t="str">
        <f>"65,0"</f>
        <v>65,0</v>
      </c>
      <c r="L28" s="10" t="str">
        <f>"64,6620"</f>
        <v>64,6620</v>
      </c>
      <c r="M28" s="9" t="s">
        <v>359</v>
      </c>
    </row>
    <row r="29" spans="1:13">
      <c r="B29" s="5" t="s">
        <v>250</v>
      </c>
    </row>
    <row r="30" spans="1:13" ht="16">
      <c r="A30" s="70" t="s">
        <v>289</v>
      </c>
      <c r="B30" s="70"/>
      <c r="C30" s="70"/>
      <c r="D30" s="70"/>
      <c r="E30" s="70"/>
      <c r="F30" s="70"/>
      <c r="G30" s="70"/>
      <c r="H30" s="70"/>
      <c r="I30" s="70"/>
      <c r="J30" s="70"/>
    </row>
    <row r="31" spans="1:13">
      <c r="A31" s="12" t="s">
        <v>249</v>
      </c>
      <c r="B31" s="11" t="s">
        <v>720</v>
      </c>
      <c r="C31" s="11" t="s">
        <v>721</v>
      </c>
      <c r="D31" s="11" t="s">
        <v>722</v>
      </c>
      <c r="E31" s="11" t="s">
        <v>1436</v>
      </c>
      <c r="F31" s="11" t="s">
        <v>494</v>
      </c>
      <c r="G31" s="24" t="s">
        <v>286</v>
      </c>
      <c r="H31" s="24" t="s">
        <v>315</v>
      </c>
      <c r="I31" s="25" t="s">
        <v>275</v>
      </c>
      <c r="J31" s="12"/>
      <c r="K31" s="36" t="str">
        <f>"35,0"</f>
        <v>35,0</v>
      </c>
      <c r="L31" s="12" t="str">
        <f>"45,4125"</f>
        <v>45,4125</v>
      </c>
      <c r="M31" s="11" t="s">
        <v>1405</v>
      </c>
    </row>
    <row r="32" spans="1:13">
      <c r="B32" s="5" t="s">
        <v>250</v>
      </c>
    </row>
    <row r="33" spans="1:13" ht="16">
      <c r="A33" s="70" t="s">
        <v>57</v>
      </c>
      <c r="B33" s="70"/>
      <c r="C33" s="70"/>
      <c r="D33" s="70"/>
      <c r="E33" s="70"/>
      <c r="F33" s="70"/>
      <c r="G33" s="70"/>
      <c r="H33" s="70"/>
      <c r="I33" s="70"/>
      <c r="J33" s="70"/>
    </row>
    <row r="34" spans="1:13">
      <c r="A34" s="12" t="s">
        <v>249</v>
      </c>
      <c r="B34" s="11" t="s">
        <v>723</v>
      </c>
      <c r="C34" s="11" t="s">
        <v>724</v>
      </c>
      <c r="D34" s="11" t="s">
        <v>725</v>
      </c>
      <c r="E34" s="11" t="s">
        <v>1436</v>
      </c>
      <c r="F34" s="11" t="s">
        <v>191</v>
      </c>
      <c r="G34" s="24" t="s">
        <v>187</v>
      </c>
      <c r="H34" s="24" t="s">
        <v>17</v>
      </c>
      <c r="I34" s="25" t="s">
        <v>18</v>
      </c>
      <c r="J34" s="12"/>
      <c r="K34" s="36" t="str">
        <f>"100,0"</f>
        <v>100,0</v>
      </c>
      <c r="L34" s="12" t="str">
        <f>"86,6200"</f>
        <v>86,6200</v>
      </c>
      <c r="M34" s="11" t="s">
        <v>1259</v>
      </c>
    </row>
    <row r="35" spans="1:13">
      <c r="B35" s="5" t="s">
        <v>250</v>
      </c>
    </row>
    <row r="36" spans="1:13" ht="16">
      <c r="A36" s="70" t="s">
        <v>12</v>
      </c>
      <c r="B36" s="70"/>
      <c r="C36" s="70"/>
      <c r="D36" s="70"/>
      <c r="E36" s="70"/>
      <c r="F36" s="70"/>
      <c r="G36" s="70"/>
      <c r="H36" s="70"/>
      <c r="I36" s="70"/>
      <c r="J36" s="70"/>
    </row>
    <row r="37" spans="1:13">
      <c r="A37" s="12" t="s">
        <v>249</v>
      </c>
      <c r="B37" s="11" t="s">
        <v>726</v>
      </c>
      <c r="C37" s="11" t="s">
        <v>727</v>
      </c>
      <c r="D37" s="11" t="s">
        <v>728</v>
      </c>
      <c r="E37" s="11" t="s">
        <v>1435</v>
      </c>
      <c r="F37" s="11" t="s">
        <v>16</v>
      </c>
      <c r="G37" s="24" t="s">
        <v>27</v>
      </c>
      <c r="H37" s="24" t="s">
        <v>22</v>
      </c>
      <c r="I37" s="24" t="s">
        <v>23</v>
      </c>
      <c r="J37" s="12"/>
      <c r="K37" s="36" t="str">
        <f>"125,0"</f>
        <v>125,0</v>
      </c>
      <c r="L37" s="12" t="str">
        <f>"97,3125"</f>
        <v>97,3125</v>
      </c>
      <c r="M37" s="11" t="s">
        <v>592</v>
      </c>
    </row>
    <row r="38" spans="1:13">
      <c r="B38" s="5" t="s">
        <v>250</v>
      </c>
    </row>
    <row r="39" spans="1:13" ht="16">
      <c r="A39" s="70" t="s">
        <v>68</v>
      </c>
      <c r="B39" s="70"/>
      <c r="C39" s="70"/>
      <c r="D39" s="70"/>
      <c r="E39" s="70"/>
      <c r="F39" s="70"/>
      <c r="G39" s="70"/>
      <c r="H39" s="70"/>
      <c r="I39" s="70"/>
      <c r="J39" s="70"/>
    </row>
    <row r="40" spans="1:13">
      <c r="A40" s="8" t="s">
        <v>249</v>
      </c>
      <c r="B40" s="7" t="s">
        <v>389</v>
      </c>
      <c r="C40" s="7" t="s">
        <v>390</v>
      </c>
      <c r="D40" s="7" t="s">
        <v>391</v>
      </c>
      <c r="E40" s="7" t="s">
        <v>1435</v>
      </c>
      <c r="F40" s="7" t="s">
        <v>138</v>
      </c>
      <c r="G40" s="21" t="s">
        <v>77</v>
      </c>
      <c r="H40" s="8"/>
      <c r="I40" s="8"/>
      <c r="J40" s="8"/>
      <c r="K40" s="33" t="str">
        <f>"155,0"</f>
        <v>155,0</v>
      </c>
      <c r="L40" s="8" t="str">
        <f>"112,0340"</f>
        <v>112,0340</v>
      </c>
      <c r="M40" s="7" t="s">
        <v>146</v>
      </c>
    </row>
    <row r="41" spans="1:13">
      <c r="A41" s="14" t="s">
        <v>252</v>
      </c>
      <c r="B41" s="13" t="s">
        <v>729</v>
      </c>
      <c r="C41" s="13" t="s">
        <v>730</v>
      </c>
      <c r="D41" s="13" t="s">
        <v>731</v>
      </c>
      <c r="E41" s="13" t="s">
        <v>1435</v>
      </c>
      <c r="F41" s="13" t="s">
        <v>1406</v>
      </c>
      <c r="G41" s="26" t="s">
        <v>23</v>
      </c>
      <c r="H41" s="26" t="s">
        <v>29</v>
      </c>
      <c r="I41" s="26" t="s">
        <v>32</v>
      </c>
      <c r="J41" s="14"/>
      <c r="K41" s="34" t="str">
        <f>"135,0"</f>
        <v>135,0</v>
      </c>
      <c r="L41" s="14" t="str">
        <f>"96,9165"</f>
        <v>96,9165</v>
      </c>
      <c r="M41" s="13"/>
    </row>
    <row r="42" spans="1:13">
      <c r="A42" s="10" t="s">
        <v>249</v>
      </c>
      <c r="B42" s="9" t="s">
        <v>729</v>
      </c>
      <c r="C42" s="9" t="s">
        <v>1303</v>
      </c>
      <c r="D42" s="9" t="s">
        <v>731</v>
      </c>
      <c r="E42" s="9" t="s">
        <v>1440</v>
      </c>
      <c r="F42" s="9" t="s">
        <v>1406</v>
      </c>
      <c r="G42" s="22" t="s">
        <v>23</v>
      </c>
      <c r="H42" s="22" t="s">
        <v>29</v>
      </c>
      <c r="I42" s="22" t="s">
        <v>32</v>
      </c>
      <c r="J42" s="10"/>
      <c r="K42" s="35" t="str">
        <f>"135,0"</f>
        <v>135,0</v>
      </c>
      <c r="L42" s="10" t="str">
        <f>"111,4540"</f>
        <v>111,4540</v>
      </c>
      <c r="M42" s="9"/>
    </row>
    <row r="43" spans="1:13">
      <c r="B43" s="5" t="s">
        <v>250</v>
      </c>
    </row>
    <row r="44" spans="1:13" ht="16">
      <c r="A44" s="70" t="s">
        <v>34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3">
      <c r="A45" s="8" t="s">
        <v>249</v>
      </c>
      <c r="B45" s="7" t="s">
        <v>732</v>
      </c>
      <c r="C45" s="7" t="s">
        <v>733</v>
      </c>
      <c r="D45" s="7" t="s">
        <v>361</v>
      </c>
      <c r="E45" s="7" t="s">
        <v>1435</v>
      </c>
      <c r="F45" s="7" t="s">
        <v>734</v>
      </c>
      <c r="G45" s="21" t="s">
        <v>52</v>
      </c>
      <c r="H45" s="21" t="s">
        <v>72</v>
      </c>
      <c r="I45" s="21" t="s">
        <v>43</v>
      </c>
      <c r="J45" s="8"/>
      <c r="K45" s="33" t="str">
        <f>"185,0"</f>
        <v>185,0</v>
      </c>
      <c r="L45" s="8" t="str">
        <f>"125,3190"</f>
        <v>125,3190</v>
      </c>
      <c r="M45" s="7"/>
    </row>
    <row r="46" spans="1:13">
      <c r="A46" s="14" t="s">
        <v>252</v>
      </c>
      <c r="B46" s="13" t="s">
        <v>735</v>
      </c>
      <c r="C46" s="13" t="s">
        <v>736</v>
      </c>
      <c r="D46" s="13" t="s">
        <v>737</v>
      </c>
      <c r="E46" s="13" t="s">
        <v>1435</v>
      </c>
      <c r="F46" s="13" t="s">
        <v>445</v>
      </c>
      <c r="G46" s="26" t="s">
        <v>126</v>
      </c>
      <c r="H46" s="26" t="s">
        <v>40</v>
      </c>
      <c r="I46" s="27" t="s">
        <v>72</v>
      </c>
      <c r="J46" s="14"/>
      <c r="K46" s="34" t="str">
        <f>"175,0"</f>
        <v>175,0</v>
      </c>
      <c r="L46" s="14" t="str">
        <f>"117,3200"</f>
        <v>117,3200</v>
      </c>
      <c r="M46" s="13" t="s">
        <v>738</v>
      </c>
    </row>
    <row r="47" spans="1:13">
      <c r="A47" s="14" t="s">
        <v>253</v>
      </c>
      <c r="B47" s="13" t="s">
        <v>739</v>
      </c>
      <c r="C47" s="13" t="s">
        <v>740</v>
      </c>
      <c r="D47" s="13" t="s">
        <v>102</v>
      </c>
      <c r="E47" s="13" t="s">
        <v>1435</v>
      </c>
      <c r="F47" s="13" t="s">
        <v>445</v>
      </c>
      <c r="G47" s="26" t="s">
        <v>32</v>
      </c>
      <c r="H47" s="26" t="s">
        <v>75</v>
      </c>
      <c r="I47" s="26" t="s">
        <v>33</v>
      </c>
      <c r="J47" s="14"/>
      <c r="K47" s="34" t="str">
        <f>"145,0"</f>
        <v>145,0</v>
      </c>
      <c r="L47" s="14" t="str">
        <f>"97,6430"</f>
        <v>97,6430</v>
      </c>
      <c r="M47" s="13" t="s">
        <v>738</v>
      </c>
    </row>
    <row r="48" spans="1:13">
      <c r="A48" s="14" t="s">
        <v>249</v>
      </c>
      <c r="B48" s="13" t="s">
        <v>732</v>
      </c>
      <c r="C48" s="13" t="s">
        <v>1304</v>
      </c>
      <c r="D48" s="13" t="s">
        <v>361</v>
      </c>
      <c r="E48" s="13" t="s">
        <v>1438</v>
      </c>
      <c r="F48" s="13" t="s">
        <v>734</v>
      </c>
      <c r="G48" s="26" t="s">
        <v>52</v>
      </c>
      <c r="H48" s="26" t="s">
        <v>72</v>
      </c>
      <c r="I48" s="26" t="s">
        <v>43</v>
      </c>
      <c r="J48" s="14"/>
      <c r="K48" s="34" t="str">
        <f>"185,0"</f>
        <v>185,0</v>
      </c>
      <c r="L48" s="14" t="str">
        <f>"137,3496"</f>
        <v>137,3496</v>
      </c>
      <c r="M48" s="13"/>
    </row>
    <row r="49" spans="1:13">
      <c r="A49" s="10" t="s">
        <v>249</v>
      </c>
      <c r="B49" s="9" t="s">
        <v>741</v>
      </c>
      <c r="C49" s="9" t="s">
        <v>1305</v>
      </c>
      <c r="D49" s="9" t="s">
        <v>742</v>
      </c>
      <c r="E49" s="9" t="s">
        <v>1440</v>
      </c>
      <c r="F49" s="9" t="s">
        <v>191</v>
      </c>
      <c r="G49" s="22" t="s">
        <v>19</v>
      </c>
      <c r="H49" s="22" t="s">
        <v>27</v>
      </c>
      <c r="I49" s="23" t="s">
        <v>22</v>
      </c>
      <c r="J49" s="10"/>
      <c r="K49" s="35" t="str">
        <f>"115,0"</f>
        <v>115,0</v>
      </c>
      <c r="L49" s="10" t="str">
        <f>"92,4390"</f>
        <v>92,4390</v>
      </c>
      <c r="M49" s="9" t="s">
        <v>743</v>
      </c>
    </row>
    <row r="50" spans="1:13">
      <c r="B50" s="5" t="s">
        <v>250</v>
      </c>
    </row>
    <row r="51" spans="1:13" ht="16">
      <c r="A51" s="70" t="s">
        <v>105</v>
      </c>
      <c r="B51" s="70"/>
      <c r="C51" s="70"/>
      <c r="D51" s="70"/>
      <c r="E51" s="70"/>
      <c r="F51" s="70"/>
      <c r="G51" s="70"/>
      <c r="H51" s="70"/>
      <c r="I51" s="70"/>
      <c r="J51" s="70"/>
    </row>
    <row r="52" spans="1:13">
      <c r="A52" s="8" t="s">
        <v>249</v>
      </c>
      <c r="B52" s="7" t="s">
        <v>441</v>
      </c>
      <c r="C52" s="7" t="s">
        <v>442</v>
      </c>
      <c r="D52" s="7" t="s">
        <v>141</v>
      </c>
      <c r="E52" s="7" t="s">
        <v>1435</v>
      </c>
      <c r="F52" s="7" t="s">
        <v>1262</v>
      </c>
      <c r="G52" s="21" t="s">
        <v>49</v>
      </c>
      <c r="H52" s="21" t="s">
        <v>268</v>
      </c>
      <c r="I52" s="20" t="s">
        <v>379</v>
      </c>
      <c r="J52" s="8"/>
      <c r="K52" s="33" t="str">
        <f>"157,5"</f>
        <v>157,5</v>
      </c>
      <c r="L52" s="8" t="str">
        <f>"101,1780"</f>
        <v>101,1780</v>
      </c>
      <c r="M52" s="7"/>
    </row>
    <row r="53" spans="1:13">
      <c r="A53" s="14" t="s">
        <v>252</v>
      </c>
      <c r="B53" s="13" t="s">
        <v>744</v>
      </c>
      <c r="C53" s="13" t="s">
        <v>745</v>
      </c>
      <c r="D53" s="13" t="s">
        <v>746</v>
      </c>
      <c r="E53" s="13" t="s">
        <v>1435</v>
      </c>
      <c r="F53" s="13" t="s">
        <v>175</v>
      </c>
      <c r="G53" s="26" t="s">
        <v>76</v>
      </c>
      <c r="H53" s="26" t="s">
        <v>49</v>
      </c>
      <c r="I53" s="26" t="s">
        <v>267</v>
      </c>
      <c r="J53" s="14"/>
      <c r="K53" s="34" t="str">
        <f>"152,5"</f>
        <v>152,5</v>
      </c>
      <c r="L53" s="14" t="str">
        <f>"100,6652"</f>
        <v>100,6652</v>
      </c>
      <c r="M53" s="13" t="s">
        <v>747</v>
      </c>
    </row>
    <row r="54" spans="1:13">
      <c r="A54" s="14" t="s">
        <v>253</v>
      </c>
      <c r="B54" s="13" t="s">
        <v>748</v>
      </c>
      <c r="C54" s="13" t="s">
        <v>749</v>
      </c>
      <c r="D54" s="13" t="s">
        <v>750</v>
      </c>
      <c r="E54" s="13" t="s">
        <v>1435</v>
      </c>
      <c r="F54" s="13" t="s">
        <v>656</v>
      </c>
      <c r="G54" s="26" t="s">
        <v>76</v>
      </c>
      <c r="H54" s="26" t="s">
        <v>267</v>
      </c>
      <c r="I54" s="27" t="s">
        <v>77</v>
      </c>
      <c r="J54" s="14"/>
      <c r="K54" s="34" t="str">
        <f>"152,5"</f>
        <v>152,5</v>
      </c>
      <c r="L54" s="14" t="str">
        <f>"98,3167"</f>
        <v>98,3167</v>
      </c>
      <c r="M54" s="13" t="s">
        <v>751</v>
      </c>
    </row>
    <row r="55" spans="1:13">
      <c r="A55" s="14" t="s">
        <v>254</v>
      </c>
      <c r="B55" s="13" t="s">
        <v>752</v>
      </c>
      <c r="C55" s="13" t="s">
        <v>753</v>
      </c>
      <c r="D55" s="13" t="s">
        <v>145</v>
      </c>
      <c r="E55" s="13" t="s">
        <v>1435</v>
      </c>
      <c r="F55" s="13" t="s">
        <v>1262</v>
      </c>
      <c r="G55" s="26" t="s">
        <v>33</v>
      </c>
      <c r="H55" s="27" t="s">
        <v>267</v>
      </c>
      <c r="I55" s="27" t="s">
        <v>267</v>
      </c>
      <c r="J55" s="14"/>
      <c r="K55" s="34" t="str">
        <f>"145,0"</f>
        <v>145,0</v>
      </c>
      <c r="L55" s="14" t="str">
        <f>"93,4380"</f>
        <v>93,4380</v>
      </c>
      <c r="M55" s="13"/>
    </row>
    <row r="56" spans="1:13">
      <c r="A56" s="14" t="s">
        <v>255</v>
      </c>
      <c r="B56" s="13" t="s">
        <v>754</v>
      </c>
      <c r="C56" s="13" t="s">
        <v>755</v>
      </c>
      <c r="D56" s="13" t="s">
        <v>756</v>
      </c>
      <c r="E56" s="13" t="s">
        <v>1435</v>
      </c>
      <c r="F56" s="13" t="s">
        <v>1262</v>
      </c>
      <c r="G56" s="26" t="s">
        <v>75</v>
      </c>
      <c r="H56" s="27" t="s">
        <v>343</v>
      </c>
      <c r="I56" s="14"/>
      <c r="J56" s="14"/>
      <c r="K56" s="34" t="str">
        <f>"140,0"</f>
        <v>140,0</v>
      </c>
      <c r="L56" s="14" t="str">
        <f>"90,5380"</f>
        <v>90,5380</v>
      </c>
      <c r="M56" s="13" t="s">
        <v>526</v>
      </c>
    </row>
    <row r="57" spans="1:13">
      <c r="A57" s="14" t="s">
        <v>251</v>
      </c>
      <c r="B57" s="13" t="s">
        <v>757</v>
      </c>
      <c r="C57" s="13" t="s">
        <v>758</v>
      </c>
      <c r="D57" s="13" t="s">
        <v>759</v>
      </c>
      <c r="E57" s="13" t="s">
        <v>1435</v>
      </c>
      <c r="F57" s="13" t="s">
        <v>342</v>
      </c>
      <c r="G57" s="27" t="s">
        <v>33</v>
      </c>
      <c r="H57" s="27" t="s">
        <v>33</v>
      </c>
      <c r="I57" s="27" t="s">
        <v>49</v>
      </c>
      <c r="J57" s="14"/>
      <c r="K57" s="34">
        <v>0</v>
      </c>
      <c r="L57" s="14" t="str">
        <f>"0,0000"</f>
        <v>0,0000</v>
      </c>
      <c r="M57" s="13" t="s">
        <v>760</v>
      </c>
    </row>
    <row r="58" spans="1:13">
      <c r="A58" s="14" t="s">
        <v>249</v>
      </c>
      <c r="B58" s="13" t="s">
        <v>761</v>
      </c>
      <c r="C58" s="13" t="s">
        <v>1306</v>
      </c>
      <c r="D58" s="13" t="s">
        <v>762</v>
      </c>
      <c r="E58" s="13" t="s">
        <v>1434</v>
      </c>
      <c r="F58" s="13" t="s">
        <v>342</v>
      </c>
      <c r="G58" s="26" t="s">
        <v>75</v>
      </c>
      <c r="H58" s="26" t="s">
        <v>33</v>
      </c>
      <c r="I58" s="27" t="s">
        <v>267</v>
      </c>
      <c r="J58" s="14"/>
      <c r="K58" s="34" t="str">
        <f>"145,0"</f>
        <v>145,0</v>
      </c>
      <c r="L58" s="14" t="str">
        <f>"97,2011"</f>
        <v>97,2011</v>
      </c>
      <c r="M58" s="13" t="s">
        <v>344</v>
      </c>
    </row>
    <row r="59" spans="1:13">
      <c r="A59" s="14" t="s">
        <v>252</v>
      </c>
      <c r="B59" s="13" t="s">
        <v>763</v>
      </c>
      <c r="C59" s="13" t="s">
        <v>1307</v>
      </c>
      <c r="D59" s="13" t="s">
        <v>764</v>
      </c>
      <c r="E59" s="13" t="s">
        <v>1434</v>
      </c>
      <c r="F59" s="13" t="s">
        <v>1262</v>
      </c>
      <c r="G59" s="26" t="s">
        <v>18</v>
      </c>
      <c r="H59" s="27" t="s">
        <v>19</v>
      </c>
      <c r="I59" s="27" t="s">
        <v>19</v>
      </c>
      <c r="J59" s="14"/>
      <c r="K59" s="34" t="str">
        <f>"105,0"</f>
        <v>105,0</v>
      </c>
      <c r="L59" s="14" t="str">
        <f>"70,7597"</f>
        <v>70,7597</v>
      </c>
      <c r="M59" s="13" t="s">
        <v>765</v>
      </c>
    </row>
    <row r="60" spans="1:13">
      <c r="A60" s="14" t="s">
        <v>249</v>
      </c>
      <c r="B60" s="13" t="s">
        <v>766</v>
      </c>
      <c r="C60" s="13" t="s">
        <v>1308</v>
      </c>
      <c r="D60" s="13" t="s">
        <v>616</v>
      </c>
      <c r="E60" s="13" t="s">
        <v>1438</v>
      </c>
      <c r="F60" s="13" t="s">
        <v>767</v>
      </c>
      <c r="G60" s="26" t="s">
        <v>343</v>
      </c>
      <c r="H60" s="26" t="s">
        <v>76</v>
      </c>
      <c r="I60" s="27" t="s">
        <v>267</v>
      </c>
      <c r="J60" s="14"/>
      <c r="K60" s="34" t="str">
        <f>"147,5"</f>
        <v>147,5</v>
      </c>
      <c r="L60" s="14" t="str">
        <f>"102,5741"</f>
        <v>102,5741</v>
      </c>
      <c r="M60" s="13"/>
    </row>
    <row r="61" spans="1:13">
      <c r="A61" s="10" t="s">
        <v>249</v>
      </c>
      <c r="B61" s="9" t="s">
        <v>768</v>
      </c>
      <c r="C61" s="9" t="s">
        <v>1309</v>
      </c>
      <c r="D61" s="9" t="s">
        <v>769</v>
      </c>
      <c r="E61" s="9" t="s">
        <v>1441</v>
      </c>
      <c r="F61" s="9" t="s">
        <v>770</v>
      </c>
      <c r="G61" s="22" t="s">
        <v>51</v>
      </c>
      <c r="H61" s="22" t="s">
        <v>52</v>
      </c>
      <c r="I61" s="22" t="s">
        <v>72</v>
      </c>
      <c r="J61" s="10"/>
      <c r="K61" s="35" t="str">
        <f>"180,0"</f>
        <v>180,0</v>
      </c>
      <c r="L61" s="10" t="str">
        <f>"154,6502"</f>
        <v>154,6502</v>
      </c>
      <c r="M61" s="9"/>
    </row>
    <row r="62" spans="1:13">
      <c r="B62" s="5" t="s">
        <v>250</v>
      </c>
    </row>
    <row r="63" spans="1:13" ht="16">
      <c r="A63" s="70" t="s">
        <v>151</v>
      </c>
      <c r="B63" s="70"/>
      <c r="C63" s="70"/>
      <c r="D63" s="70"/>
      <c r="E63" s="70"/>
      <c r="F63" s="70"/>
      <c r="G63" s="70"/>
      <c r="H63" s="70"/>
      <c r="I63" s="70"/>
      <c r="J63" s="70"/>
    </row>
    <row r="64" spans="1:13">
      <c r="A64" s="8" t="s">
        <v>249</v>
      </c>
      <c r="B64" s="7" t="s">
        <v>771</v>
      </c>
      <c r="C64" s="7" t="s">
        <v>772</v>
      </c>
      <c r="D64" s="7" t="s">
        <v>773</v>
      </c>
      <c r="E64" s="7" t="s">
        <v>1435</v>
      </c>
      <c r="F64" s="29" t="s">
        <v>16</v>
      </c>
      <c r="G64" s="21" t="s">
        <v>85</v>
      </c>
      <c r="H64" s="20" t="s">
        <v>111</v>
      </c>
      <c r="I64" s="20" t="s">
        <v>111</v>
      </c>
      <c r="J64" s="8"/>
      <c r="K64" s="33" t="str">
        <f>"200,0"</f>
        <v>200,0</v>
      </c>
      <c r="L64" s="8" t="str">
        <f>"121,9600"</f>
        <v>121,9600</v>
      </c>
      <c r="M64" s="7" t="s">
        <v>699</v>
      </c>
    </row>
    <row r="65" spans="1:13">
      <c r="A65" s="14" t="s">
        <v>252</v>
      </c>
      <c r="B65" s="13" t="s">
        <v>774</v>
      </c>
      <c r="C65" s="13" t="s">
        <v>775</v>
      </c>
      <c r="D65" s="13" t="s">
        <v>776</v>
      </c>
      <c r="E65" s="13" t="s">
        <v>1435</v>
      </c>
      <c r="F65" s="13" t="s">
        <v>777</v>
      </c>
      <c r="G65" s="26" t="s">
        <v>77</v>
      </c>
      <c r="H65" s="26" t="s">
        <v>379</v>
      </c>
      <c r="I65" s="26" t="s">
        <v>52</v>
      </c>
      <c r="J65" s="14"/>
      <c r="K65" s="34" t="str">
        <f>"170,0"</f>
        <v>170,0</v>
      </c>
      <c r="L65" s="14" t="str">
        <f>"104,0570"</f>
        <v>104,0570</v>
      </c>
      <c r="M65" s="13"/>
    </row>
    <row r="66" spans="1:13">
      <c r="A66" s="14" t="s">
        <v>253</v>
      </c>
      <c r="B66" s="13" t="s">
        <v>778</v>
      </c>
      <c r="C66" s="13" t="s">
        <v>779</v>
      </c>
      <c r="D66" s="13" t="s">
        <v>571</v>
      </c>
      <c r="E66" s="13" t="s">
        <v>1435</v>
      </c>
      <c r="F66" s="13" t="s">
        <v>780</v>
      </c>
      <c r="G66" s="26" t="s">
        <v>268</v>
      </c>
      <c r="H66" s="26" t="s">
        <v>38</v>
      </c>
      <c r="I66" s="27" t="s">
        <v>126</v>
      </c>
      <c r="J66" s="14"/>
      <c r="K66" s="34" t="str">
        <f>"165,0"</f>
        <v>165,0</v>
      </c>
      <c r="L66" s="14" t="str">
        <f>"101,1615"</f>
        <v>101,1615</v>
      </c>
      <c r="M66" s="13" t="s">
        <v>781</v>
      </c>
    </row>
    <row r="67" spans="1:13">
      <c r="A67" s="14" t="s">
        <v>254</v>
      </c>
      <c r="B67" s="13" t="s">
        <v>569</v>
      </c>
      <c r="C67" s="13" t="s">
        <v>570</v>
      </c>
      <c r="D67" s="13" t="s">
        <v>571</v>
      </c>
      <c r="E67" s="13" t="s">
        <v>1435</v>
      </c>
      <c r="F67" s="13" t="s">
        <v>572</v>
      </c>
      <c r="G67" s="26" t="s">
        <v>77</v>
      </c>
      <c r="H67" s="27" t="s">
        <v>379</v>
      </c>
      <c r="I67" s="27" t="s">
        <v>379</v>
      </c>
      <c r="J67" s="14"/>
      <c r="K67" s="34" t="str">
        <f>"155,0"</f>
        <v>155,0</v>
      </c>
      <c r="L67" s="14" t="str">
        <f>"95,0305"</f>
        <v>95,0305</v>
      </c>
      <c r="M67" s="13" t="s">
        <v>573</v>
      </c>
    </row>
    <row r="68" spans="1:13">
      <c r="A68" s="14" t="s">
        <v>251</v>
      </c>
      <c r="B68" s="13" t="s">
        <v>782</v>
      </c>
      <c r="C68" s="13" t="s">
        <v>783</v>
      </c>
      <c r="D68" s="13" t="s">
        <v>784</v>
      </c>
      <c r="E68" s="13" t="s">
        <v>1435</v>
      </c>
      <c r="F68" s="13" t="s">
        <v>785</v>
      </c>
      <c r="G68" s="27" t="s">
        <v>49</v>
      </c>
      <c r="H68" s="27" t="s">
        <v>77</v>
      </c>
      <c r="I68" s="27" t="s">
        <v>77</v>
      </c>
      <c r="J68" s="14"/>
      <c r="K68" s="34">
        <v>0</v>
      </c>
      <c r="L68" s="14" t="str">
        <f>"0,0000"</f>
        <v>0,0000</v>
      </c>
      <c r="M68" s="13" t="s">
        <v>339</v>
      </c>
    </row>
    <row r="69" spans="1:13">
      <c r="A69" s="14" t="s">
        <v>249</v>
      </c>
      <c r="B69" s="13" t="s">
        <v>786</v>
      </c>
      <c r="C69" s="13" t="s">
        <v>1310</v>
      </c>
      <c r="D69" s="13" t="s">
        <v>787</v>
      </c>
      <c r="E69" s="13" t="s">
        <v>1434</v>
      </c>
      <c r="F69" s="13" t="s">
        <v>788</v>
      </c>
      <c r="G69" s="26" t="s">
        <v>49</v>
      </c>
      <c r="H69" s="26" t="s">
        <v>51</v>
      </c>
      <c r="I69" s="27" t="s">
        <v>38</v>
      </c>
      <c r="J69" s="14"/>
      <c r="K69" s="34" t="str">
        <f>"160,0"</f>
        <v>160,0</v>
      </c>
      <c r="L69" s="14" t="str">
        <f>"99,4369"</f>
        <v>99,4369</v>
      </c>
      <c r="M69" s="13" t="s">
        <v>588</v>
      </c>
    </row>
    <row r="70" spans="1:13">
      <c r="A70" s="14" t="s">
        <v>249</v>
      </c>
      <c r="B70" s="13" t="s">
        <v>778</v>
      </c>
      <c r="C70" s="13" t="s">
        <v>1311</v>
      </c>
      <c r="D70" s="13" t="s">
        <v>571</v>
      </c>
      <c r="E70" s="13" t="s">
        <v>1434</v>
      </c>
      <c r="F70" s="13" t="s">
        <v>780</v>
      </c>
      <c r="G70" s="26" t="s">
        <v>268</v>
      </c>
      <c r="H70" s="26" t="s">
        <v>38</v>
      </c>
      <c r="I70" s="27" t="s">
        <v>126</v>
      </c>
      <c r="J70" s="14"/>
      <c r="K70" s="34" t="str">
        <f>"165,0"</f>
        <v>165,0</v>
      </c>
      <c r="L70" s="14" t="str">
        <f>"110,8730"</f>
        <v>110,8730</v>
      </c>
      <c r="M70" s="13" t="s">
        <v>781</v>
      </c>
    </row>
    <row r="71" spans="1:13">
      <c r="A71" s="10" t="s">
        <v>252</v>
      </c>
      <c r="B71" s="9" t="s">
        <v>789</v>
      </c>
      <c r="C71" s="9" t="s">
        <v>1312</v>
      </c>
      <c r="D71" s="9" t="s">
        <v>790</v>
      </c>
      <c r="E71" s="9" t="s">
        <v>1438</v>
      </c>
      <c r="F71" s="9" t="s">
        <v>780</v>
      </c>
      <c r="G71" s="22" t="s">
        <v>29</v>
      </c>
      <c r="H71" s="22" t="s">
        <v>75</v>
      </c>
      <c r="I71" s="22" t="s">
        <v>343</v>
      </c>
      <c r="J71" s="10"/>
      <c r="K71" s="35" t="str">
        <f>"142,5"</f>
        <v>142,5</v>
      </c>
      <c r="L71" s="10" t="str">
        <f>"96,5470"</f>
        <v>96,5470</v>
      </c>
      <c r="M71" s="9"/>
    </row>
    <row r="72" spans="1:13">
      <c r="B72" s="5" t="s">
        <v>250</v>
      </c>
    </row>
    <row r="73" spans="1:13" ht="16">
      <c r="A73" s="70" t="s">
        <v>192</v>
      </c>
      <c r="B73" s="70"/>
      <c r="C73" s="70"/>
      <c r="D73" s="70"/>
      <c r="E73" s="70"/>
      <c r="F73" s="70"/>
      <c r="G73" s="70"/>
      <c r="H73" s="70"/>
      <c r="I73" s="70"/>
      <c r="J73" s="70"/>
    </row>
    <row r="74" spans="1:13">
      <c r="A74" s="8" t="s">
        <v>249</v>
      </c>
      <c r="B74" s="7" t="s">
        <v>791</v>
      </c>
      <c r="C74" s="7" t="s">
        <v>1313</v>
      </c>
      <c r="D74" s="7" t="s">
        <v>207</v>
      </c>
      <c r="E74" s="7" t="s">
        <v>1437</v>
      </c>
      <c r="F74" s="7" t="s">
        <v>445</v>
      </c>
      <c r="G74" s="20" t="s">
        <v>38</v>
      </c>
      <c r="H74" s="21" t="s">
        <v>52</v>
      </c>
      <c r="I74" s="20" t="s">
        <v>40</v>
      </c>
      <c r="J74" s="8"/>
      <c r="K74" s="33" t="str">
        <f>"170,0"</f>
        <v>170,0</v>
      </c>
      <c r="L74" s="8" t="str">
        <f>"100,7760"</f>
        <v>100,7760</v>
      </c>
      <c r="M74" s="7"/>
    </row>
    <row r="75" spans="1:13">
      <c r="A75" s="14" t="s">
        <v>249</v>
      </c>
      <c r="B75" s="13" t="s">
        <v>792</v>
      </c>
      <c r="C75" s="13" t="s">
        <v>793</v>
      </c>
      <c r="D75" s="13" t="s">
        <v>794</v>
      </c>
      <c r="E75" s="13" t="s">
        <v>1435</v>
      </c>
      <c r="F75" s="13" t="s">
        <v>387</v>
      </c>
      <c r="G75" s="26" t="s">
        <v>410</v>
      </c>
      <c r="H75" s="27" t="s">
        <v>91</v>
      </c>
      <c r="I75" s="27" t="s">
        <v>91</v>
      </c>
      <c r="J75" s="14"/>
      <c r="K75" s="34" t="str">
        <f>"212,5"</f>
        <v>212,5</v>
      </c>
      <c r="L75" s="14" t="str">
        <f>"125,4175"</f>
        <v>125,4175</v>
      </c>
      <c r="M75" s="13"/>
    </row>
    <row r="76" spans="1:13">
      <c r="A76" s="14" t="s">
        <v>252</v>
      </c>
      <c r="B76" s="13" t="s">
        <v>795</v>
      </c>
      <c r="C76" s="13" t="s">
        <v>796</v>
      </c>
      <c r="D76" s="13" t="s">
        <v>797</v>
      </c>
      <c r="E76" s="13" t="s">
        <v>1435</v>
      </c>
      <c r="F76" s="13" t="s">
        <v>559</v>
      </c>
      <c r="G76" s="27" t="s">
        <v>52</v>
      </c>
      <c r="H76" s="26" t="s">
        <v>52</v>
      </c>
      <c r="I76" s="27" t="s">
        <v>40</v>
      </c>
      <c r="J76" s="14"/>
      <c r="K76" s="34" t="str">
        <f>"170,0"</f>
        <v>170,0</v>
      </c>
      <c r="L76" s="14" t="str">
        <f>"100,6230"</f>
        <v>100,6230</v>
      </c>
      <c r="M76" s="13"/>
    </row>
    <row r="77" spans="1:13">
      <c r="A77" s="14" t="s">
        <v>251</v>
      </c>
      <c r="B77" s="13" t="s">
        <v>487</v>
      </c>
      <c r="C77" s="13" t="s">
        <v>488</v>
      </c>
      <c r="D77" s="13" t="s">
        <v>489</v>
      </c>
      <c r="E77" s="13" t="s">
        <v>1435</v>
      </c>
      <c r="F77" s="13" t="s">
        <v>1262</v>
      </c>
      <c r="G77" s="27" t="s">
        <v>75</v>
      </c>
      <c r="H77" s="27" t="s">
        <v>33</v>
      </c>
      <c r="I77" s="27" t="s">
        <v>33</v>
      </c>
      <c r="J77" s="14"/>
      <c r="K77" s="34">
        <v>0</v>
      </c>
      <c r="L77" s="14" t="str">
        <f>"0,0000"</f>
        <v>0,0000</v>
      </c>
      <c r="M77" s="13" t="s">
        <v>359</v>
      </c>
    </row>
    <row r="78" spans="1:13">
      <c r="A78" s="14" t="s">
        <v>249</v>
      </c>
      <c r="B78" s="13" t="s">
        <v>492</v>
      </c>
      <c r="C78" s="13" t="s">
        <v>1285</v>
      </c>
      <c r="D78" s="13" t="s">
        <v>493</v>
      </c>
      <c r="E78" s="13" t="s">
        <v>1438</v>
      </c>
      <c r="F78" s="13" t="s">
        <v>494</v>
      </c>
      <c r="G78" s="26" t="s">
        <v>51</v>
      </c>
      <c r="H78" s="26" t="s">
        <v>38</v>
      </c>
      <c r="I78" s="26" t="s">
        <v>52</v>
      </c>
      <c r="J78" s="14"/>
      <c r="K78" s="34" t="str">
        <f>"170,0"</f>
        <v>170,0</v>
      </c>
      <c r="L78" s="14" t="str">
        <f>"110,7859"</f>
        <v>110,7859</v>
      </c>
      <c r="M78" s="13"/>
    </row>
    <row r="79" spans="1:13">
      <c r="A79" s="10" t="s">
        <v>249</v>
      </c>
      <c r="B79" s="9" t="s">
        <v>798</v>
      </c>
      <c r="C79" s="9" t="s">
        <v>1314</v>
      </c>
      <c r="D79" s="9" t="s">
        <v>799</v>
      </c>
      <c r="E79" s="9" t="s">
        <v>1440</v>
      </c>
      <c r="F79" s="9" t="s">
        <v>211</v>
      </c>
      <c r="G79" s="22" t="s">
        <v>40</v>
      </c>
      <c r="H79" s="22" t="s">
        <v>43</v>
      </c>
      <c r="I79" s="22" t="s">
        <v>73</v>
      </c>
      <c r="J79" s="10"/>
      <c r="K79" s="35" t="str">
        <f>"187,5"</f>
        <v>187,5</v>
      </c>
      <c r="L79" s="10" t="str">
        <f>"128,7281"</f>
        <v>128,7281</v>
      </c>
      <c r="M79" s="9" t="s">
        <v>800</v>
      </c>
    </row>
    <row r="80" spans="1:13">
      <c r="B80" s="5" t="s">
        <v>250</v>
      </c>
    </row>
    <row r="81" spans="1:13" ht="16">
      <c r="A81" s="70" t="s">
        <v>212</v>
      </c>
      <c r="B81" s="70"/>
      <c r="C81" s="70"/>
      <c r="D81" s="70"/>
      <c r="E81" s="70"/>
      <c r="F81" s="70"/>
      <c r="G81" s="70"/>
      <c r="H81" s="70"/>
      <c r="I81" s="70"/>
      <c r="J81" s="70"/>
    </row>
    <row r="82" spans="1:13">
      <c r="A82" s="8" t="s">
        <v>249</v>
      </c>
      <c r="B82" s="7" t="s">
        <v>801</v>
      </c>
      <c r="C82" s="7" t="s">
        <v>802</v>
      </c>
      <c r="D82" s="7" t="s">
        <v>803</v>
      </c>
      <c r="E82" s="7" t="s">
        <v>1435</v>
      </c>
      <c r="F82" s="7" t="s">
        <v>347</v>
      </c>
      <c r="G82" s="21" t="s">
        <v>183</v>
      </c>
      <c r="H82" s="21" t="s">
        <v>410</v>
      </c>
      <c r="I82" s="21" t="s">
        <v>475</v>
      </c>
      <c r="J82" s="8"/>
      <c r="K82" s="33" t="str">
        <f>"217,5"</f>
        <v>217,5</v>
      </c>
      <c r="L82" s="8" t="str">
        <f>"124,1708"</f>
        <v>124,1708</v>
      </c>
      <c r="M82" s="7"/>
    </row>
    <row r="83" spans="1:13">
      <c r="A83" s="14" t="s">
        <v>252</v>
      </c>
      <c r="B83" s="13" t="s">
        <v>804</v>
      </c>
      <c r="C83" s="13" t="s">
        <v>805</v>
      </c>
      <c r="D83" s="13" t="s">
        <v>806</v>
      </c>
      <c r="E83" s="13" t="s">
        <v>1435</v>
      </c>
      <c r="F83" s="13" t="s">
        <v>347</v>
      </c>
      <c r="G83" s="26" t="s">
        <v>84</v>
      </c>
      <c r="H83" s="26" t="s">
        <v>85</v>
      </c>
      <c r="I83" s="26" t="s">
        <v>183</v>
      </c>
      <c r="J83" s="14"/>
      <c r="K83" s="34" t="str">
        <f>"202,5"</f>
        <v>202,5</v>
      </c>
      <c r="L83" s="14" t="str">
        <f>"115,8502"</f>
        <v>115,8502</v>
      </c>
      <c r="M83" s="13"/>
    </row>
    <row r="84" spans="1:13">
      <c r="A84" s="14" t="s">
        <v>253</v>
      </c>
      <c r="B84" s="13" t="s">
        <v>807</v>
      </c>
      <c r="C84" s="13" t="s">
        <v>808</v>
      </c>
      <c r="D84" s="13" t="s">
        <v>809</v>
      </c>
      <c r="E84" s="13" t="s">
        <v>1435</v>
      </c>
      <c r="F84" s="13" t="s">
        <v>810</v>
      </c>
      <c r="G84" s="26" t="s">
        <v>52</v>
      </c>
      <c r="H84" s="26" t="s">
        <v>464</v>
      </c>
      <c r="I84" s="26" t="s">
        <v>43</v>
      </c>
      <c r="J84" s="14"/>
      <c r="K84" s="34" t="str">
        <f>"185,0"</f>
        <v>185,0</v>
      </c>
      <c r="L84" s="14" t="str">
        <f>"106,5785"</f>
        <v>106,5785</v>
      </c>
      <c r="M84" s="13" t="s">
        <v>811</v>
      </c>
    </row>
    <row r="85" spans="1:13">
      <c r="A85" s="10" t="s">
        <v>254</v>
      </c>
      <c r="B85" s="9" t="s">
        <v>812</v>
      </c>
      <c r="C85" s="9" t="s">
        <v>813</v>
      </c>
      <c r="D85" s="9" t="s">
        <v>576</v>
      </c>
      <c r="E85" s="9" t="s">
        <v>1435</v>
      </c>
      <c r="F85" s="9" t="s">
        <v>282</v>
      </c>
      <c r="G85" s="23" t="s">
        <v>126</v>
      </c>
      <c r="H85" s="23" t="s">
        <v>126</v>
      </c>
      <c r="I85" s="22" t="s">
        <v>126</v>
      </c>
      <c r="J85" s="10"/>
      <c r="K85" s="35" t="str">
        <f>"167,5"</f>
        <v>167,5</v>
      </c>
      <c r="L85" s="10" t="str">
        <f>"95,9775"</f>
        <v>95,9775</v>
      </c>
      <c r="M85" s="9"/>
    </row>
    <row r="86" spans="1:13">
      <c r="B86" s="5" t="s">
        <v>250</v>
      </c>
    </row>
    <row r="87" spans="1:13" ht="16">
      <c r="A87" s="70" t="s">
        <v>499</v>
      </c>
      <c r="B87" s="70"/>
      <c r="C87" s="70"/>
      <c r="D87" s="70"/>
      <c r="E87" s="70"/>
      <c r="F87" s="70"/>
      <c r="G87" s="70"/>
      <c r="H87" s="70"/>
      <c r="I87" s="70"/>
      <c r="J87" s="70"/>
    </row>
    <row r="88" spans="1:13">
      <c r="A88" s="12" t="s">
        <v>249</v>
      </c>
      <c r="B88" s="11" t="s">
        <v>814</v>
      </c>
      <c r="C88" s="11" t="s">
        <v>1315</v>
      </c>
      <c r="D88" s="11" t="s">
        <v>815</v>
      </c>
      <c r="E88" s="11" t="s">
        <v>1441</v>
      </c>
      <c r="F88" s="11" t="s">
        <v>1262</v>
      </c>
      <c r="G88" s="24" t="s">
        <v>43</v>
      </c>
      <c r="H88" s="24" t="s">
        <v>85</v>
      </c>
      <c r="I88" s="25" t="s">
        <v>104</v>
      </c>
      <c r="J88" s="12"/>
      <c r="K88" s="36" t="str">
        <f>"200,0"</f>
        <v>200,0</v>
      </c>
      <c r="L88" s="12" t="str">
        <f>"139,9000"</f>
        <v>139,9000</v>
      </c>
      <c r="M88" s="11"/>
    </row>
    <row r="89" spans="1:13">
      <c r="A89" s="6"/>
      <c r="I89" s="37"/>
    </row>
    <row r="90" spans="1:13">
      <c r="B90" s="5" t="s">
        <v>250</v>
      </c>
    </row>
    <row r="92" spans="1:13" ht="18">
      <c r="B92" s="15" t="s">
        <v>227</v>
      </c>
      <c r="C92" s="15"/>
    </row>
    <row r="93" spans="1:13" ht="16">
      <c r="B93" s="16" t="s">
        <v>228</v>
      </c>
      <c r="C93" s="16"/>
    </row>
    <row r="94" spans="1:13" ht="14">
      <c r="B94" s="17"/>
      <c r="C94" s="18" t="s">
        <v>229</v>
      </c>
    </row>
    <row r="95" spans="1:13" ht="14">
      <c r="B95" s="19" t="s">
        <v>230</v>
      </c>
      <c r="C95" s="19" t="s">
        <v>231</v>
      </c>
      <c r="D95" s="19" t="s">
        <v>1370</v>
      </c>
      <c r="E95" s="19" t="s">
        <v>685</v>
      </c>
      <c r="F95" s="19" t="s">
        <v>234</v>
      </c>
    </row>
    <row r="96" spans="1:13">
      <c r="B96" s="5" t="s">
        <v>323</v>
      </c>
      <c r="C96" s="5" t="s">
        <v>229</v>
      </c>
      <c r="D96" s="6" t="s">
        <v>236</v>
      </c>
      <c r="E96" s="6" t="s">
        <v>265</v>
      </c>
      <c r="F96" s="6" t="s">
        <v>817</v>
      </c>
    </row>
    <row r="97" spans="2:6">
      <c r="B97" s="5" t="s">
        <v>713</v>
      </c>
      <c r="C97" s="5" t="s">
        <v>229</v>
      </c>
      <c r="D97" s="6" t="s">
        <v>243</v>
      </c>
      <c r="E97" s="6" t="s">
        <v>405</v>
      </c>
      <c r="F97" s="6" t="s">
        <v>816</v>
      </c>
    </row>
    <row r="98" spans="2:6">
      <c r="B98" s="5" t="s">
        <v>707</v>
      </c>
      <c r="C98" s="5" t="s">
        <v>229</v>
      </c>
      <c r="D98" s="6" t="s">
        <v>236</v>
      </c>
      <c r="E98" s="6" t="s">
        <v>273</v>
      </c>
      <c r="F98" s="6" t="s">
        <v>818</v>
      </c>
    </row>
    <row r="100" spans="2:6" ht="16">
      <c r="B100" s="16" t="s">
        <v>239</v>
      </c>
      <c r="C100" s="16"/>
    </row>
    <row r="101" spans="2:6" ht="14">
      <c r="B101" s="17"/>
      <c r="C101" s="18" t="s">
        <v>229</v>
      </c>
    </row>
    <row r="102" spans="2:6" ht="14">
      <c r="B102" s="19" t="s">
        <v>230</v>
      </c>
      <c r="C102" s="19" t="s">
        <v>231</v>
      </c>
      <c r="D102" s="19" t="s">
        <v>1370</v>
      </c>
      <c r="E102" s="19" t="s">
        <v>685</v>
      </c>
      <c r="F102" s="19" t="s">
        <v>234</v>
      </c>
    </row>
    <row r="103" spans="2:6">
      <c r="B103" s="5" t="s">
        <v>792</v>
      </c>
      <c r="C103" s="5" t="s">
        <v>229</v>
      </c>
      <c r="D103" s="6" t="s">
        <v>522</v>
      </c>
      <c r="E103" s="6" t="s">
        <v>410</v>
      </c>
      <c r="F103" s="6" t="s">
        <v>819</v>
      </c>
    </row>
    <row r="104" spans="2:6">
      <c r="B104" s="5" t="s">
        <v>732</v>
      </c>
      <c r="C104" s="5" t="s">
        <v>229</v>
      </c>
      <c r="D104" s="6" t="s">
        <v>235</v>
      </c>
      <c r="E104" s="6" t="s">
        <v>43</v>
      </c>
      <c r="F104" s="6" t="s">
        <v>820</v>
      </c>
    </row>
    <row r="105" spans="2:6">
      <c r="B105" s="5" t="s">
        <v>801</v>
      </c>
      <c r="C105" s="5" t="s">
        <v>229</v>
      </c>
      <c r="D105" s="6" t="s">
        <v>556</v>
      </c>
      <c r="E105" s="6" t="s">
        <v>475</v>
      </c>
      <c r="F105" s="6" t="s">
        <v>821</v>
      </c>
    </row>
    <row r="107" spans="2:6" ht="14">
      <c r="B107" s="17"/>
      <c r="C107" s="18" t="s">
        <v>237</v>
      </c>
    </row>
    <row r="108" spans="2:6" ht="14">
      <c r="B108" s="19" t="s">
        <v>230</v>
      </c>
      <c r="C108" s="19" t="s">
        <v>231</v>
      </c>
      <c r="D108" s="19" t="s">
        <v>1370</v>
      </c>
      <c r="E108" s="19" t="s">
        <v>685</v>
      </c>
      <c r="F108" s="19" t="s">
        <v>234</v>
      </c>
    </row>
    <row r="109" spans="2:6">
      <c r="B109" s="5" t="s">
        <v>768</v>
      </c>
      <c r="C109" s="5" t="s">
        <v>1316</v>
      </c>
      <c r="D109" s="6" t="s">
        <v>513</v>
      </c>
      <c r="E109" s="6" t="s">
        <v>72</v>
      </c>
      <c r="F109" s="6" t="s">
        <v>822</v>
      </c>
    </row>
    <row r="110" spans="2:6">
      <c r="B110" s="5" t="s">
        <v>814</v>
      </c>
      <c r="C110" s="5" t="s">
        <v>1316</v>
      </c>
      <c r="D110" s="6" t="s">
        <v>515</v>
      </c>
      <c r="E110" s="6" t="s">
        <v>85</v>
      </c>
      <c r="F110" s="6" t="s">
        <v>823</v>
      </c>
    </row>
    <row r="111" spans="2:6">
      <c r="B111" s="5" t="s">
        <v>732</v>
      </c>
      <c r="C111" s="5" t="s">
        <v>1288</v>
      </c>
      <c r="D111" s="6" t="s">
        <v>235</v>
      </c>
      <c r="E111" s="6" t="s">
        <v>43</v>
      </c>
      <c r="F111" s="6" t="s">
        <v>824</v>
      </c>
    </row>
    <row r="112" spans="2:6">
      <c r="B112" s="5" t="s">
        <v>250</v>
      </c>
    </row>
  </sheetData>
  <mergeCells count="26">
    <mergeCell ref="A81:J81"/>
    <mergeCell ref="A87:J87"/>
    <mergeCell ref="B3:B4"/>
    <mergeCell ref="A36:J36"/>
    <mergeCell ref="A39:J39"/>
    <mergeCell ref="A44:J44"/>
    <mergeCell ref="A51:J51"/>
    <mergeCell ref="A63:J63"/>
    <mergeCell ref="A73:J73"/>
    <mergeCell ref="A9:J9"/>
    <mergeCell ref="A13:J13"/>
    <mergeCell ref="A16:J16"/>
    <mergeCell ref="A24:J24"/>
    <mergeCell ref="A30:J30"/>
    <mergeCell ref="A33:J33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M78"/>
  <sheetViews>
    <sheetView topLeftCell="A22" workbookViewId="0">
      <selection activeCell="E62" sqref="E62"/>
    </sheetView>
  </sheetViews>
  <sheetFormatPr baseColWidth="10" defaultColWidth="9.1640625" defaultRowHeight="13"/>
  <cols>
    <col min="1" max="1" width="7.5" style="5" bestFit="1" customWidth="1"/>
    <col min="2" max="2" width="21.6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9" style="5" bestFit="1" customWidth="1"/>
    <col min="7" max="9" width="5.5" style="6" customWidth="1"/>
    <col min="10" max="10" width="4.83203125" style="6" customWidth="1"/>
    <col min="11" max="11" width="10.5" style="32" bestFit="1" customWidth="1"/>
    <col min="12" max="12" width="8.5" style="6" bestFit="1" customWidth="1"/>
    <col min="13" max="13" width="18.6640625" style="5" bestFit="1" customWidth="1"/>
    <col min="14" max="16384" width="9.1640625" style="3"/>
  </cols>
  <sheetData>
    <row r="1" spans="1:13" s="2" customFormat="1" ht="29" customHeight="1">
      <c r="A1" s="57" t="s">
        <v>1383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1430</v>
      </c>
      <c r="B3" s="77" t="s">
        <v>0</v>
      </c>
      <c r="C3" s="67" t="s">
        <v>1432</v>
      </c>
      <c r="D3" s="67" t="s">
        <v>8</v>
      </c>
      <c r="E3" s="69" t="s">
        <v>1433</v>
      </c>
      <c r="F3" s="69" t="s">
        <v>5</v>
      </c>
      <c r="G3" s="69" t="s">
        <v>10</v>
      </c>
      <c r="H3" s="69"/>
      <c r="I3" s="69"/>
      <c r="J3" s="69"/>
      <c r="K3" s="71" t="s">
        <v>692</v>
      </c>
      <c r="L3" s="69" t="s">
        <v>3</v>
      </c>
      <c r="M3" s="73" t="s">
        <v>2</v>
      </c>
    </row>
    <row r="4" spans="1:13" s="1" customFormat="1" ht="21" customHeight="1" thickBot="1">
      <c r="A4" s="66"/>
      <c r="B4" s="78"/>
      <c r="C4" s="68"/>
      <c r="D4" s="68"/>
      <c r="E4" s="68"/>
      <c r="F4" s="68"/>
      <c r="G4" s="4">
        <v>1</v>
      </c>
      <c r="H4" s="4">
        <v>2</v>
      </c>
      <c r="I4" s="4">
        <v>3</v>
      </c>
      <c r="J4" s="4" t="s">
        <v>4</v>
      </c>
      <c r="K4" s="72"/>
      <c r="L4" s="68"/>
      <c r="M4" s="74"/>
    </row>
    <row r="5" spans="1:13" ht="16">
      <c r="A5" s="75" t="s">
        <v>582</v>
      </c>
      <c r="B5" s="75"/>
      <c r="C5" s="76"/>
      <c r="D5" s="76"/>
      <c r="E5" s="76"/>
      <c r="F5" s="76"/>
      <c r="G5" s="76"/>
      <c r="H5" s="76"/>
      <c r="I5" s="76"/>
      <c r="J5" s="76"/>
    </row>
    <row r="6" spans="1:13">
      <c r="A6" s="12" t="s">
        <v>249</v>
      </c>
      <c r="B6" s="11" t="s">
        <v>583</v>
      </c>
      <c r="C6" s="11" t="s">
        <v>584</v>
      </c>
      <c r="D6" s="11" t="s">
        <v>585</v>
      </c>
      <c r="E6" s="11" t="s">
        <v>1436</v>
      </c>
      <c r="F6" s="11" t="s">
        <v>586</v>
      </c>
      <c r="G6" s="24" t="s">
        <v>587</v>
      </c>
      <c r="H6" s="24" t="s">
        <v>284</v>
      </c>
      <c r="I6" s="25" t="s">
        <v>285</v>
      </c>
      <c r="J6" s="12"/>
      <c r="K6" s="36" t="str">
        <f>"25,0"</f>
        <v>25,0</v>
      </c>
      <c r="L6" s="12" t="str">
        <f>"37,3400"</f>
        <v>37,3400</v>
      </c>
      <c r="M6" s="11" t="s">
        <v>588</v>
      </c>
    </row>
    <row r="7" spans="1:13">
      <c r="B7" s="5" t="s">
        <v>250</v>
      </c>
    </row>
    <row r="8" spans="1:13" ht="16">
      <c r="A8" s="70" t="s">
        <v>12</v>
      </c>
      <c r="B8" s="70"/>
      <c r="C8" s="70"/>
      <c r="D8" s="70"/>
      <c r="E8" s="70"/>
      <c r="F8" s="70"/>
      <c r="G8" s="70"/>
      <c r="H8" s="70"/>
      <c r="I8" s="70"/>
      <c r="J8" s="70"/>
    </row>
    <row r="9" spans="1:13">
      <c r="A9" s="12" t="s">
        <v>249</v>
      </c>
      <c r="B9" s="11" t="s">
        <v>589</v>
      </c>
      <c r="C9" s="11" t="s">
        <v>590</v>
      </c>
      <c r="D9" s="11" t="s">
        <v>591</v>
      </c>
      <c r="E9" s="11" t="s">
        <v>1435</v>
      </c>
      <c r="F9" s="11" t="s">
        <v>1262</v>
      </c>
      <c r="G9" s="24" t="s">
        <v>17</v>
      </c>
      <c r="H9" s="24" t="s">
        <v>18</v>
      </c>
      <c r="I9" s="25" t="s">
        <v>19</v>
      </c>
      <c r="J9" s="12"/>
      <c r="K9" s="36" t="str">
        <f>"105,0"</f>
        <v>105,0</v>
      </c>
      <c r="L9" s="12" t="str">
        <f>"107,7405"</f>
        <v>107,7405</v>
      </c>
      <c r="M9" s="11" t="s">
        <v>592</v>
      </c>
    </row>
    <row r="10" spans="1:13">
      <c r="B10" s="5" t="s">
        <v>250</v>
      </c>
    </row>
    <row r="11" spans="1:13" ht="16">
      <c r="A11" s="70" t="s">
        <v>57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3">
      <c r="A12" s="12" t="s">
        <v>249</v>
      </c>
      <c r="B12" s="11" t="s">
        <v>58</v>
      </c>
      <c r="C12" s="11" t="s">
        <v>59</v>
      </c>
      <c r="D12" s="11" t="s">
        <v>60</v>
      </c>
      <c r="E12" s="11" t="s">
        <v>1435</v>
      </c>
      <c r="F12" s="11" t="s">
        <v>61</v>
      </c>
      <c r="G12" s="24" t="s">
        <v>22</v>
      </c>
      <c r="H12" s="24" t="s">
        <v>23</v>
      </c>
      <c r="I12" s="25" t="s">
        <v>65</v>
      </c>
      <c r="J12" s="12"/>
      <c r="K12" s="36" t="str">
        <f>"125,0"</f>
        <v>125,0</v>
      </c>
      <c r="L12" s="12" t="str">
        <f>"110,7375"</f>
        <v>110,7375</v>
      </c>
      <c r="M12" s="11" t="s">
        <v>527</v>
      </c>
    </row>
    <row r="13" spans="1:13">
      <c r="B13" s="5" t="s">
        <v>250</v>
      </c>
    </row>
    <row r="14" spans="1:13" ht="16">
      <c r="A14" s="70" t="s">
        <v>68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1:13">
      <c r="A15" s="8" t="s">
        <v>249</v>
      </c>
      <c r="B15" s="7" t="s">
        <v>593</v>
      </c>
      <c r="C15" s="7" t="s">
        <v>594</v>
      </c>
      <c r="D15" s="7" t="s">
        <v>595</v>
      </c>
      <c r="E15" s="7" t="s">
        <v>1435</v>
      </c>
      <c r="F15" s="7" t="s">
        <v>347</v>
      </c>
      <c r="G15" s="21" t="s">
        <v>75</v>
      </c>
      <c r="H15" s="21" t="s">
        <v>49</v>
      </c>
      <c r="I15" s="21" t="s">
        <v>77</v>
      </c>
      <c r="J15" s="8"/>
      <c r="K15" s="33" t="str">
        <f>"155,0"</f>
        <v>155,0</v>
      </c>
      <c r="L15" s="8" t="str">
        <f>"111,1815"</f>
        <v>111,1815</v>
      </c>
      <c r="M15" s="7" t="s">
        <v>1407</v>
      </c>
    </row>
    <row r="16" spans="1:13">
      <c r="A16" s="10" t="s">
        <v>249</v>
      </c>
      <c r="B16" s="9" t="s">
        <v>596</v>
      </c>
      <c r="C16" s="9" t="s">
        <v>1317</v>
      </c>
      <c r="D16" s="9" t="s">
        <v>597</v>
      </c>
      <c r="E16" s="9" t="s">
        <v>1439</v>
      </c>
      <c r="F16" s="9" t="s">
        <v>409</v>
      </c>
      <c r="G16" s="22" t="s">
        <v>298</v>
      </c>
      <c r="H16" s="22" t="s">
        <v>187</v>
      </c>
      <c r="I16" s="22" t="s">
        <v>17</v>
      </c>
      <c r="J16" s="10"/>
      <c r="K16" s="35" t="str">
        <f>"100,0"</f>
        <v>100,0</v>
      </c>
      <c r="L16" s="10" t="str">
        <f>"105,7371"</f>
        <v>105,7371</v>
      </c>
      <c r="M16" s="9"/>
    </row>
    <row r="17" spans="1:13">
      <c r="B17" s="5" t="s">
        <v>250</v>
      </c>
    </row>
    <row r="18" spans="1:13" ht="16">
      <c r="A18" s="70" t="s">
        <v>34</v>
      </c>
      <c r="B18" s="70"/>
      <c r="C18" s="70"/>
      <c r="D18" s="70"/>
      <c r="E18" s="70"/>
      <c r="F18" s="70"/>
      <c r="G18" s="70"/>
      <c r="H18" s="70"/>
      <c r="I18" s="70"/>
      <c r="J18" s="70"/>
    </row>
    <row r="19" spans="1:13">
      <c r="A19" s="8" t="s">
        <v>249</v>
      </c>
      <c r="B19" s="7" t="s">
        <v>598</v>
      </c>
      <c r="C19" s="7" t="s">
        <v>599</v>
      </c>
      <c r="D19" s="7" t="s">
        <v>600</v>
      </c>
      <c r="E19" s="7" t="s">
        <v>1435</v>
      </c>
      <c r="F19" s="7" t="s">
        <v>601</v>
      </c>
      <c r="G19" s="21" t="s">
        <v>76</v>
      </c>
      <c r="H19" s="20" t="s">
        <v>267</v>
      </c>
      <c r="I19" s="20" t="s">
        <v>267</v>
      </c>
      <c r="J19" s="8"/>
      <c r="K19" s="33" t="str">
        <f>"147,5"</f>
        <v>147,5</v>
      </c>
      <c r="L19" s="8" t="str">
        <f>"100,1525"</f>
        <v>100,1525</v>
      </c>
      <c r="M19" s="7"/>
    </row>
    <row r="20" spans="1:13">
      <c r="A20" s="10" t="s">
        <v>249</v>
      </c>
      <c r="B20" s="9" t="s">
        <v>602</v>
      </c>
      <c r="C20" s="9" t="s">
        <v>1318</v>
      </c>
      <c r="D20" s="9" t="s">
        <v>603</v>
      </c>
      <c r="E20" s="9" t="s">
        <v>1441</v>
      </c>
      <c r="F20" s="9" t="s">
        <v>604</v>
      </c>
      <c r="G20" s="22" t="s">
        <v>17</v>
      </c>
      <c r="H20" s="22" t="s">
        <v>27</v>
      </c>
      <c r="I20" s="23" t="s">
        <v>23</v>
      </c>
      <c r="J20" s="10"/>
      <c r="K20" s="35" t="str">
        <f>"115,0"</f>
        <v>115,0</v>
      </c>
      <c r="L20" s="10" t="str">
        <f>"100,2659"</f>
        <v>100,2659</v>
      </c>
      <c r="M20" s="9" t="s">
        <v>605</v>
      </c>
    </row>
    <row r="21" spans="1:13">
      <c r="B21" s="5" t="s">
        <v>250</v>
      </c>
    </row>
    <row r="22" spans="1:13" ht="16">
      <c r="A22" s="70" t="s">
        <v>105</v>
      </c>
      <c r="B22" s="70"/>
      <c r="C22" s="70"/>
      <c r="D22" s="70"/>
      <c r="E22" s="70"/>
      <c r="F22" s="70"/>
      <c r="G22" s="70"/>
      <c r="H22" s="70"/>
      <c r="I22" s="70"/>
      <c r="J22" s="70"/>
    </row>
    <row r="23" spans="1:13">
      <c r="A23" s="8" t="s">
        <v>249</v>
      </c>
      <c r="B23" s="7" t="s">
        <v>606</v>
      </c>
      <c r="C23" s="7" t="s">
        <v>607</v>
      </c>
      <c r="D23" s="7" t="s">
        <v>608</v>
      </c>
      <c r="E23" s="7" t="s">
        <v>1436</v>
      </c>
      <c r="F23" s="7" t="s">
        <v>601</v>
      </c>
      <c r="G23" s="21" t="s">
        <v>17</v>
      </c>
      <c r="H23" s="20" t="s">
        <v>18</v>
      </c>
      <c r="I23" s="20" t="s">
        <v>405</v>
      </c>
      <c r="J23" s="8"/>
      <c r="K23" s="33" t="str">
        <f>"100,0"</f>
        <v>100,0</v>
      </c>
      <c r="L23" s="8" t="str">
        <f>"66,1900"</f>
        <v>66,1900</v>
      </c>
      <c r="M23" s="7" t="s">
        <v>1408</v>
      </c>
    </row>
    <row r="24" spans="1:13">
      <c r="A24" s="14" t="s">
        <v>249</v>
      </c>
      <c r="B24" s="13" t="s">
        <v>609</v>
      </c>
      <c r="C24" s="13" t="s">
        <v>610</v>
      </c>
      <c r="D24" s="13" t="s">
        <v>141</v>
      </c>
      <c r="E24" s="13" t="s">
        <v>1435</v>
      </c>
      <c r="F24" s="13" t="s">
        <v>170</v>
      </c>
      <c r="G24" s="26" t="s">
        <v>84</v>
      </c>
      <c r="H24" s="26" t="s">
        <v>74</v>
      </c>
      <c r="I24" s="26" t="s">
        <v>183</v>
      </c>
      <c r="J24" s="14"/>
      <c r="K24" s="34" t="str">
        <f>"202,5"</f>
        <v>202,5</v>
      </c>
      <c r="L24" s="14" t="str">
        <f>"130,0860"</f>
        <v>130,0860</v>
      </c>
      <c r="M24" s="13" t="s">
        <v>1409</v>
      </c>
    </row>
    <row r="25" spans="1:13">
      <c r="A25" s="14" t="s">
        <v>252</v>
      </c>
      <c r="B25" s="13" t="s">
        <v>611</v>
      </c>
      <c r="C25" s="13" t="s">
        <v>612</v>
      </c>
      <c r="D25" s="13" t="s">
        <v>613</v>
      </c>
      <c r="E25" s="13" t="s">
        <v>1435</v>
      </c>
      <c r="F25" s="13" t="s">
        <v>445</v>
      </c>
      <c r="G25" s="26" t="s">
        <v>77</v>
      </c>
      <c r="H25" s="26" t="s">
        <v>379</v>
      </c>
      <c r="I25" s="27" t="s">
        <v>126</v>
      </c>
      <c r="J25" s="14"/>
      <c r="K25" s="34" t="str">
        <f>"162,5"</f>
        <v>162,5</v>
      </c>
      <c r="L25" s="14" t="str">
        <f>"104,9588"</f>
        <v>104,9588</v>
      </c>
      <c r="M25" s="13"/>
    </row>
    <row r="26" spans="1:13">
      <c r="A26" s="14" t="s">
        <v>253</v>
      </c>
      <c r="B26" s="13" t="s">
        <v>614</v>
      </c>
      <c r="C26" s="13" t="s">
        <v>615</v>
      </c>
      <c r="D26" s="13" t="s">
        <v>616</v>
      </c>
      <c r="E26" s="13" t="s">
        <v>1435</v>
      </c>
      <c r="F26" s="13" t="s">
        <v>1262</v>
      </c>
      <c r="G26" s="26" t="s">
        <v>19</v>
      </c>
      <c r="H26" s="27" t="s">
        <v>265</v>
      </c>
      <c r="I26" s="27" t="s">
        <v>265</v>
      </c>
      <c r="J26" s="14"/>
      <c r="K26" s="34" t="str">
        <f>"110,0"</f>
        <v>110,0</v>
      </c>
      <c r="L26" s="14" t="str">
        <f>"70,9610"</f>
        <v>70,9610</v>
      </c>
      <c r="M26" s="13" t="s">
        <v>1395</v>
      </c>
    </row>
    <row r="27" spans="1:13">
      <c r="A27" s="14" t="s">
        <v>251</v>
      </c>
      <c r="B27" s="13" t="s">
        <v>617</v>
      </c>
      <c r="C27" s="13" t="s">
        <v>618</v>
      </c>
      <c r="D27" s="13" t="s">
        <v>619</v>
      </c>
      <c r="E27" s="13" t="s">
        <v>1435</v>
      </c>
      <c r="F27" s="13" t="s">
        <v>601</v>
      </c>
      <c r="G27" s="27" t="s">
        <v>65</v>
      </c>
      <c r="H27" s="27" t="s">
        <v>65</v>
      </c>
      <c r="I27" s="27" t="s">
        <v>65</v>
      </c>
      <c r="J27" s="14"/>
      <c r="K27" s="34">
        <v>0</v>
      </c>
      <c r="L27" s="14" t="str">
        <f>"0,0000"</f>
        <v>0,0000</v>
      </c>
      <c r="M27" s="13"/>
    </row>
    <row r="28" spans="1:13">
      <c r="A28" s="14" t="s">
        <v>251</v>
      </c>
      <c r="B28" s="13" t="s">
        <v>620</v>
      </c>
      <c r="C28" s="13" t="s">
        <v>621</v>
      </c>
      <c r="D28" s="13" t="s">
        <v>137</v>
      </c>
      <c r="E28" s="13" t="s">
        <v>1435</v>
      </c>
      <c r="F28" s="13" t="s">
        <v>445</v>
      </c>
      <c r="G28" s="27" t="s">
        <v>267</v>
      </c>
      <c r="H28" s="27" t="s">
        <v>267</v>
      </c>
      <c r="I28" s="27" t="s">
        <v>267</v>
      </c>
      <c r="J28" s="14"/>
      <c r="K28" s="34">
        <v>0</v>
      </c>
      <c r="L28" s="14" t="str">
        <f>"0,0000"</f>
        <v>0,0000</v>
      </c>
      <c r="M28" s="13"/>
    </row>
    <row r="29" spans="1:13">
      <c r="A29" s="10" t="s">
        <v>249</v>
      </c>
      <c r="B29" s="9" t="s">
        <v>622</v>
      </c>
      <c r="C29" s="9" t="s">
        <v>1319</v>
      </c>
      <c r="D29" s="9" t="s">
        <v>530</v>
      </c>
      <c r="E29" s="9" t="s">
        <v>1440</v>
      </c>
      <c r="F29" s="9" t="s">
        <v>623</v>
      </c>
      <c r="G29" s="22" t="s">
        <v>77</v>
      </c>
      <c r="H29" s="22" t="s">
        <v>51</v>
      </c>
      <c r="I29" s="22" t="s">
        <v>38</v>
      </c>
      <c r="J29" s="10"/>
      <c r="K29" s="35" t="str">
        <f>"165,0"</f>
        <v>165,0</v>
      </c>
      <c r="L29" s="10" t="str">
        <f>"124,7862"</f>
        <v>124,7862</v>
      </c>
      <c r="M29" s="9" t="s">
        <v>624</v>
      </c>
    </row>
    <row r="30" spans="1:13">
      <c r="B30" s="5" t="s">
        <v>250</v>
      </c>
    </row>
    <row r="31" spans="1:13" ht="16">
      <c r="A31" s="70" t="s">
        <v>151</v>
      </c>
      <c r="B31" s="70"/>
      <c r="C31" s="70"/>
      <c r="D31" s="70"/>
      <c r="E31" s="70"/>
      <c r="F31" s="70"/>
      <c r="G31" s="70"/>
      <c r="H31" s="70"/>
      <c r="I31" s="70"/>
      <c r="J31" s="70"/>
    </row>
    <row r="32" spans="1:13">
      <c r="A32" s="8" t="s">
        <v>249</v>
      </c>
      <c r="B32" s="7" t="s">
        <v>625</v>
      </c>
      <c r="C32" s="7" t="s">
        <v>626</v>
      </c>
      <c r="D32" s="7" t="s">
        <v>535</v>
      </c>
      <c r="E32" s="7" t="s">
        <v>1435</v>
      </c>
      <c r="F32" s="7" t="s">
        <v>1412</v>
      </c>
      <c r="G32" s="21" t="s">
        <v>183</v>
      </c>
      <c r="H32" s="21" t="s">
        <v>111</v>
      </c>
      <c r="I32" s="20" t="s">
        <v>132</v>
      </c>
      <c r="J32" s="8"/>
      <c r="K32" s="33" t="str">
        <f>"207,5"</f>
        <v>207,5</v>
      </c>
      <c r="L32" s="8" t="str">
        <f>"127,1145"</f>
        <v>127,1145</v>
      </c>
      <c r="M32" s="7" t="s">
        <v>627</v>
      </c>
    </row>
    <row r="33" spans="1:13">
      <c r="A33" s="14" t="s">
        <v>252</v>
      </c>
      <c r="B33" s="13" t="s">
        <v>628</v>
      </c>
      <c r="C33" s="13" t="s">
        <v>629</v>
      </c>
      <c r="D33" s="13" t="s">
        <v>630</v>
      </c>
      <c r="E33" s="13" t="s">
        <v>1435</v>
      </c>
      <c r="F33" s="13" t="s">
        <v>631</v>
      </c>
      <c r="G33" s="26" t="s">
        <v>78</v>
      </c>
      <c r="H33" s="26" t="s">
        <v>85</v>
      </c>
      <c r="I33" s="27" t="s">
        <v>104</v>
      </c>
      <c r="J33" s="14"/>
      <c r="K33" s="34" t="str">
        <f>"200,0"</f>
        <v>200,0</v>
      </c>
      <c r="L33" s="14" t="str">
        <f>"124,1200"</f>
        <v>124,1200</v>
      </c>
      <c r="M33" s="13" t="s">
        <v>632</v>
      </c>
    </row>
    <row r="34" spans="1:13">
      <c r="A34" s="14" t="s">
        <v>253</v>
      </c>
      <c r="B34" s="13" t="s">
        <v>633</v>
      </c>
      <c r="C34" s="13" t="s">
        <v>634</v>
      </c>
      <c r="D34" s="13" t="s">
        <v>635</v>
      </c>
      <c r="E34" s="13" t="s">
        <v>1435</v>
      </c>
      <c r="F34" s="13" t="s">
        <v>387</v>
      </c>
      <c r="G34" s="26" t="s">
        <v>73</v>
      </c>
      <c r="H34" s="26" t="s">
        <v>74</v>
      </c>
      <c r="I34" s="27" t="s">
        <v>104</v>
      </c>
      <c r="J34" s="14"/>
      <c r="K34" s="34" t="str">
        <f>"197,5"</f>
        <v>197,5</v>
      </c>
      <c r="L34" s="14" t="str">
        <f>"122,5092"</f>
        <v>122,5092</v>
      </c>
      <c r="M34" s="13" t="s">
        <v>636</v>
      </c>
    </row>
    <row r="35" spans="1:13">
      <c r="A35" s="14" t="s">
        <v>254</v>
      </c>
      <c r="B35" s="13" t="s">
        <v>637</v>
      </c>
      <c r="C35" s="13" t="s">
        <v>638</v>
      </c>
      <c r="D35" s="13" t="s">
        <v>639</v>
      </c>
      <c r="E35" s="13" t="s">
        <v>1435</v>
      </c>
      <c r="F35" s="13" t="s">
        <v>1262</v>
      </c>
      <c r="G35" s="26" t="s">
        <v>72</v>
      </c>
      <c r="H35" s="26" t="s">
        <v>43</v>
      </c>
      <c r="I35" s="27" t="s">
        <v>56</v>
      </c>
      <c r="J35" s="14"/>
      <c r="K35" s="34" t="str">
        <f>"185,0"</f>
        <v>185,0</v>
      </c>
      <c r="L35" s="14" t="str">
        <f>"112,5910"</f>
        <v>112,5910</v>
      </c>
      <c r="M35" s="13" t="s">
        <v>1409</v>
      </c>
    </row>
    <row r="36" spans="1:13">
      <c r="A36" s="14" t="s">
        <v>255</v>
      </c>
      <c r="B36" s="13" t="s">
        <v>640</v>
      </c>
      <c r="C36" s="13" t="s">
        <v>641</v>
      </c>
      <c r="D36" s="13" t="s">
        <v>571</v>
      </c>
      <c r="E36" s="13" t="s">
        <v>1435</v>
      </c>
      <c r="F36" s="13" t="s">
        <v>191</v>
      </c>
      <c r="G36" s="26" t="s">
        <v>72</v>
      </c>
      <c r="H36" s="27" t="s">
        <v>56</v>
      </c>
      <c r="I36" s="14"/>
      <c r="J36" s="14"/>
      <c r="K36" s="34" t="str">
        <f>"180,0"</f>
        <v>180,0</v>
      </c>
      <c r="L36" s="14" t="str">
        <f>"110,3580"</f>
        <v>110,3580</v>
      </c>
      <c r="M36" s="13"/>
    </row>
    <row r="37" spans="1:13">
      <c r="A37" s="14" t="s">
        <v>256</v>
      </c>
      <c r="B37" s="13" t="s">
        <v>642</v>
      </c>
      <c r="C37" s="13" t="s">
        <v>643</v>
      </c>
      <c r="D37" s="13" t="s">
        <v>644</v>
      </c>
      <c r="E37" s="13" t="s">
        <v>1435</v>
      </c>
      <c r="F37" s="13" t="s">
        <v>342</v>
      </c>
      <c r="G37" s="26" t="s">
        <v>49</v>
      </c>
      <c r="H37" s="26" t="s">
        <v>51</v>
      </c>
      <c r="I37" s="27" t="s">
        <v>38</v>
      </c>
      <c r="J37" s="14"/>
      <c r="K37" s="34" t="str">
        <f>"160,0"</f>
        <v>160,0</v>
      </c>
      <c r="L37" s="14" t="str">
        <f>"100,2080"</f>
        <v>100,2080</v>
      </c>
      <c r="M37" s="13" t="s">
        <v>1410</v>
      </c>
    </row>
    <row r="38" spans="1:13">
      <c r="A38" s="14" t="s">
        <v>249</v>
      </c>
      <c r="B38" s="13" t="s">
        <v>190</v>
      </c>
      <c r="C38" s="13" t="s">
        <v>1293</v>
      </c>
      <c r="D38" s="13" t="s">
        <v>160</v>
      </c>
      <c r="E38" s="13" t="s">
        <v>1434</v>
      </c>
      <c r="F38" s="13" t="s">
        <v>191</v>
      </c>
      <c r="G38" s="26" t="s">
        <v>77</v>
      </c>
      <c r="H38" s="26" t="s">
        <v>52</v>
      </c>
      <c r="I38" s="26" t="s">
        <v>72</v>
      </c>
      <c r="J38" s="14"/>
      <c r="K38" s="34" t="str">
        <f>"180,0"</f>
        <v>180,0</v>
      </c>
      <c r="L38" s="14" t="str">
        <f>"109,7280"</f>
        <v>109,7280</v>
      </c>
      <c r="M38" s="13"/>
    </row>
    <row r="39" spans="1:13">
      <c r="A39" s="14" t="s">
        <v>252</v>
      </c>
      <c r="B39" s="13" t="s">
        <v>645</v>
      </c>
      <c r="C39" s="13" t="s">
        <v>1320</v>
      </c>
      <c r="D39" s="13" t="s">
        <v>646</v>
      </c>
      <c r="E39" s="13" t="s">
        <v>1434</v>
      </c>
      <c r="F39" s="13" t="s">
        <v>191</v>
      </c>
      <c r="G39" s="26" t="s">
        <v>49</v>
      </c>
      <c r="H39" s="27" t="s">
        <v>51</v>
      </c>
      <c r="I39" s="27" t="s">
        <v>51</v>
      </c>
      <c r="J39" s="14"/>
      <c r="K39" s="34" t="str">
        <f>"150,0"</f>
        <v>150,0</v>
      </c>
      <c r="L39" s="14" t="str">
        <f>"92,6208"</f>
        <v>92,6208</v>
      </c>
      <c r="M39" s="13" t="s">
        <v>647</v>
      </c>
    </row>
    <row r="40" spans="1:13">
      <c r="A40" s="10" t="s">
        <v>249</v>
      </c>
      <c r="B40" s="9" t="s">
        <v>648</v>
      </c>
      <c r="C40" s="9" t="s">
        <v>1321</v>
      </c>
      <c r="D40" s="9" t="s">
        <v>649</v>
      </c>
      <c r="E40" s="9" t="s">
        <v>1438</v>
      </c>
      <c r="F40" s="9" t="s">
        <v>342</v>
      </c>
      <c r="G40" s="22" t="s">
        <v>65</v>
      </c>
      <c r="H40" s="23" t="s">
        <v>75</v>
      </c>
      <c r="I40" s="23" t="s">
        <v>343</v>
      </c>
      <c r="J40" s="10"/>
      <c r="K40" s="35" t="str">
        <f>"130,0"</f>
        <v>130,0</v>
      </c>
      <c r="L40" s="10" t="str">
        <f>"90,2953"</f>
        <v>90,2953</v>
      </c>
      <c r="M40" s="9" t="s">
        <v>1410</v>
      </c>
    </row>
    <row r="41" spans="1:13">
      <c r="B41" s="5" t="s">
        <v>250</v>
      </c>
    </row>
    <row r="42" spans="1:13" ht="16">
      <c r="A42" s="70" t="s">
        <v>192</v>
      </c>
      <c r="B42" s="70"/>
      <c r="C42" s="70"/>
      <c r="D42" s="70"/>
      <c r="E42" s="70"/>
      <c r="F42" s="70"/>
      <c r="G42" s="70"/>
      <c r="H42" s="70"/>
      <c r="I42" s="70"/>
      <c r="J42" s="70"/>
    </row>
    <row r="43" spans="1:13">
      <c r="A43" s="8" t="s">
        <v>249</v>
      </c>
      <c r="B43" s="7" t="s">
        <v>650</v>
      </c>
      <c r="C43" s="7" t="s">
        <v>651</v>
      </c>
      <c r="D43" s="7" t="s">
        <v>482</v>
      </c>
      <c r="E43" s="7" t="s">
        <v>1435</v>
      </c>
      <c r="F43" s="7" t="s">
        <v>652</v>
      </c>
      <c r="G43" s="21" t="s">
        <v>433</v>
      </c>
      <c r="H43" s="21" t="s">
        <v>66</v>
      </c>
      <c r="I43" s="20" t="s">
        <v>127</v>
      </c>
      <c r="J43" s="8"/>
      <c r="K43" s="33" t="str">
        <f>"240,0"</f>
        <v>240,0</v>
      </c>
      <c r="L43" s="8" t="str">
        <f>"141,2400"</f>
        <v>141,2400</v>
      </c>
      <c r="M43" s="7"/>
    </row>
    <row r="44" spans="1:13">
      <c r="A44" s="14" t="s">
        <v>252</v>
      </c>
      <c r="B44" s="13" t="s">
        <v>653</v>
      </c>
      <c r="C44" s="13" t="s">
        <v>654</v>
      </c>
      <c r="D44" s="13" t="s">
        <v>655</v>
      </c>
      <c r="E44" s="13" t="s">
        <v>1435</v>
      </c>
      <c r="F44" s="13" t="s">
        <v>656</v>
      </c>
      <c r="G44" s="26" t="s">
        <v>74</v>
      </c>
      <c r="H44" s="26" t="s">
        <v>111</v>
      </c>
      <c r="I44" s="27" t="s">
        <v>410</v>
      </c>
      <c r="J44" s="14"/>
      <c r="K44" s="34" t="str">
        <f>"207,5"</f>
        <v>207,5</v>
      </c>
      <c r="L44" s="14" t="str">
        <f>"123,7945"</f>
        <v>123,7945</v>
      </c>
      <c r="M44" s="13"/>
    </row>
    <row r="45" spans="1:13">
      <c r="A45" s="14" t="s">
        <v>253</v>
      </c>
      <c r="B45" s="13" t="s">
        <v>540</v>
      </c>
      <c r="C45" s="13" t="s">
        <v>136</v>
      </c>
      <c r="D45" s="13" t="s">
        <v>541</v>
      </c>
      <c r="E45" s="13" t="s">
        <v>1435</v>
      </c>
      <c r="F45" s="13" t="s">
        <v>542</v>
      </c>
      <c r="G45" s="26" t="s">
        <v>56</v>
      </c>
      <c r="H45" s="26" t="s">
        <v>85</v>
      </c>
      <c r="I45" s="27" t="s">
        <v>111</v>
      </c>
      <c r="J45" s="14"/>
      <c r="K45" s="34" t="str">
        <f>"200,0"</f>
        <v>200,0</v>
      </c>
      <c r="L45" s="14" t="str">
        <f>"119,8800"</f>
        <v>119,8800</v>
      </c>
      <c r="M45" s="13"/>
    </row>
    <row r="46" spans="1:13">
      <c r="A46" s="14" t="s">
        <v>251</v>
      </c>
      <c r="B46" s="13" t="s">
        <v>657</v>
      </c>
      <c r="C46" s="13" t="s">
        <v>658</v>
      </c>
      <c r="D46" s="13" t="s">
        <v>659</v>
      </c>
      <c r="E46" s="13" t="s">
        <v>1435</v>
      </c>
      <c r="F46" s="13" t="s">
        <v>347</v>
      </c>
      <c r="G46" s="27" t="s">
        <v>78</v>
      </c>
      <c r="H46" s="27" t="s">
        <v>78</v>
      </c>
      <c r="I46" s="27" t="s">
        <v>78</v>
      </c>
      <c r="J46" s="14"/>
      <c r="K46" s="34">
        <v>0</v>
      </c>
      <c r="L46" s="14" t="str">
        <f>"0,0000"</f>
        <v>0,0000</v>
      </c>
      <c r="M46" s="13"/>
    </row>
    <row r="47" spans="1:13">
      <c r="A47" s="14" t="s">
        <v>249</v>
      </c>
      <c r="B47" s="13" t="s">
        <v>660</v>
      </c>
      <c r="C47" s="13" t="s">
        <v>1322</v>
      </c>
      <c r="D47" s="13" t="s">
        <v>661</v>
      </c>
      <c r="E47" s="13" t="s">
        <v>1438</v>
      </c>
      <c r="F47" s="13" t="s">
        <v>662</v>
      </c>
      <c r="G47" s="26" t="s">
        <v>52</v>
      </c>
      <c r="H47" s="26" t="s">
        <v>40</v>
      </c>
      <c r="I47" s="14"/>
      <c r="J47" s="14"/>
      <c r="K47" s="34" t="str">
        <f>"175,0"</f>
        <v>175,0</v>
      </c>
      <c r="L47" s="14" t="str">
        <f>"112,9702"</f>
        <v>112,9702</v>
      </c>
      <c r="M47" s="13" t="s">
        <v>663</v>
      </c>
    </row>
    <row r="48" spans="1:13">
      <c r="A48" s="14" t="s">
        <v>251</v>
      </c>
      <c r="B48" s="13" t="s">
        <v>657</v>
      </c>
      <c r="C48" s="13" t="s">
        <v>1323</v>
      </c>
      <c r="D48" s="13" t="s">
        <v>659</v>
      </c>
      <c r="E48" s="13" t="s">
        <v>1438</v>
      </c>
      <c r="F48" s="13" t="s">
        <v>347</v>
      </c>
      <c r="G48" s="27" t="s">
        <v>78</v>
      </c>
      <c r="H48" s="27" t="s">
        <v>78</v>
      </c>
      <c r="I48" s="27" t="s">
        <v>78</v>
      </c>
      <c r="J48" s="14"/>
      <c r="K48" s="34">
        <v>0</v>
      </c>
      <c r="L48" s="14" t="str">
        <f>"0,0000"</f>
        <v>0,0000</v>
      </c>
      <c r="M48" s="13"/>
    </row>
    <row r="49" spans="1:13">
      <c r="A49" s="14" t="s">
        <v>249</v>
      </c>
      <c r="B49" s="13" t="s">
        <v>653</v>
      </c>
      <c r="C49" s="13" t="s">
        <v>1324</v>
      </c>
      <c r="D49" s="13" t="s">
        <v>655</v>
      </c>
      <c r="E49" s="13" t="s">
        <v>1440</v>
      </c>
      <c r="F49" s="13" t="s">
        <v>656</v>
      </c>
      <c r="G49" s="26" t="s">
        <v>74</v>
      </c>
      <c r="H49" s="26" t="s">
        <v>111</v>
      </c>
      <c r="I49" s="27" t="s">
        <v>410</v>
      </c>
      <c r="J49" s="14"/>
      <c r="K49" s="34" t="str">
        <f>"207,5"</f>
        <v>207,5</v>
      </c>
      <c r="L49" s="14" t="str">
        <f>"142,3637"</f>
        <v>142,3637</v>
      </c>
      <c r="M49" s="13"/>
    </row>
    <row r="50" spans="1:13">
      <c r="A50" s="10" t="s">
        <v>249</v>
      </c>
      <c r="B50" s="9" t="s">
        <v>664</v>
      </c>
      <c r="C50" s="9" t="s">
        <v>1325</v>
      </c>
      <c r="D50" s="9" t="s">
        <v>665</v>
      </c>
      <c r="E50" s="9" t="s">
        <v>1439</v>
      </c>
      <c r="F50" s="9" t="s">
        <v>666</v>
      </c>
      <c r="G50" s="22" t="s">
        <v>75</v>
      </c>
      <c r="H50" s="22" t="s">
        <v>49</v>
      </c>
      <c r="I50" s="23" t="s">
        <v>268</v>
      </c>
      <c r="J50" s="10"/>
      <c r="K50" s="35" t="str">
        <f>"150,0"</f>
        <v>150,0</v>
      </c>
      <c r="L50" s="10" t="str">
        <f>"133,5127"</f>
        <v>133,5127</v>
      </c>
      <c r="M50" s="9" t="s">
        <v>667</v>
      </c>
    </row>
    <row r="51" spans="1:13">
      <c r="B51" s="5" t="s">
        <v>250</v>
      </c>
    </row>
    <row r="52" spans="1:13" ht="16">
      <c r="A52" s="70" t="s">
        <v>212</v>
      </c>
      <c r="B52" s="70"/>
      <c r="C52" s="70"/>
      <c r="D52" s="70"/>
      <c r="E52" s="70"/>
      <c r="F52" s="70"/>
      <c r="G52" s="70"/>
      <c r="H52" s="70"/>
      <c r="I52" s="70"/>
      <c r="J52" s="70"/>
    </row>
    <row r="53" spans="1:13">
      <c r="A53" s="8" t="s">
        <v>249</v>
      </c>
      <c r="B53" s="7" t="s">
        <v>668</v>
      </c>
      <c r="C53" s="7" t="s">
        <v>669</v>
      </c>
      <c r="D53" s="7" t="s">
        <v>553</v>
      </c>
      <c r="E53" s="7" t="s">
        <v>1435</v>
      </c>
      <c r="F53" s="7" t="s">
        <v>670</v>
      </c>
      <c r="G53" s="21" t="s">
        <v>119</v>
      </c>
      <c r="H53" s="21" t="s">
        <v>125</v>
      </c>
      <c r="I53" s="20" t="s">
        <v>92</v>
      </c>
      <c r="J53" s="8"/>
      <c r="K53" s="33" t="str">
        <f>"227,5"</f>
        <v>227,5</v>
      </c>
      <c r="L53" s="8" t="str">
        <f>"129,9025"</f>
        <v>129,9025</v>
      </c>
      <c r="M53" s="7" t="s">
        <v>671</v>
      </c>
    </row>
    <row r="54" spans="1:13">
      <c r="A54" s="14" t="s">
        <v>252</v>
      </c>
      <c r="B54" s="13" t="s">
        <v>672</v>
      </c>
      <c r="C54" s="13" t="s">
        <v>673</v>
      </c>
      <c r="D54" s="13" t="s">
        <v>674</v>
      </c>
      <c r="E54" s="13" t="s">
        <v>1435</v>
      </c>
      <c r="F54" s="13" t="s">
        <v>175</v>
      </c>
      <c r="G54" s="26" t="s">
        <v>104</v>
      </c>
      <c r="H54" s="26" t="s">
        <v>132</v>
      </c>
      <c r="I54" s="26" t="s">
        <v>119</v>
      </c>
      <c r="J54" s="14"/>
      <c r="K54" s="34" t="str">
        <f>"220,0"</f>
        <v>220,0</v>
      </c>
      <c r="L54" s="14" t="str">
        <f>"129,0080"</f>
        <v>129,0080</v>
      </c>
      <c r="M54" s="13" t="s">
        <v>526</v>
      </c>
    </row>
    <row r="55" spans="1:13">
      <c r="A55" s="14" t="s">
        <v>253</v>
      </c>
      <c r="B55" s="13" t="s">
        <v>675</v>
      </c>
      <c r="C55" s="13" t="s">
        <v>676</v>
      </c>
      <c r="D55" s="13" t="s">
        <v>677</v>
      </c>
      <c r="E55" s="13" t="s">
        <v>1435</v>
      </c>
      <c r="F55" s="13" t="s">
        <v>347</v>
      </c>
      <c r="G55" s="26" t="s">
        <v>78</v>
      </c>
      <c r="H55" s="26" t="s">
        <v>183</v>
      </c>
      <c r="I55" s="27" t="s">
        <v>111</v>
      </c>
      <c r="J55" s="14"/>
      <c r="K55" s="34" t="str">
        <f>"202,5"</f>
        <v>202,5</v>
      </c>
      <c r="L55" s="14" t="str">
        <f>"118,1790"</f>
        <v>118,1790</v>
      </c>
      <c r="M55" s="13" t="s">
        <v>1411</v>
      </c>
    </row>
    <row r="56" spans="1:13">
      <c r="A56" s="14" t="s">
        <v>249</v>
      </c>
      <c r="B56" s="13" t="s">
        <v>672</v>
      </c>
      <c r="C56" s="13" t="s">
        <v>1326</v>
      </c>
      <c r="D56" s="13" t="s">
        <v>674</v>
      </c>
      <c r="E56" s="13" t="s">
        <v>1434</v>
      </c>
      <c r="F56" s="13" t="s">
        <v>175</v>
      </c>
      <c r="G56" s="26" t="s">
        <v>104</v>
      </c>
      <c r="H56" s="26" t="s">
        <v>132</v>
      </c>
      <c r="I56" s="26" t="s">
        <v>119</v>
      </c>
      <c r="J56" s="14"/>
      <c r="K56" s="34" t="str">
        <f>"220,0"</f>
        <v>220,0</v>
      </c>
      <c r="L56" s="14" t="str">
        <f>"134,6843"</f>
        <v>134,6843</v>
      </c>
      <c r="M56" s="13" t="s">
        <v>526</v>
      </c>
    </row>
    <row r="57" spans="1:13">
      <c r="A57" s="10" t="s">
        <v>249</v>
      </c>
      <c r="B57" s="9" t="s">
        <v>668</v>
      </c>
      <c r="C57" s="9" t="s">
        <v>1327</v>
      </c>
      <c r="D57" s="9" t="s">
        <v>553</v>
      </c>
      <c r="E57" s="9" t="s">
        <v>1438</v>
      </c>
      <c r="F57" s="9" t="s">
        <v>670</v>
      </c>
      <c r="G57" s="22" t="s">
        <v>119</v>
      </c>
      <c r="H57" s="22" t="s">
        <v>125</v>
      </c>
      <c r="I57" s="23" t="s">
        <v>92</v>
      </c>
      <c r="J57" s="10"/>
      <c r="K57" s="35" t="str">
        <f>"227,5"</f>
        <v>227,5</v>
      </c>
      <c r="L57" s="10" t="str">
        <f>"137,6966"</f>
        <v>137,6966</v>
      </c>
      <c r="M57" s="9" t="s">
        <v>671</v>
      </c>
    </row>
    <row r="58" spans="1:13">
      <c r="B58" s="5" t="s">
        <v>250</v>
      </c>
    </row>
    <row r="59" spans="1:13" ht="16">
      <c r="A59" s="70" t="s">
        <v>499</v>
      </c>
      <c r="B59" s="70"/>
      <c r="C59" s="70"/>
      <c r="D59" s="70"/>
      <c r="E59" s="70"/>
      <c r="F59" s="70"/>
      <c r="G59" s="70"/>
      <c r="H59" s="70"/>
      <c r="I59" s="70"/>
      <c r="J59" s="70"/>
    </row>
    <row r="60" spans="1:13">
      <c r="A60" s="8" t="s">
        <v>249</v>
      </c>
      <c r="B60" s="7" t="s">
        <v>678</v>
      </c>
      <c r="C60" s="7" t="s">
        <v>679</v>
      </c>
      <c r="D60" s="7" t="s">
        <v>680</v>
      </c>
      <c r="E60" s="7" t="s">
        <v>1435</v>
      </c>
      <c r="F60" s="7" t="s">
        <v>681</v>
      </c>
      <c r="G60" s="21" t="s">
        <v>127</v>
      </c>
      <c r="H60" s="21" t="s">
        <v>463</v>
      </c>
      <c r="I60" s="20" t="s">
        <v>67</v>
      </c>
      <c r="J60" s="8"/>
      <c r="K60" s="33" t="str">
        <f>"252,5"</f>
        <v>252,5</v>
      </c>
      <c r="L60" s="8" t="str">
        <f>"141,9050"</f>
        <v>141,9050</v>
      </c>
      <c r="M60" s="7"/>
    </row>
    <row r="61" spans="1:13">
      <c r="A61" s="10" t="s">
        <v>252</v>
      </c>
      <c r="B61" s="9" t="s">
        <v>682</v>
      </c>
      <c r="C61" s="9" t="s">
        <v>683</v>
      </c>
      <c r="D61" s="9" t="s">
        <v>684</v>
      </c>
      <c r="E61" s="9" t="s">
        <v>1435</v>
      </c>
      <c r="F61" s="9" t="s">
        <v>225</v>
      </c>
      <c r="G61" s="22" t="s">
        <v>85</v>
      </c>
      <c r="H61" s="23" t="s">
        <v>79</v>
      </c>
      <c r="I61" s="22" t="s">
        <v>79</v>
      </c>
      <c r="J61" s="10"/>
      <c r="K61" s="35" t="str">
        <f>"210,0"</f>
        <v>210,0</v>
      </c>
      <c r="L61" s="10" t="str">
        <f>"117,5370"</f>
        <v>117,5370</v>
      </c>
      <c r="M61" s="9"/>
    </row>
    <row r="62" spans="1:13">
      <c r="B62" s="5" t="s">
        <v>250</v>
      </c>
    </row>
    <row r="65" spans="2:6" ht="18">
      <c r="B65" s="15" t="s">
        <v>227</v>
      </c>
      <c r="C65" s="15"/>
    </row>
    <row r="66" spans="2:6" ht="16">
      <c r="B66" s="16" t="s">
        <v>239</v>
      </c>
      <c r="C66" s="16"/>
    </row>
    <row r="67" spans="2:6" ht="14">
      <c r="B67" s="17"/>
      <c r="C67" s="18" t="s">
        <v>229</v>
      </c>
    </row>
    <row r="68" spans="2:6" ht="14">
      <c r="B68" s="19" t="s">
        <v>230</v>
      </c>
      <c r="C68" s="19" t="s">
        <v>231</v>
      </c>
      <c r="D68" s="19" t="s">
        <v>232</v>
      </c>
      <c r="E68" s="19" t="s">
        <v>685</v>
      </c>
      <c r="F68" s="19" t="s">
        <v>234</v>
      </c>
    </row>
    <row r="69" spans="2:6">
      <c r="B69" s="5" t="s">
        <v>678</v>
      </c>
      <c r="C69" s="5" t="s">
        <v>229</v>
      </c>
      <c r="D69" s="6" t="s">
        <v>515</v>
      </c>
      <c r="E69" s="6" t="s">
        <v>463</v>
      </c>
      <c r="F69" s="6" t="s">
        <v>686</v>
      </c>
    </row>
    <row r="70" spans="2:6">
      <c r="B70" s="5" t="s">
        <v>650</v>
      </c>
      <c r="C70" s="5" t="s">
        <v>229</v>
      </c>
      <c r="D70" s="6" t="s">
        <v>522</v>
      </c>
      <c r="E70" s="6" t="s">
        <v>66</v>
      </c>
      <c r="F70" s="6" t="s">
        <v>687</v>
      </c>
    </row>
    <row r="71" spans="2:6">
      <c r="B71" s="5" t="s">
        <v>609</v>
      </c>
      <c r="C71" s="5" t="s">
        <v>229</v>
      </c>
      <c r="D71" s="6" t="s">
        <v>513</v>
      </c>
      <c r="E71" s="6" t="s">
        <v>183</v>
      </c>
      <c r="F71" s="6" t="s">
        <v>688</v>
      </c>
    </row>
    <row r="73" spans="2:6" ht="14">
      <c r="B73" s="17"/>
      <c r="C73" s="18" t="s">
        <v>237</v>
      </c>
    </row>
    <row r="74" spans="2:6" ht="14">
      <c r="B74" s="19" t="s">
        <v>230</v>
      </c>
      <c r="C74" s="19" t="s">
        <v>231</v>
      </c>
      <c r="D74" s="19" t="s">
        <v>232</v>
      </c>
      <c r="E74" s="19" t="s">
        <v>685</v>
      </c>
      <c r="F74" s="19" t="s">
        <v>234</v>
      </c>
    </row>
    <row r="75" spans="2:6">
      <c r="B75" s="5" t="s">
        <v>653</v>
      </c>
      <c r="C75" s="5" t="s">
        <v>1328</v>
      </c>
      <c r="D75" s="6" t="s">
        <v>522</v>
      </c>
      <c r="E75" s="6" t="s">
        <v>111</v>
      </c>
      <c r="F75" s="6" t="s">
        <v>689</v>
      </c>
    </row>
    <row r="76" spans="2:6">
      <c r="B76" s="5" t="s">
        <v>668</v>
      </c>
      <c r="C76" s="5" t="s">
        <v>1288</v>
      </c>
      <c r="D76" s="6" t="s">
        <v>556</v>
      </c>
      <c r="E76" s="6" t="s">
        <v>125</v>
      </c>
      <c r="F76" s="6" t="s">
        <v>690</v>
      </c>
    </row>
    <row r="77" spans="2:6">
      <c r="B77" s="5" t="s">
        <v>672</v>
      </c>
      <c r="C77" s="5" t="s">
        <v>1287</v>
      </c>
      <c r="D77" s="6" t="s">
        <v>556</v>
      </c>
      <c r="E77" s="6" t="s">
        <v>119</v>
      </c>
      <c r="F77" s="6" t="s">
        <v>691</v>
      </c>
    </row>
    <row r="78" spans="2:6">
      <c r="B78" s="5" t="s">
        <v>250</v>
      </c>
    </row>
  </sheetData>
  <mergeCells count="21">
    <mergeCell ref="A42:J42"/>
    <mergeCell ref="A52:J52"/>
    <mergeCell ref="A59:J59"/>
    <mergeCell ref="B3:B4"/>
    <mergeCell ref="A8:J8"/>
    <mergeCell ref="A11:J11"/>
    <mergeCell ref="A14:J14"/>
    <mergeCell ref="A18:J18"/>
    <mergeCell ref="A22:J22"/>
    <mergeCell ref="A31:J31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832031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0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2.33203125" style="5" customWidth="1"/>
    <col min="14" max="16384" width="9.1640625" style="3"/>
  </cols>
  <sheetData>
    <row r="1" spans="1:13" s="2" customFormat="1" ht="29" customHeight="1">
      <c r="A1" s="57" t="s">
        <v>1384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1430</v>
      </c>
      <c r="B3" s="77" t="s">
        <v>0</v>
      </c>
      <c r="C3" s="67" t="s">
        <v>1432</v>
      </c>
      <c r="D3" s="67" t="s">
        <v>8</v>
      </c>
      <c r="E3" s="69" t="s">
        <v>1433</v>
      </c>
      <c r="F3" s="69" t="s">
        <v>5</v>
      </c>
      <c r="G3" s="69" t="s">
        <v>10</v>
      </c>
      <c r="H3" s="69"/>
      <c r="I3" s="69"/>
      <c r="J3" s="69"/>
      <c r="K3" s="69" t="s">
        <v>692</v>
      </c>
      <c r="L3" s="69" t="s">
        <v>3</v>
      </c>
      <c r="M3" s="73" t="s">
        <v>2</v>
      </c>
    </row>
    <row r="4" spans="1:13" s="1" customFormat="1" ht="21" customHeight="1" thickBot="1">
      <c r="A4" s="66"/>
      <c r="B4" s="78"/>
      <c r="C4" s="68"/>
      <c r="D4" s="68"/>
      <c r="E4" s="68"/>
      <c r="F4" s="68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74"/>
    </row>
    <row r="5" spans="1:13" ht="16">
      <c r="A5" s="75" t="s">
        <v>34</v>
      </c>
      <c r="B5" s="75"/>
      <c r="C5" s="76"/>
      <c r="D5" s="76"/>
      <c r="E5" s="76"/>
      <c r="F5" s="76"/>
      <c r="G5" s="76"/>
      <c r="H5" s="76"/>
      <c r="I5" s="76"/>
      <c r="J5" s="76"/>
    </row>
    <row r="6" spans="1:13">
      <c r="A6" s="8" t="s">
        <v>249</v>
      </c>
      <c r="B6" s="7" t="s">
        <v>832</v>
      </c>
      <c r="C6" s="7" t="s">
        <v>833</v>
      </c>
      <c r="D6" s="7" t="s">
        <v>834</v>
      </c>
      <c r="E6" s="7" t="s">
        <v>1435</v>
      </c>
      <c r="F6" s="7" t="s">
        <v>835</v>
      </c>
      <c r="G6" s="21" t="s">
        <v>104</v>
      </c>
      <c r="H6" s="20" t="s">
        <v>475</v>
      </c>
      <c r="I6" s="20" t="s">
        <v>119</v>
      </c>
      <c r="J6" s="8"/>
      <c r="K6" s="8" t="str">
        <f>"205,0"</f>
        <v>205,0</v>
      </c>
      <c r="L6" s="8" t="str">
        <f>"138,4570"</f>
        <v>138,4570</v>
      </c>
      <c r="M6" s="7" t="s">
        <v>1403</v>
      </c>
    </row>
    <row r="7" spans="1:13">
      <c r="A7" s="10" t="s">
        <v>249</v>
      </c>
      <c r="B7" s="9" t="s">
        <v>832</v>
      </c>
      <c r="C7" s="9" t="s">
        <v>1329</v>
      </c>
      <c r="D7" s="9" t="s">
        <v>834</v>
      </c>
      <c r="E7" s="9" t="s">
        <v>1438</v>
      </c>
      <c r="F7" s="9" t="s">
        <v>835</v>
      </c>
      <c r="G7" s="22" t="s">
        <v>104</v>
      </c>
      <c r="H7" s="23" t="s">
        <v>475</v>
      </c>
      <c r="I7" s="23" t="s">
        <v>119</v>
      </c>
      <c r="J7" s="10"/>
      <c r="K7" s="10" t="str">
        <f>"205,0"</f>
        <v>205,0</v>
      </c>
      <c r="L7" s="10" t="str">
        <f>"154,2411"</f>
        <v>154,2411</v>
      </c>
      <c r="M7" s="9" t="s">
        <v>1403</v>
      </c>
    </row>
    <row r="8" spans="1:13">
      <c r="B8" s="5" t="s">
        <v>250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M11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9.8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9.1640625" style="5" customWidth="1"/>
    <col min="14" max="16384" width="9.1640625" style="3"/>
  </cols>
  <sheetData>
    <row r="1" spans="1:13" s="2" customFormat="1" ht="29" customHeight="1">
      <c r="A1" s="57" t="s">
        <v>1385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1430</v>
      </c>
      <c r="B3" s="77" t="s">
        <v>0</v>
      </c>
      <c r="C3" s="67" t="s">
        <v>1432</v>
      </c>
      <c r="D3" s="67" t="s">
        <v>8</v>
      </c>
      <c r="E3" s="69" t="s">
        <v>1433</v>
      </c>
      <c r="F3" s="69" t="s">
        <v>5</v>
      </c>
      <c r="G3" s="69" t="s">
        <v>10</v>
      </c>
      <c r="H3" s="69"/>
      <c r="I3" s="69"/>
      <c r="J3" s="69"/>
      <c r="K3" s="69" t="s">
        <v>692</v>
      </c>
      <c r="L3" s="69" t="s">
        <v>3</v>
      </c>
      <c r="M3" s="73" t="s">
        <v>2</v>
      </c>
    </row>
    <row r="4" spans="1:13" s="1" customFormat="1" ht="21" customHeight="1" thickBot="1">
      <c r="A4" s="66"/>
      <c r="B4" s="78"/>
      <c r="C4" s="68"/>
      <c r="D4" s="68"/>
      <c r="E4" s="68"/>
      <c r="F4" s="68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74"/>
    </row>
    <row r="5" spans="1:13" ht="16">
      <c r="A5" s="75" t="s">
        <v>34</v>
      </c>
      <c r="B5" s="75"/>
      <c r="C5" s="76"/>
      <c r="D5" s="76"/>
      <c r="E5" s="76"/>
      <c r="F5" s="76"/>
      <c r="G5" s="76"/>
      <c r="H5" s="76"/>
      <c r="I5" s="76"/>
      <c r="J5" s="76"/>
    </row>
    <row r="6" spans="1:13">
      <c r="A6" s="12" t="s">
        <v>249</v>
      </c>
      <c r="B6" s="11" t="s">
        <v>825</v>
      </c>
      <c r="C6" s="11" t="s">
        <v>826</v>
      </c>
      <c r="D6" s="11" t="s">
        <v>827</v>
      </c>
      <c r="E6" s="11" t="s">
        <v>1435</v>
      </c>
      <c r="F6" s="11" t="s">
        <v>572</v>
      </c>
      <c r="G6" s="24" t="s">
        <v>85</v>
      </c>
      <c r="H6" s="24" t="s">
        <v>79</v>
      </c>
      <c r="I6" s="25" t="s">
        <v>119</v>
      </c>
      <c r="J6" s="12"/>
      <c r="K6" s="12" t="str">
        <f>"210,0"</f>
        <v>210,0</v>
      </c>
      <c r="L6" s="12" t="str">
        <f>"143,9340"</f>
        <v>143,9340</v>
      </c>
      <c r="M6" s="11" t="s">
        <v>828</v>
      </c>
    </row>
    <row r="7" spans="1:13">
      <c r="B7" s="5" t="s">
        <v>250</v>
      </c>
    </row>
    <row r="8" spans="1:13" ht="16">
      <c r="A8" s="70" t="s">
        <v>212</v>
      </c>
      <c r="B8" s="70"/>
      <c r="C8" s="70"/>
      <c r="D8" s="70"/>
      <c r="E8" s="70"/>
      <c r="F8" s="70"/>
      <c r="G8" s="70"/>
      <c r="H8" s="70"/>
      <c r="I8" s="70"/>
      <c r="J8" s="70"/>
    </row>
    <row r="9" spans="1:13">
      <c r="A9" s="8" t="s">
        <v>249</v>
      </c>
      <c r="B9" s="7" t="s">
        <v>829</v>
      </c>
      <c r="C9" s="7" t="s">
        <v>830</v>
      </c>
      <c r="D9" s="7" t="s">
        <v>831</v>
      </c>
      <c r="E9" s="7" t="s">
        <v>1435</v>
      </c>
      <c r="F9" s="7" t="s">
        <v>191</v>
      </c>
      <c r="G9" s="21" t="s">
        <v>161</v>
      </c>
      <c r="H9" s="21" t="s">
        <v>203</v>
      </c>
      <c r="I9" s="20" t="s">
        <v>120</v>
      </c>
      <c r="J9" s="8"/>
      <c r="K9" s="8" t="str">
        <f>"305,0"</f>
        <v>305,0</v>
      </c>
      <c r="L9" s="8" t="str">
        <f>"178,0285"</f>
        <v>178,0285</v>
      </c>
      <c r="M9" s="7"/>
    </row>
    <row r="10" spans="1:13">
      <c r="A10" s="10" t="s">
        <v>249</v>
      </c>
      <c r="B10" s="9" t="s">
        <v>829</v>
      </c>
      <c r="C10" s="9" t="s">
        <v>1330</v>
      </c>
      <c r="D10" s="9" t="s">
        <v>831</v>
      </c>
      <c r="E10" s="9" t="s">
        <v>1442</v>
      </c>
      <c r="F10" s="9" t="s">
        <v>191</v>
      </c>
      <c r="G10" s="22" t="s">
        <v>161</v>
      </c>
      <c r="H10" s="22" t="s">
        <v>203</v>
      </c>
      <c r="I10" s="23" t="s">
        <v>120</v>
      </c>
      <c r="J10" s="10"/>
      <c r="K10" s="10" t="str">
        <f>"305,0"</f>
        <v>305,0</v>
      </c>
      <c r="L10" s="10" t="str">
        <f>"207,9373"</f>
        <v>207,9373</v>
      </c>
      <c r="M10" s="9"/>
    </row>
    <row r="11" spans="1:13">
      <c r="B11" s="5" t="s">
        <v>250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M13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19.1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2.83203125" style="5" bestFit="1" customWidth="1"/>
    <col min="7" max="9" width="5.5" style="6" customWidth="1"/>
    <col min="10" max="10" width="4.83203125" style="6" customWidth="1"/>
    <col min="11" max="11" width="10.5" style="32" bestFit="1" customWidth="1"/>
    <col min="12" max="12" width="8.5" style="6" bestFit="1" customWidth="1"/>
    <col min="13" max="13" width="19.5" style="5" customWidth="1"/>
    <col min="14" max="16384" width="9.1640625" style="3"/>
  </cols>
  <sheetData>
    <row r="1" spans="1:13" s="2" customFormat="1" ht="29" customHeight="1">
      <c r="A1" s="57" t="s">
        <v>1386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1430</v>
      </c>
      <c r="B3" s="77" t="s">
        <v>0</v>
      </c>
      <c r="C3" s="67" t="s">
        <v>1432</v>
      </c>
      <c r="D3" s="67" t="s">
        <v>8</v>
      </c>
      <c r="E3" s="69" t="s">
        <v>1433</v>
      </c>
      <c r="F3" s="69" t="s">
        <v>5</v>
      </c>
      <c r="G3" s="69" t="s">
        <v>10</v>
      </c>
      <c r="H3" s="69"/>
      <c r="I3" s="69"/>
      <c r="J3" s="69"/>
      <c r="K3" s="71" t="s">
        <v>692</v>
      </c>
      <c r="L3" s="69" t="s">
        <v>3</v>
      </c>
      <c r="M3" s="73" t="s">
        <v>2</v>
      </c>
    </row>
    <row r="4" spans="1:13" s="1" customFormat="1" ht="21" customHeight="1" thickBot="1">
      <c r="A4" s="66"/>
      <c r="B4" s="78"/>
      <c r="C4" s="68"/>
      <c r="D4" s="68"/>
      <c r="E4" s="68"/>
      <c r="F4" s="68"/>
      <c r="G4" s="4">
        <v>1</v>
      </c>
      <c r="H4" s="4">
        <v>2</v>
      </c>
      <c r="I4" s="4">
        <v>3</v>
      </c>
      <c r="J4" s="4" t="s">
        <v>4</v>
      </c>
      <c r="K4" s="72"/>
      <c r="L4" s="68"/>
      <c r="M4" s="74"/>
    </row>
    <row r="5" spans="1:13" ht="16">
      <c r="A5" s="75" t="s">
        <v>34</v>
      </c>
      <c r="B5" s="75"/>
      <c r="C5" s="76"/>
      <c r="D5" s="76"/>
      <c r="E5" s="76"/>
      <c r="F5" s="76"/>
      <c r="G5" s="76"/>
      <c r="H5" s="76"/>
      <c r="I5" s="76"/>
      <c r="J5" s="76"/>
    </row>
    <row r="6" spans="1:13">
      <c r="A6" s="12" t="s">
        <v>249</v>
      </c>
      <c r="B6" s="11" t="s">
        <v>836</v>
      </c>
      <c r="C6" s="11" t="s">
        <v>837</v>
      </c>
      <c r="D6" s="11" t="s">
        <v>838</v>
      </c>
      <c r="E6" s="11" t="s">
        <v>1435</v>
      </c>
      <c r="F6" s="11" t="s">
        <v>623</v>
      </c>
      <c r="G6" s="24" t="s">
        <v>56</v>
      </c>
      <c r="H6" s="24" t="s">
        <v>104</v>
      </c>
      <c r="I6" s="25" t="s">
        <v>91</v>
      </c>
      <c r="J6" s="12"/>
      <c r="K6" s="36" t="str">
        <f>"205,0"</f>
        <v>205,0</v>
      </c>
      <c r="L6" s="12" t="str">
        <f>"188,7845"</f>
        <v>188,7845</v>
      </c>
      <c r="M6" s="11" t="s">
        <v>624</v>
      </c>
    </row>
    <row r="7" spans="1:13">
      <c r="B7" s="5" t="s">
        <v>250</v>
      </c>
    </row>
    <row r="8" spans="1:13" ht="16">
      <c r="A8" s="70" t="s">
        <v>151</v>
      </c>
      <c r="B8" s="70"/>
      <c r="C8" s="70"/>
      <c r="D8" s="70"/>
      <c r="E8" s="70"/>
      <c r="F8" s="70"/>
      <c r="G8" s="70"/>
      <c r="H8" s="70"/>
      <c r="I8" s="70"/>
      <c r="J8" s="70"/>
    </row>
    <row r="9" spans="1:13">
      <c r="A9" s="8" t="s">
        <v>249</v>
      </c>
      <c r="B9" s="7" t="s">
        <v>839</v>
      </c>
      <c r="C9" s="7" t="s">
        <v>840</v>
      </c>
      <c r="D9" s="7" t="s">
        <v>841</v>
      </c>
      <c r="E9" s="7" t="s">
        <v>1435</v>
      </c>
      <c r="F9" s="7" t="s">
        <v>623</v>
      </c>
      <c r="G9" s="21" t="s">
        <v>91</v>
      </c>
      <c r="H9" s="20" t="s">
        <v>92</v>
      </c>
      <c r="I9" s="21" t="s">
        <v>66</v>
      </c>
      <c r="J9" s="8"/>
      <c r="K9" s="33" t="str">
        <f>"240,0"</f>
        <v>240,0</v>
      </c>
      <c r="L9" s="8" t="str">
        <f>"146,6640"</f>
        <v>146,6640</v>
      </c>
      <c r="M9" s="7"/>
    </row>
    <row r="10" spans="1:13">
      <c r="A10" s="14" t="s">
        <v>251</v>
      </c>
      <c r="B10" s="13" t="s">
        <v>842</v>
      </c>
      <c r="C10" s="13" t="s">
        <v>843</v>
      </c>
      <c r="D10" s="13" t="s">
        <v>844</v>
      </c>
      <c r="E10" s="13" t="s">
        <v>1435</v>
      </c>
      <c r="F10" s="13" t="s">
        <v>154</v>
      </c>
      <c r="G10" s="27" t="s">
        <v>845</v>
      </c>
      <c r="H10" s="27" t="s">
        <v>845</v>
      </c>
      <c r="I10" s="27" t="s">
        <v>845</v>
      </c>
      <c r="J10" s="14"/>
      <c r="K10" s="34">
        <v>0</v>
      </c>
      <c r="L10" s="14" t="str">
        <f>"0,0000"</f>
        <v>0,0000</v>
      </c>
      <c r="M10" s="13" t="s">
        <v>550</v>
      </c>
    </row>
    <row r="11" spans="1:13">
      <c r="A11" s="14" t="s">
        <v>249</v>
      </c>
      <c r="B11" s="13" t="s">
        <v>839</v>
      </c>
      <c r="C11" s="13" t="s">
        <v>1331</v>
      </c>
      <c r="D11" s="13" t="s">
        <v>841</v>
      </c>
      <c r="E11" s="13" t="s">
        <v>1441</v>
      </c>
      <c r="F11" s="13" t="s">
        <v>623</v>
      </c>
      <c r="G11" s="26" t="s">
        <v>91</v>
      </c>
      <c r="H11" s="27" t="s">
        <v>92</v>
      </c>
      <c r="I11" s="26" t="s">
        <v>66</v>
      </c>
      <c r="J11" s="14"/>
      <c r="K11" s="34" t="str">
        <f>"240,0"</f>
        <v>240,0</v>
      </c>
      <c r="L11" s="14" t="str">
        <f>"197,9964"</f>
        <v>197,9964</v>
      </c>
      <c r="M11" s="13"/>
    </row>
    <row r="12" spans="1:13">
      <c r="A12" s="10" t="s">
        <v>252</v>
      </c>
      <c r="B12" s="9" t="s">
        <v>846</v>
      </c>
      <c r="C12" s="9" t="s">
        <v>1332</v>
      </c>
      <c r="D12" s="9" t="s">
        <v>169</v>
      </c>
      <c r="E12" s="9" t="s">
        <v>1441</v>
      </c>
      <c r="F12" s="9" t="s">
        <v>61</v>
      </c>
      <c r="G12" s="22" t="s">
        <v>51</v>
      </c>
      <c r="H12" s="22" t="s">
        <v>52</v>
      </c>
      <c r="I12" s="22" t="s">
        <v>40</v>
      </c>
      <c r="J12" s="10"/>
      <c r="K12" s="35" t="str">
        <f>"175,0"</f>
        <v>175,0</v>
      </c>
      <c r="L12" s="10" t="str">
        <f>"144,6559"</f>
        <v>144,6559</v>
      </c>
      <c r="M12" s="9"/>
    </row>
    <row r="13" spans="1:13">
      <c r="B13" s="5" t="s">
        <v>250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29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6.6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2.6640625" style="5" customWidth="1"/>
    <col min="14" max="16384" width="9.1640625" style="3"/>
  </cols>
  <sheetData>
    <row r="1" spans="1:13" s="2" customFormat="1" ht="29" customHeight="1">
      <c r="A1" s="57" t="s">
        <v>1413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1430</v>
      </c>
      <c r="B3" s="77" t="s">
        <v>0</v>
      </c>
      <c r="C3" s="67" t="s">
        <v>1432</v>
      </c>
      <c r="D3" s="67" t="s">
        <v>8</v>
      </c>
      <c r="E3" s="69" t="s">
        <v>1433</v>
      </c>
      <c r="F3" s="69" t="s">
        <v>5</v>
      </c>
      <c r="G3" s="69" t="s">
        <v>10</v>
      </c>
      <c r="H3" s="69"/>
      <c r="I3" s="69"/>
      <c r="J3" s="69"/>
      <c r="K3" s="69" t="s">
        <v>692</v>
      </c>
      <c r="L3" s="69" t="s">
        <v>3</v>
      </c>
      <c r="M3" s="73" t="s">
        <v>2</v>
      </c>
    </row>
    <row r="4" spans="1:13" s="1" customFormat="1" ht="21" customHeight="1" thickBot="1">
      <c r="A4" s="66"/>
      <c r="B4" s="78"/>
      <c r="C4" s="68"/>
      <c r="D4" s="68"/>
      <c r="E4" s="68"/>
      <c r="F4" s="68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74"/>
    </row>
    <row r="5" spans="1:13" ht="16">
      <c r="A5" s="75" t="s">
        <v>259</v>
      </c>
      <c r="B5" s="75"/>
      <c r="C5" s="76"/>
      <c r="D5" s="76"/>
      <c r="E5" s="76"/>
      <c r="F5" s="76"/>
      <c r="G5" s="76"/>
      <c r="H5" s="76"/>
      <c r="I5" s="76"/>
      <c r="J5" s="76"/>
    </row>
    <row r="6" spans="1:13">
      <c r="A6" s="12" t="s">
        <v>249</v>
      </c>
      <c r="B6" s="11" t="s">
        <v>1017</v>
      </c>
      <c r="C6" s="11" t="s">
        <v>1018</v>
      </c>
      <c r="D6" s="11" t="s">
        <v>1019</v>
      </c>
      <c r="E6" s="11" t="s">
        <v>1435</v>
      </c>
      <c r="F6" s="11" t="s">
        <v>1262</v>
      </c>
      <c r="G6" s="24" t="s">
        <v>273</v>
      </c>
      <c r="H6" s="24" t="s">
        <v>319</v>
      </c>
      <c r="I6" s="12"/>
      <c r="J6" s="12"/>
      <c r="K6" s="12" t="str">
        <f>"97,5"</f>
        <v>97,5</v>
      </c>
      <c r="L6" s="12" t="str">
        <f>"116,4345"</f>
        <v>116,4345</v>
      </c>
      <c r="M6" s="28" t="s">
        <v>1261</v>
      </c>
    </row>
    <row r="7" spans="1:13">
      <c r="B7" s="5" t="s">
        <v>250</v>
      </c>
    </row>
    <row r="8" spans="1:13" ht="16">
      <c r="A8" s="70" t="s">
        <v>57</v>
      </c>
      <c r="B8" s="70"/>
      <c r="C8" s="70"/>
      <c r="D8" s="70"/>
      <c r="E8" s="70"/>
      <c r="F8" s="70"/>
      <c r="G8" s="70"/>
      <c r="H8" s="70"/>
      <c r="I8" s="70"/>
      <c r="J8" s="70"/>
    </row>
    <row r="9" spans="1:13">
      <c r="A9" s="12" t="s">
        <v>249</v>
      </c>
      <c r="B9" s="11" t="s">
        <v>1020</v>
      </c>
      <c r="C9" s="11" t="s">
        <v>1021</v>
      </c>
      <c r="D9" s="11" t="s">
        <v>1022</v>
      </c>
      <c r="E9" s="11" t="s">
        <v>1435</v>
      </c>
      <c r="F9" s="11" t="s">
        <v>1023</v>
      </c>
      <c r="G9" s="25" t="s">
        <v>421</v>
      </c>
      <c r="H9" s="24" t="s">
        <v>1073</v>
      </c>
      <c r="I9" s="25" t="s">
        <v>19</v>
      </c>
      <c r="J9" s="12"/>
      <c r="K9" s="12" t="str">
        <f>"108,0"</f>
        <v>108,0</v>
      </c>
      <c r="L9" s="12" t="str">
        <f>"107,2386"</f>
        <v>107,2386</v>
      </c>
      <c r="M9" s="11" t="s">
        <v>1024</v>
      </c>
    </row>
    <row r="10" spans="1:13">
      <c r="B10" s="5" t="s">
        <v>250</v>
      </c>
    </row>
    <row r="11" spans="1:13" ht="16">
      <c r="A11" s="70" t="s">
        <v>12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3">
      <c r="A12" s="8" t="s">
        <v>249</v>
      </c>
      <c r="B12" s="7" t="s">
        <v>1074</v>
      </c>
      <c r="C12" s="7" t="s">
        <v>1075</v>
      </c>
      <c r="D12" s="7" t="s">
        <v>1076</v>
      </c>
      <c r="E12" s="7" t="s">
        <v>1435</v>
      </c>
      <c r="F12" s="7" t="s">
        <v>16</v>
      </c>
      <c r="G12" s="21" t="s">
        <v>22</v>
      </c>
      <c r="H12" s="21" t="s">
        <v>32</v>
      </c>
      <c r="I12" s="20" t="s">
        <v>103</v>
      </c>
      <c r="J12" s="8"/>
      <c r="K12" s="8" t="str">
        <f>"135,0"</f>
        <v>135,0</v>
      </c>
      <c r="L12" s="8" t="str">
        <f>"124,0448"</f>
        <v>124,0448</v>
      </c>
      <c r="M12" s="7" t="s">
        <v>326</v>
      </c>
    </row>
    <row r="13" spans="1:13">
      <c r="A13" s="14" t="s">
        <v>249</v>
      </c>
      <c r="B13" s="13" t="s">
        <v>323</v>
      </c>
      <c r="C13" s="13" t="s">
        <v>1333</v>
      </c>
      <c r="D13" s="13" t="s">
        <v>325</v>
      </c>
      <c r="E13" s="13" t="s">
        <v>1434</v>
      </c>
      <c r="F13" s="13" t="s">
        <v>1262</v>
      </c>
      <c r="G13" s="26" t="s">
        <v>22</v>
      </c>
      <c r="H13" s="26" t="s">
        <v>65</v>
      </c>
      <c r="I13" s="27" t="s">
        <v>32</v>
      </c>
      <c r="J13" s="14"/>
      <c r="K13" s="14" t="str">
        <f>"130,0"</f>
        <v>130,0</v>
      </c>
      <c r="L13" s="14" t="str">
        <f>"124,1989"</f>
        <v>124,1989</v>
      </c>
      <c r="M13" s="13" t="s">
        <v>326</v>
      </c>
    </row>
    <row r="14" spans="1:13">
      <c r="A14" s="10" t="s">
        <v>249</v>
      </c>
      <c r="B14" s="9" t="s">
        <v>1074</v>
      </c>
      <c r="C14" s="9" t="s">
        <v>1334</v>
      </c>
      <c r="D14" s="9" t="s">
        <v>1076</v>
      </c>
      <c r="E14" s="9" t="s">
        <v>1438</v>
      </c>
      <c r="F14" s="9" t="s">
        <v>16</v>
      </c>
      <c r="G14" s="22" t="s">
        <v>22</v>
      </c>
      <c r="H14" s="22" t="s">
        <v>32</v>
      </c>
      <c r="I14" s="23" t="s">
        <v>103</v>
      </c>
      <c r="J14" s="10"/>
      <c r="K14" s="10" t="str">
        <f>"135,0"</f>
        <v>135,0</v>
      </c>
      <c r="L14" s="10" t="str">
        <f>"151,9548"</f>
        <v>151,9548</v>
      </c>
      <c r="M14" s="9" t="s">
        <v>326</v>
      </c>
    </row>
    <row r="15" spans="1:13">
      <c r="B15" s="5" t="s">
        <v>250</v>
      </c>
    </row>
    <row r="16" spans="1:13" ht="16">
      <c r="A16" s="70" t="s">
        <v>68</v>
      </c>
      <c r="B16" s="70"/>
      <c r="C16" s="70"/>
      <c r="D16" s="70"/>
      <c r="E16" s="70"/>
      <c r="F16" s="70"/>
      <c r="G16" s="70"/>
      <c r="H16" s="70"/>
      <c r="I16" s="70"/>
      <c r="J16" s="70"/>
    </row>
    <row r="17" spans="1:13">
      <c r="A17" s="12" t="s">
        <v>249</v>
      </c>
      <c r="B17" s="11" t="s">
        <v>1077</v>
      </c>
      <c r="C17" s="11" t="s">
        <v>1335</v>
      </c>
      <c r="D17" s="11" t="s">
        <v>1078</v>
      </c>
      <c r="E17" s="11" t="s">
        <v>1434</v>
      </c>
      <c r="F17" s="11" t="s">
        <v>16</v>
      </c>
      <c r="G17" s="24" t="s">
        <v>23</v>
      </c>
      <c r="H17" s="25" t="s">
        <v>29</v>
      </c>
      <c r="I17" s="25" t="s">
        <v>29</v>
      </c>
      <c r="J17" s="12"/>
      <c r="K17" s="12" t="str">
        <f>"125,0"</f>
        <v>125,0</v>
      </c>
      <c r="L17" s="12" t="str">
        <f>"115,7445"</f>
        <v>115,7445</v>
      </c>
      <c r="M17" s="28" t="s">
        <v>1257</v>
      </c>
    </row>
    <row r="18" spans="1:13">
      <c r="B18" s="5" t="s">
        <v>250</v>
      </c>
    </row>
    <row r="19" spans="1:13" ht="16">
      <c r="A19" s="70" t="s">
        <v>68</v>
      </c>
      <c r="B19" s="70"/>
      <c r="C19" s="70"/>
      <c r="D19" s="70"/>
      <c r="E19" s="70"/>
      <c r="F19" s="70"/>
      <c r="G19" s="70"/>
      <c r="H19" s="70"/>
      <c r="I19" s="70"/>
      <c r="J19" s="70"/>
    </row>
    <row r="20" spans="1:13">
      <c r="A20" s="8" t="s">
        <v>249</v>
      </c>
      <c r="B20" s="7" t="s">
        <v>1079</v>
      </c>
      <c r="C20" s="7" t="s">
        <v>1080</v>
      </c>
      <c r="D20" s="7" t="s">
        <v>82</v>
      </c>
      <c r="E20" s="7" t="s">
        <v>1435</v>
      </c>
      <c r="F20" s="7" t="s">
        <v>494</v>
      </c>
      <c r="G20" s="21" t="s">
        <v>56</v>
      </c>
      <c r="H20" s="20" t="s">
        <v>104</v>
      </c>
      <c r="I20" s="20" t="s">
        <v>410</v>
      </c>
      <c r="J20" s="8"/>
      <c r="K20" s="8" t="str">
        <f>"190,0"</f>
        <v>190,0</v>
      </c>
      <c r="L20" s="8" t="str">
        <f>"132,4015"</f>
        <v>132,4015</v>
      </c>
      <c r="M20" s="7" t="s">
        <v>1081</v>
      </c>
    </row>
    <row r="21" spans="1:13">
      <c r="A21" s="10" t="s">
        <v>249</v>
      </c>
      <c r="B21" s="9" t="s">
        <v>1079</v>
      </c>
      <c r="C21" s="9" t="s">
        <v>1336</v>
      </c>
      <c r="D21" s="9" t="s">
        <v>82</v>
      </c>
      <c r="E21" s="9" t="s">
        <v>1434</v>
      </c>
      <c r="F21" s="9" t="s">
        <v>494</v>
      </c>
      <c r="G21" s="22" t="s">
        <v>56</v>
      </c>
      <c r="H21" s="23" t="s">
        <v>104</v>
      </c>
      <c r="I21" s="23" t="s">
        <v>410</v>
      </c>
      <c r="J21" s="10"/>
      <c r="K21" s="10" t="str">
        <f>"190,0"</f>
        <v>190,0</v>
      </c>
      <c r="L21" s="10" t="str">
        <f>"132,4015"</f>
        <v>132,4015</v>
      </c>
      <c r="M21" s="9" t="s">
        <v>1081</v>
      </c>
    </row>
    <row r="22" spans="1:13">
      <c r="B22" s="5" t="s">
        <v>250</v>
      </c>
    </row>
    <row r="23" spans="1:13" ht="16">
      <c r="A23" s="70" t="s">
        <v>105</v>
      </c>
      <c r="B23" s="70"/>
      <c r="C23" s="70"/>
      <c r="D23" s="70"/>
      <c r="E23" s="70"/>
      <c r="F23" s="70"/>
      <c r="G23" s="70"/>
      <c r="H23" s="70"/>
      <c r="I23" s="70"/>
      <c r="J23" s="70"/>
    </row>
    <row r="24" spans="1:13">
      <c r="A24" s="8" t="s">
        <v>249</v>
      </c>
      <c r="B24" s="7" t="s">
        <v>1082</v>
      </c>
      <c r="C24" s="7" t="s">
        <v>1083</v>
      </c>
      <c r="D24" s="7" t="s">
        <v>764</v>
      </c>
      <c r="E24" s="7" t="s">
        <v>1435</v>
      </c>
      <c r="F24" s="7" t="s">
        <v>387</v>
      </c>
      <c r="G24" s="21" t="s">
        <v>91</v>
      </c>
      <c r="H24" s="21" t="s">
        <v>92</v>
      </c>
      <c r="I24" s="20" t="s">
        <v>1084</v>
      </c>
      <c r="J24" s="8"/>
      <c r="K24" s="8" t="str">
        <f>"235,0"</f>
        <v>235,0</v>
      </c>
      <c r="L24" s="8" t="str">
        <f>"145,5237"</f>
        <v>145,5237</v>
      </c>
      <c r="M24" s="7"/>
    </row>
    <row r="25" spans="1:13">
      <c r="A25" s="10" t="s">
        <v>252</v>
      </c>
      <c r="B25" s="9" t="s">
        <v>1085</v>
      </c>
      <c r="C25" s="9" t="s">
        <v>1086</v>
      </c>
      <c r="D25" s="9" t="s">
        <v>1087</v>
      </c>
      <c r="E25" s="9" t="s">
        <v>1435</v>
      </c>
      <c r="F25" s="9" t="s">
        <v>1088</v>
      </c>
      <c r="G25" s="22" t="s">
        <v>33</v>
      </c>
      <c r="H25" s="22" t="s">
        <v>77</v>
      </c>
      <c r="I25" s="23" t="s">
        <v>38</v>
      </c>
      <c r="J25" s="10"/>
      <c r="K25" s="10" t="str">
        <f>"155,0"</f>
        <v>155,0</v>
      </c>
      <c r="L25" s="10" t="str">
        <f>"95,2552"</f>
        <v>95,2552</v>
      </c>
      <c r="M25" s="9"/>
    </row>
    <row r="26" spans="1:13">
      <c r="B26" s="5" t="s">
        <v>250</v>
      </c>
    </row>
    <row r="27" spans="1:13" ht="16">
      <c r="A27" s="70" t="s">
        <v>192</v>
      </c>
      <c r="B27" s="70"/>
      <c r="C27" s="70"/>
      <c r="D27" s="70"/>
      <c r="E27" s="70"/>
      <c r="F27" s="70"/>
      <c r="G27" s="70"/>
      <c r="H27" s="70"/>
      <c r="I27" s="70"/>
      <c r="J27" s="70"/>
    </row>
    <row r="28" spans="1:13">
      <c r="A28" s="12" t="s">
        <v>249</v>
      </c>
      <c r="B28" s="11" t="s">
        <v>487</v>
      </c>
      <c r="C28" s="11" t="s">
        <v>488</v>
      </c>
      <c r="D28" s="11" t="s">
        <v>489</v>
      </c>
      <c r="E28" s="11" t="s">
        <v>1435</v>
      </c>
      <c r="F28" s="11" t="s">
        <v>1262</v>
      </c>
      <c r="G28" s="24" t="s">
        <v>51</v>
      </c>
      <c r="H28" s="25" t="s">
        <v>52</v>
      </c>
      <c r="I28" s="24" t="s">
        <v>52</v>
      </c>
      <c r="J28" s="12"/>
      <c r="K28" s="12" t="str">
        <f>"170,0"</f>
        <v>170,0</v>
      </c>
      <c r="L28" s="12" t="str">
        <f>"98,2260"</f>
        <v>98,2260</v>
      </c>
      <c r="M28" s="11" t="s">
        <v>359</v>
      </c>
    </row>
    <row r="29" spans="1:13">
      <c r="B29" s="5" t="s">
        <v>250</v>
      </c>
    </row>
  </sheetData>
  <mergeCells count="18">
    <mergeCell ref="A27:J27"/>
    <mergeCell ref="K3:K4"/>
    <mergeCell ref="L3:L4"/>
    <mergeCell ref="M3:M4"/>
    <mergeCell ref="A5:J5"/>
    <mergeCell ref="B3:B4"/>
    <mergeCell ref="A8:J8"/>
    <mergeCell ref="A11:J11"/>
    <mergeCell ref="A16:J16"/>
    <mergeCell ref="A19:J19"/>
    <mergeCell ref="A23:J23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54"/>
  <sheetViews>
    <sheetView topLeftCell="A9" workbookViewId="0">
      <selection activeCell="E45" sqref="E45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7.33203125" style="5" bestFit="1" customWidth="1"/>
    <col min="7" max="10" width="5.5" style="6" customWidth="1"/>
    <col min="11" max="11" width="10.5" style="32" bestFit="1" customWidth="1"/>
    <col min="12" max="12" width="8.5" style="6" bestFit="1" customWidth="1"/>
    <col min="13" max="13" width="20.33203125" style="5" customWidth="1"/>
    <col min="14" max="16384" width="9.1640625" style="3"/>
  </cols>
  <sheetData>
    <row r="1" spans="1:13" s="2" customFormat="1" ht="29" customHeight="1">
      <c r="A1" s="57" t="s">
        <v>1414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1430</v>
      </c>
      <c r="B3" s="77" t="s">
        <v>0</v>
      </c>
      <c r="C3" s="67" t="s">
        <v>1432</v>
      </c>
      <c r="D3" s="67" t="s">
        <v>8</v>
      </c>
      <c r="E3" s="69" t="s">
        <v>1433</v>
      </c>
      <c r="F3" s="69" t="s">
        <v>5</v>
      </c>
      <c r="G3" s="69" t="s">
        <v>10</v>
      </c>
      <c r="H3" s="69"/>
      <c r="I3" s="69"/>
      <c r="J3" s="69"/>
      <c r="K3" s="71" t="s">
        <v>692</v>
      </c>
      <c r="L3" s="69" t="s">
        <v>3</v>
      </c>
      <c r="M3" s="73" t="s">
        <v>2</v>
      </c>
    </row>
    <row r="4" spans="1:13" s="1" customFormat="1" ht="21" customHeight="1" thickBot="1">
      <c r="A4" s="66"/>
      <c r="B4" s="78"/>
      <c r="C4" s="68"/>
      <c r="D4" s="68"/>
      <c r="E4" s="68"/>
      <c r="F4" s="68"/>
      <c r="G4" s="4">
        <v>1</v>
      </c>
      <c r="H4" s="4">
        <v>2</v>
      </c>
      <c r="I4" s="4">
        <v>3</v>
      </c>
      <c r="J4" s="4" t="s">
        <v>4</v>
      </c>
      <c r="K4" s="72"/>
      <c r="L4" s="68"/>
      <c r="M4" s="74"/>
    </row>
    <row r="5" spans="1:13" ht="16">
      <c r="A5" s="75" t="s">
        <v>259</v>
      </c>
      <c r="B5" s="75"/>
      <c r="C5" s="76"/>
      <c r="D5" s="76"/>
      <c r="E5" s="76"/>
      <c r="F5" s="76"/>
      <c r="G5" s="76"/>
      <c r="H5" s="76"/>
      <c r="I5" s="76"/>
      <c r="J5" s="76"/>
    </row>
    <row r="6" spans="1:13">
      <c r="A6" s="12" t="s">
        <v>249</v>
      </c>
      <c r="B6" s="11" t="s">
        <v>1017</v>
      </c>
      <c r="C6" s="11" t="s">
        <v>1018</v>
      </c>
      <c r="D6" s="11" t="s">
        <v>1019</v>
      </c>
      <c r="E6" s="11" t="s">
        <v>1435</v>
      </c>
      <c r="F6" s="11" t="s">
        <v>1262</v>
      </c>
      <c r="G6" s="24" t="s">
        <v>273</v>
      </c>
      <c r="H6" s="24" t="s">
        <v>319</v>
      </c>
      <c r="I6" s="12"/>
      <c r="J6" s="12"/>
      <c r="K6" s="36" t="str">
        <f>"97,5"</f>
        <v>97,5</v>
      </c>
      <c r="L6" s="12" t="str">
        <f>"116,4345"</f>
        <v>116,4345</v>
      </c>
      <c r="M6" s="11" t="s">
        <v>1261</v>
      </c>
    </row>
    <row r="7" spans="1:13">
      <c r="B7" s="5" t="s">
        <v>250</v>
      </c>
    </row>
    <row r="8" spans="1:13" ht="16">
      <c r="A8" s="70" t="s">
        <v>57</v>
      </c>
      <c r="B8" s="70"/>
      <c r="C8" s="70"/>
      <c r="D8" s="70"/>
      <c r="E8" s="70"/>
      <c r="F8" s="70"/>
      <c r="G8" s="70"/>
      <c r="H8" s="70"/>
      <c r="I8" s="70"/>
      <c r="J8" s="70"/>
    </row>
    <row r="9" spans="1:13">
      <c r="A9" s="12" t="s">
        <v>249</v>
      </c>
      <c r="B9" s="11" t="s">
        <v>1020</v>
      </c>
      <c r="C9" s="11" t="s">
        <v>1021</v>
      </c>
      <c r="D9" s="11" t="s">
        <v>1022</v>
      </c>
      <c r="E9" s="11" t="s">
        <v>1435</v>
      </c>
      <c r="F9" s="11" t="s">
        <v>1023</v>
      </c>
      <c r="G9" s="24" t="s">
        <v>18</v>
      </c>
      <c r="H9" s="24" t="s">
        <v>19</v>
      </c>
      <c r="I9" s="12"/>
      <c r="J9" s="12"/>
      <c r="K9" s="36" t="str">
        <f>"110,0"</f>
        <v>110,0</v>
      </c>
      <c r="L9" s="12" t="str">
        <f>"109,2245"</f>
        <v>109,2245</v>
      </c>
      <c r="M9" s="11" t="s">
        <v>1024</v>
      </c>
    </row>
    <row r="10" spans="1:13">
      <c r="B10" s="5" t="s">
        <v>250</v>
      </c>
    </row>
    <row r="11" spans="1:13" ht="16">
      <c r="A11" s="70" t="s">
        <v>12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3">
      <c r="A12" s="8" t="s">
        <v>249</v>
      </c>
      <c r="B12" s="7" t="s">
        <v>1025</v>
      </c>
      <c r="C12" s="7" t="s">
        <v>1026</v>
      </c>
      <c r="D12" s="7" t="s">
        <v>15</v>
      </c>
      <c r="E12" s="7" t="s">
        <v>1435</v>
      </c>
      <c r="F12" s="7" t="s">
        <v>1027</v>
      </c>
      <c r="G12" s="21" t="s">
        <v>38</v>
      </c>
      <c r="H12" s="21" t="s">
        <v>40</v>
      </c>
      <c r="I12" s="21" t="s">
        <v>43</v>
      </c>
      <c r="J12" s="21" t="s">
        <v>73</v>
      </c>
      <c r="K12" s="33" t="str">
        <f>"185,0"</f>
        <v>185,0</v>
      </c>
      <c r="L12" s="8" t="str">
        <f>"170,4035"</f>
        <v>170,4035</v>
      </c>
      <c r="M12" s="7" t="s">
        <v>1028</v>
      </c>
    </row>
    <row r="13" spans="1:13">
      <c r="A13" s="14" t="s">
        <v>249</v>
      </c>
      <c r="B13" s="13" t="s">
        <v>1025</v>
      </c>
      <c r="C13" s="13" t="s">
        <v>1337</v>
      </c>
      <c r="D13" s="13" t="s">
        <v>15</v>
      </c>
      <c r="E13" s="13" t="s">
        <v>1434</v>
      </c>
      <c r="F13" s="13" t="s">
        <v>1027</v>
      </c>
      <c r="G13" s="26" t="s">
        <v>38</v>
      </c>
      <c r="H13" s="26" t="s">
        <v>40</v>
      </c>
      <c r="I13" s="26" t="s">
        <v>43</v>
      </c>
      <c r="J13" s="26" t="s">
        <v>73</v>
      </c>
      <c r="K13" s="34" t="str">
        <f>"185,0"</f>
        <v>185,0</v>
      </c>
      <c r="L13" s="14" t="str">
        <f>"189,6591"</f>
        <v>189,6591</v>
      </c>
      <c r="M13" s="13" t="s">
        <v>1028</v>
      </c>
    </row>
    <row r="14" spans="1:13">
      <c r="A14" s="10" t="s">
        <v>249</v>
      </c>
      <c r="B14" s="9" t="s">
        <v>1029</v>
      </c>
      <c r="C14" s="9" t="s">
        <v>1338</v>
      </c>
      <c r="D14" s="9" t="s">
        <v>335</v>
      </c>
      <c r="E14" s="9" t="s">
        <v>1438</v>
      </c>
      <c r="F14" s="9" t="s">
        <v>1030</v>
      </c>
      <c r="G14" s="22" t="s">
        <v>343</v>
      </c>
      <c r="H14" s="23" t="s">
        <v>267</v>
      </c>
      <c r="I14" s="23" t="s">
        <v>267</v>
      </c>
      <c r="J14" s="10"/>
      <c r="K14" s="35" t="str">
        <f>"142,5"</f>
        <v>142,5</v>
      </c>
      <c r="L14" s="10" t="str">
        <f>"165,5616"</f>
        <v>165,5616</v>
      </c>
      <c r="M14" s="9" t="s">
        <v>1031</v>
      </c>
    </row>
    <row r="15" spans="1:13">
      <c r="B15" s="5" t="s">
        <v>250</v>
      </c>
    </row>
    <row r="16" spans="1:13" ht="16">
      <c r="A16" s="70" t="s">
        <v>68</v>
      </c>
      <c r="B16" s="70"/>
      <c r="C16" s="70"/>
      <c r="D16" s="70"/>
      <c r="E16" s="70"/>
      <c r="F16" s="70"/>
      <c r="G16" s="70"/>
      <c r="H16" s="70"/>
      <c r="I16" s="70"/>
      <c r="J16" s="70"/>
    </row>
    <row r="17" spans="1:13">
      <c r="A17" s="8" t="s">
        <v>251</v>
      </c>
      <c r="B17" s="7" t="s">
        <v>1032</v>
      </c>
      <c r="C17" s="7" t="s">
        <v>1033</v>
      </c>
      <c r="D17" s="7" t="s">
        <v>1034</v>
      </c>
      <c r="E17" s="7" t="s">
        <v>1435</v>
      </c>
      <c r="F17" s="7" t="s">
        <v>1035</v>
      </c>
      <c r="G17" s="20" t="s">
        <v>79</v>
      </c>
      <c r="H17" s="20" t="s">
        <v>79</v>
      </c>
      <c r="I17" s="20" t="s">
        <v>475</v>
      </c>
      <c r="J17" s="8"/>
      <c r="K17" s="33">
        <v>0</v>
      </c>
      <c r="L17" s="8" t="str">
        <f>"0,0000"</f>
        <v>0,0000</v>
      </c>
      <c r="M17" s="7"/>
    </row>
    <row r="18" spans="1:13">
      <c r="A18" s="10" t="s">
        <v>251</v>
      </c>
      <c r="B18" s="9" t="s">
        <v>1032</v>
      </c>
      <c r="C18" s="9" t="s">
        <v>1339</v>
      </c>
      <c r="D18" s="9" t="s">
        <v>1034</v>
      </c>
      <c r="E18" s="9" t="s">
        <v>1434</v>
      </c>
      <c r="F18" s="9" t="s">
        <v>1035</v>
      </c>
      <c r="G18" s="23" t="s">
        <v>79</v>
      </c>
      <c r="H18" s="23" t="s">
        <v>79</v>
      </c>
      <c r="I18" s="23" t="s">
        <v>475</v>
      </c>
      <c r="J18" s="10"/>
      <c r="K18" s="35">
        <v>0</v>
      </c>
      <c r="L18" s="10" t="str">
        <f>"0,0000"</f>
        <v>0,0000</v>
      </c>
      <c r="M18" s="9"/>
    </row>
    <row r="19" spans="1:13">
      <c r="B19" s="5" t="s">
        <v>250</v>
      </c>
    </row>
    <row r="20" spans="1:13" ht="16">
      <c r="A20" s="70" t="s">
        <v>34</v>
      </c>
      <c r="B20" s="70"/>
      <c r="C20" s="70"/>
      <c r="D20" s="70"/>
      <c r="E20" s="70"/>
      <c r="F20" s="70"/>
      <c r="G20" s="70"/>
      <c r="H20" s="70"/>
      <c r="I20" s="70"/>
      <c r="J20" s="70"/>
    </row>
    <row r="21" spans="1:13">
      <c r="A21" s="12" t="s">
        <v>249</v>
      </c>
      <c r="B21" s="11" t="s">
        <v>1036</v>
      </c>
      <c r="C21" s="11" t="s">
        <v>1340</v>
      </c>
      <c r="D21" s="11" t="s">
        <v>361</v>
      </c>
      <c r="E21" s="11" t="s">
        <v>1434</v>
      </c>
      <c r="F21" s="11" t="s">
        <v>1035</v>
      </c>
      <c r="G21" s="25" t="s">
        <v>66</v>
      </c>
      <c r="H21" s="24" t="s">
        <v>66</v>
      </c>
      <c r="I21" s="25" t="s">
        <v>98</v>
      </c>
      <c r="J21" s="12"/>
      <c r="K21" s="36" t="str">
        <f>"240,0"</f>
        <v>240,0</v>
      </c>
      <c r="L21" s="12" t="str">
        <f>"167,2104"</f>
        <v>167,2104</v>
      </c>
      <c r="M21" s="11"/>
    </row>
    <row r="22" spans="1:13">
      <c r="B22" s="5" t="s">
        <v>250</v>
      </c>
    </row>
    <row r="23" spans="1:13" ht="16">
      <c r="A23" s="70" t="s">
        <v>105</v>
      </c>
      <c r="B23" s="70"/>
      <c r="C23" s="70"/>
      <c r="D23" s="70"/>
      <c r="E23" s="70"/>
      <c r="F23" s="70"/>
      <c r="G23" s="70"/>
      <c r="H23" s="70"/>
      <c r="I23" s="70"/>
      <c r="J23" s="70"/>
    </row>
    <row r="24" spans="1:13">
      <c r="A24" s="8" t="s">
        <v>249</v>
      </c>
      <c r="B24" s="7" t="s">
        <v>1037</v>
      </c>
      <c r="C24" s="7" t="s">
        <v>1038</v>
      </c>
      <c r="D24" s="7" t="s">
        <v>123</v>
      </c>
      <c r="E24" s="7" t="s">
        <v>1435</v>
      </c>
      <c r="F24" s="7" t="s">
        <v>1039</v>
      </c>
      <c r="G24" s="21" t="s">
        <v>67</v>
      </c>
      <c r="H24" s="21" t="s">
        <v>63</v>
      </c>
      <c r="I24" s="21" t="s">
        <v>64</v>
      </c>
      <c r="J24" s="20" t="s">
        <v>1040</v>
      </c>
      <c r="K24" s="33" t="str">
        <f>"280,0"</f>
        <v>280,0</v>
      </c>
      <c r="L24" s="8" t="str">
        <f>"172,8440"</f>
        <v>172,8440</v>
      </c>
      <c r="M24" s="7" t="s">
        <v>1041</v>
      </c>
    </row>
    <row r="25" spans="1:13">
      <c r="A25" s="10" t="s">
        <v>252</v>
      </c>
      <c r="B25" s="9" t="s">
        <v>1042</v>
      </c>
      <c r="C25" s="9" t="s">
        <v>1043</v>
      </c>
      <c r="D25" s="9" t="s">
        <v>1044</v>
      </c>
      <c r="E25" s="9" t="s">
        <v>1435</v>
      </c>
      <c r="F25" s="9" t="s">
        <v>1045</v>
      </c>
      <c r="G25" s="22" t="s">
        <v>98</v>
      </c>
      <c r="H25" s="22" t="s">
        <v>67</v>
      </c>
      <c r="I25" s="22" t="s">
        <v>1046</v>
      </c>
      <c r="J25" s="10"/>
      <c r="K25" s="35" t="str">
        <f>"267,5"</f>
        <v>267,5</v>
      </c>
      <c r="L25" s="10" t="str">
        <f>"170,4644"</f>
        <v>170,4644</v>
      </c>
      <c r="M25" s="9"/>
    </row>
    <row r="26" spans="1:13">
      <c r="B26" s="5" t="s">
        <v>250</v>
      </c>
    </row>
    <row r="27" spans="1:13" ht="16">
      <c r="A27" s="70" t="s">
        <v>151</v>
      </c>
      <c r="B27" s="70"/>
      <c r="C27" s="70"/>
      <c r="D27" s="70"/>
      <c r="E27" s="70"/>
      <c r="F27" s="70"/>
      <c r="G27" s="70"/>
      <c r="H27" s="70"/>
      <c r="I27" s="70"/>
      <c r="J27" s="70"/>
    </row>
    <row r="28" spans="1:13">
      <c r="A28" s="8" t="s">
        <v>249</v>
      </c>
      <c r="B28" s="7" t="s">
        <v>1047</v>
      </c>
      <c r="C28" s="7" t="s">
        <v>1048</v>
      </c>
      <c r="D28" s="7" t="s">
        <v>1049</v>
      </c>
      <c r="E28" s="7" t="s">
        <v>1435</v>
      </c>
      <c r="F28" s="7" t="s">
        <v>1050</v>
      </c>
      <c r="G28" s="21" t="s">
        <v>161</v>
      </c>
      <c r="H28" s="21" t="s">
        <v>203</v>
      </c>
      <c r="I28" s="20" t="s">
        <v>155</v>
      </c>
      <c r="J28" s="8"/>
      <c r="K28" s="33" t="str">
        <f>"305,0"</f>
        <v>305,0</v>
      </c>
      <c r="L28" s="8" t="str">
        <f>"182,6950"</f>
        <v>182,6950</v>
      </c>
      <c r="M28" s="7"/>
    </row>
    <row r="29" spans="1:13">
      <c r="A29" s="14" t="s">
        <v>252</v>
      </c>
      <c r="B29" s="13" t="s">
        <v>1051</v>
      </c>
      <c r="C29" s="13" t="s">
        <v>1052</v>
      </c>
      <c r="D29" s="13" t="s">
        <v>174</v>
      </c>
      <c r="E29" s="13" t="s">
        <v>1435</v>
      </c>
      <c r="F29" s="13" t="s">
        <v>1053</v>
      </c>
      <c r="G29" s="26" t="s">
        <v>64</v>
      </c>
      <c r="H29" s="26" t="s">
        <v>93</v>
      </c>
      <c r="I29" s="26" t="s">
        <v>94</v>
      </c>
      <c r="J29" s="26" t="s">
        <v>1054</v>
      </c>
      <c r="K29" s="34" t="str">
        <f>"300,0"</f>
        <v>300,0</v>
      </c>
      <c r="L29" s="14" t="str">
        <f>"175,3650"</f>
        <v>175,3650</v>
      </c>
      <c r="M29" s="13"/>
    </row>
    <row r="30" spans="1:13">
      <c r="A30" s="14" t="s">
        <v>253</v>
      </c>
      <c r="B30" s="13" t="s">
        <v>625</v>
      </c>
      <c r="C30" s="13" t="s">
        <v>626</v>
      </c>
      <c r="D30" s="13" t="s">
        <v>535</v>
      </c>
      <c r="E30" s="13" t="s">
        <v>1435</v>
      </c>
      <c r="F30" s="13" t="s">
        <v>1412</v>
      </c>
      <c r="G30" s="26" t="s">
        <v>63</v>
      </c>
      <c r="H30" s="26" t="s">
        <v>64</v>
      </c>
      <c r="I30" s="27" t="s">
        <v>198</v>
      </c>
      <c r="J30" s="14"/>
      <c r="K30" s="34" t="str">
        <f>"280,0"</f>
        <v>280,0</v>
      </c>
      <c r="L30" s="14" t="str">
        <f>"163,8980"</f>
        <v>163,8980</v>
      </c>
      <c r="M30" s="13" t="s">
        <v>627</v>
      </c>
    </row>
    <row r="31" spans="1:13">
      <c r="A31" s="14" t="s">
        <v>254</v>
      </c>
      <c r="B31" s="13" t="s">
        <v>1055</v>
      </c>
      <c r="C31" s="13" t="s">
        <v>1056</v>
      </c>
      <c r="D31" s="13" t="s">
        <v>868</v>
      </c>
      <c r="E31" s="13" t="s">
        <v>1435</v>
      </c>
      <c r="F31" s="13" t="s">
        <v>662</v>
      </c>
      <c r="G31" s="27" t="s">
        <v>891</v>
      </c>
      <c r="H31" s="26" t="s">
        <v>891</v>
      </c>
      <c r="I31" s="26" t="s">
        <v>98</v>
      </c>
      <c r="J31" s="14"/>
      <c r="K31" s="34" t="str">
        <f>"250,0"</f>
        <v>250,0</v>
      </c>
      <c r="L31" s="14" t="str">
        <f>"146,6625"</f>
        <v>146,6625</v>
      </c>
      <c r="M31" s="13" t="s">
        <v>663</v>
      </c>
    </row>
    <row r="32" spans="1:13">
      <c r="A32" s="10" t="s">
        <v>249</v>
      </c>
      <c r="B32" s="9" t="s">
        <v>1057</v>
      </c>
      <c r="C32" s="9" t="s">
        <v>1341</v>
      </c>
      <c r="D32" s="9" t="s">
        <v>571</v>
      </c>
      <c r="E32" s="9" t="s">
        <v>1434</v>
      </c>
      <c r="F32" s="9" t="s">
        <v>445</v>
      </c>
      <c r="G32" s="22" t="s">
        <v>133</v>
      </c>
      <c r="H32" s="22" t="s">
        <v>66</v>
      </c>
      <c r="I32" s="23" t="s">
        <v>98</v>
      </c>
      <c r="J32" s="10"/>
      <c r="K32" s="35" t="str">
        <f>"240,0"</f>
        <v>240,0</v>
      </c>
      <c r="L32" s="10" t="str">
        <f>"142,0100"</f>
        <v>142,0100</v>
      </c>
      <c r="M32" s="9"/>
    </row>
    <row r="33" spans="1:13">
      <c r="B33" s="5" t="s">
        <v>250</v>
      </c>
    </row>
    <row r="34" spans="1:13" ht="16">
      <c r="A34" s="70" t="s">
        <v>192</v>
      </c>
      <c r="B34" s="70"/>
      <c r="C34" s="70"/>
      <c r="D34" s="70"/>
      <c r="E34" s="70"/>
      <c r="F34" s="70"/>
      <c r="G34" s="70"/>
      <c r="H34" s="70"/>
      <c r="I34" s="70"/>
      <c r="J34" s="70"/>
    </row>
    <row r="35" spans="1:13">
      <c r="A35" s="8" t="s">
        <v>249</v>
      </c>
      <c r="B35" s="7" t="s">
        <v>660</v>
      </c>
      <c r="C35" s="7" t="s">
        <v>1058</v>
      </c>
      <c r="D35" s="7" t="s">
        <v>661</v>
      </c>
      <c r="E35" s="7" t="s">
        <v>1435</v>
      </c>
      <c r="F35" s="7" t="s">
        <v>662</v>
      </c>
      <c r="G35" s="21" t="s">
        <v>92</v>
      </c>
      <c r="H35" s="20" t="s">
        <v>66</v>
      </c>
      <c r="I35" s="20" t="s">
        <v>66</v>
      </c>
      <c r="J35" s="8"/>
      <c r="K35" s="33" t="str">
        <f>"235,0"</f>
        <v>235,0</v>
      </c>
      <c r="L35" s="8" t="str">
        <f>"132,2815"</f>
        <v>132,2815</v>
      </c>
      <c r="M35" s="7" t="s">
        <v>663</v>
      </c>
    </row>
    <row r="36" spans="1:13">
      <c r="A36" s="10" t="s">
        <v>249</v>
      </c>
      <c r="B36" s="9" t="s">
        <v>660</v>
      </c>
      <c r="C36" s="9" t="s">
        <v>1342</v>
      </c>
      <c r="D36" s="9" t="s">
        <v>661</v>
      </c>
      <c r="E36" s="9" t="s">
        <v>1434</v>
      </c>
      <c r="F36" s="9" t="s">
        <v>662</v>
      </c>
      <c r="G36" s="22" t="s">
        <v>92</v>
      </c>
      <c r="H36" s="23" t="s">
        <v>66</v>
      </c>
      <c r="I36" s="23" t="s">
        <v>66</v>
      </c>
      <c r="J36" s="10"/>
      <c r="K36" s="35" t="str">
        <f>"235,0"</f>
        <v>235,0</v>
      </c>
      <c r="L36" s="10" t="str">
        <f>"143,1286"</f>
        <v>143,1286</v>
      </c>
      <c r="M36" s="9" t="s">
        <v>663</v>
      </c>
    </row>
    <row r="37" spans="1:13">
      <c r="B37" s="5" t="s">
        <v>250</v>
      </c>
    </row>
    <row r="38" spans="1:13" ht="16">
      <c r="A38" s="70" t="s">
        <v>212</v>
      </c>
      <c r="B38" s="70"/>
      <c r="C38" s="70"/>
      <c r="D38" s="70"/>
      <c r="E38" s="70"/>
      <c r="F38" s="70"/>
      <c r="G38" s="70"/>
      <c r="H38" s="70"/>
      <c r="I38" s="70"/>
      <c r="J38" s="70"/>
    </row>
    <row r="39" spans="1:13">
      <c r="A39" s="8" t="s">
        <v>249</v>
      </c>
      <c r="B39" s="7" t="s">
        <v>1059</v>
      </c>
      <c r="C39" s="7" t="s">
        <v>1060</v>
      </c>
      <c r="D39" s="7" t="s">
        <v>1061</v>
      </c>
      <c r="E39" s="7" t="s">
        <v>1435</v>
      </c>
      <c r="F39" s="7" t="s">
        <v>898</v>
      </c>
      <c r="G39" s="21" t="s">
        <v>120</v>
      </c>
      <c r="H39" s="21" t="s">
        <v>112</v>
      </c>
      <c r="I39" s="20" t="s">
        <v>1010</v>
      </c>
      <c r="J39" s="8"/>
      <c r="K39" s="33" t="str">
        <f>"320,0"</f>
        <v>320,0</v>
      </c>
      <c r="L39" s="8" t="str">
        <f>"176,9280"</f>
        <v>176,9280</v>
      </c>
      <c r="M39" s="7"/>
    </row>
    <row r="40" spans="1:13">
      <c r="A40" s="14" t="s">
        <v>252</v>
      </c>
      <c r="B40" s="13" t="s">
        <v>1062</v>
      </c>
      <c r="C40" s="13" t="s">
        <v>1063</v>
      </c>
      <c r="D40" s="13" t="s">
        <v>1064</v>
      </c>
      <c r="E40" s="13" t="s">
        <v>1435</v>
      </c>
      <c r="F40" s="13" t="s">
        <v>1027</v>
      </c>
      <c r="G40" s="26" t="s">
        <v>119</v>
      </c>
      <c r="H40" s="26" t="s">
        <v>133</v>
      </c>
      <c r="I40" s="27" t="s">
        <v>127</v>
      </c>
      <c r="J40" s="14"/>
      <c r="K40" s="34" t="str">
        <f>"230,0"</f>
        <v>230,0</v>
      </c>
      <c r="L40" s="14" t="str">
        <f>"126,9255"</f>
        <v>126,9255</v>
      </c>
      <c r="M40" s="13" t="s">
        <v>1421</v>
      </c>
    </row>
    <row r="41" spans="1:13">
      <c r="A41" s="10" t="s">
        <v>249</v>
      </c>
      <c r="B41" s="9" t="s">
        <v>1059</v>
      </c>
      <c r="C41" s="9" t="s">
        <v>1343</v>
      </c>
      <c r="D41" s="9" t="s">
        <v>1061</v>
      </c>
      <c r="E41" s="9" t="s">
        <v>1434</v>
      </c>
      <c r="F41" s="9" t="s">
        <v>898</v>
      </c>
      <c r="G41" s="22" t="s">
        <v>120</v>
      </c>
      <c r="H41" s="22" t="s">
        <v>112</v>
      </c>
      <c r="I41" s="23" t="s">
        <v>1010</v>
      </c>
      <c r="J41" s="10"/>
      <c r="K41" s="35" t="str">
        <f>"320,0"</f>
        <v>320,0</v>
      </c>
      <c r="L41" s="10" t="str">
        <f>"178,6973"</f>
        <v>178,6973</v>
      </c>
      <c r="M41" s="9"/>
    </row>
    <row r="42" spans="1:13">
      <c r="B42" s="5" t="s">
        <v>250</v>
      </c>
    </row>
    <row r="43" spans="1:13" ht="16">
      <c r="A43" s="70" t="s">
        <v>1065</v>
      </c>
      <c r="B43" s="70"/>
      <c r="C43" s="70"/>
      <c r="D43" s="70"/>
      <c r="E43" s="70"/>
      <c r="F43" s="70"/>
      <c r="G43" s="70"/>
      <c r="H43" s="70"/>
      <c r="I43" s="70"/>
      <c r="J43" s="70"/>
    </row>
    <row r="44" spans="1:13">
      <c r="A44" s="12" t="s">
        <v>249</v>
      </c>
      <c r="B44" s="11" t="s">
        <v>1066</v>
      </c>
      <c r="C44" s="11" t="s">
        <v>1344</v>
      </c>
      <c r="D44" s="11" t="s">
        <v>1067</v>
      </c>
      <c r="E44" s="11" t="s">
        <v>1434</v>
      </c>
      <c r="F44" s="11" t="s">
        <v>1068</v>
      </c>
      <c r="G44" s="24" t="s">
        <v>133</v>
      </c>
      <c r="H44" s="24" t="s">
        <v>66</v>
      </c>
      <c r="I44" s="24" t="s">
        <v>98</v>
      </c>
      <c r="J44" s="12"/>
      <c r="K44" s="36" t="str">
        <f>"250,0"</f>
        <v>250,0</v>
      </c>
      <c r="L44" s="12" t="str">
        <f>"136,1551"</f>
        <v>136,1551</v>
      </c>
      <c r="M44" s="11"/>
    </row>
    <row r="45" spans="1:13">
      <c r="B45" s="5" t="s">
        <v>250</v>
      </c>
    </row>
    <row r="48" spans="1:13" ht="18">
      <c r="B48" s="15" t="s">
        <v>227</v>
      </c>
      <c r="C48" s="15"/>
    </row>
    <row r="49" spans="2:6" ht="16">
      <c r="B49" s="16" t="s">
        <v>239</v>
      </c>
      <c r="C49" s="16"/>
    </row>
    <row r="50" spans="2:6" ht="14">
      <c r="B50" s="17"/>
      <c r="C50" s="18" t="s">
        <v>229</v>
      </c>
    </row>
    <row r="51" spans="2:6" ht="14">
      <c r="B51" s="19" t="s">
        <v>230</v>
      </c>
      <c r="C51" s="19" t="s">
        <v>231</v>
      </c>
      <c r="D51" s="19" t="s">
        <v>1370</v>
      </c>
      <c r="E51" s="19" t="s">
        <v>685</v>
      </c>
      <c r="F51" s="19" t="s">
        <v>1069</v>
      </c>
    </row>
    <row r="52" spans="2:6">
      <c r="B52" s="5" t="s">
        <v>1047</v>
      </c>
      <c r="C52" s="5" t="s">
        <v>229</v>
      </c>
      <c r="D52" s="6" t="s">
        <v>240</v>
      </c>
      <c r="E52" s="6" t="s">
        <v>203</v>
      </c>
      <c r="F52" s="6" t="s">
        <v>1070</v>
      </c>
    </row>
    <row r="53" spans="2:6">
      <c r="B53" s="5" t="s">
        <v>1059</v>
      </c>
      <c r="C53" s="5" t="s">
        <v>229</v>
      </c>
      <c r="D53" s="6" t="s">
        <v>556</v>
      </c>
      <c r="E53" s="6" t="s">
        <v>112</v>
      </c>
      <c r="F53" s="6" t="s">
        <v>1071</v>
      </c>
    </row>
    <row r="54" spans="2:6">
      <c r="B54" s="5" t="s">
        <v>1051</v>
      </c>
      <c r="C54" s="5" t="s">
        <v>229</v>
      </c>
      <c r="D54" s="6" t="s">
        <v>240</v>
      </c>
      <c r="E54" s="6" t="s">
        <v>94</v>
      </c>
      <c r="F54" s="6" t="s">
        <v>1072</v>
      </c>
    </row>
  </sheetData>
  <mergeCells count="21">
    <mergeCell ref="A34:J34"/>
    <mergeCell ref="A38:J38"/>
    <mergeCell ref="A43:J43"/>
    <mergeCell ref="B3:B4"/>
    <mergeCell ref="A8:J8"/>
    <mergeCell ref="A11:J11"/>
    <mergeCell ref="A16:J16"/>
    <mergeCell ref="A20:J20"/>
    <mergeCell ref="A23:J23"/>
    <mergeCell ref="A27:J27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12"/>
  <sheetViews>
    <sheetView workbookViewId="0">
      <selection activeCell="E12" sqref="E12"/>
    </sheetView>
  </sheetViews>
  <sheetFormatPr baseColWidth="10" defaultColWidth="9.1640625" defaultRowHeight="13"/>
  <cols>
    <col min="1" max="1" width="7.5" style="5" bestFit="1" customWidth="1"/>
    <col min="2" max="2" width="20.16406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8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8.6640625" style="5" customWidth="1"/>
    <col min="14" max="16384" width="9.1640625" style="3"/>
  </cols>
  <sheetData>
    <row r="1" spans="1:13" s="2" customFormat="1" ht="29" customHeight="1">
      <c r="A1" s="57" t="s">
        <v>1415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1430</v>
      </c>
      <c r="B3" s="77" t="s">
        <v>0</v>
      </c>
      <c r="C3" s="67" t="s">
        <v>1432</v>
      </c>
      <c r="D3" s="67" t="s">
        <v>8</v>
      </c>
      <c r="E3" s="69" t="s">
        <v>1433</v>
      </c>
      <c r="F3" s="69" t="s">
        <v>5</v>
      </c>
      <c r="G3" s="69" t="s">
        <v>10</v>
      </c>
      <c r="H3" s="69"/>
      <c r="I3" s="69"/>
      <c r="J3" s="69"/>
      <c r="K3" s="69" t="s">
        <v>692</v>
      </c>
      <c r="L3" s="69" t="s">
        <v>3</v>
      </c>
      <c r="M3" s="73" t="s">
        <v>2</v>
      </c>
    </row>
    <row r="4" spans="1:13" s="1" customFormat="1" ht="21" customHeight="1" thickBot="1">
      <c r="A4" s="66"/>
      <c r="B4" s="78"/>
      <c r="C4" s="68"/>
      <c r="D4" s="68"/>
      <c r="E4" s="68"/>
      <c r="F4" s="68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74"/>
    </row>
    <row r="5" spans="1:13" ht="16">
      <c r="A5" s="75" t="s">
        <v>105</v>
      </c>
      <c r="B5" s="75"/>
      <c r="C5" s="76"/>
      <c r="D5" s="76"/>
      <c r="E5" s="76"/>
      <c r="F5" s="76"/>
      <c r="G5" s="76"/>
      <c r="H5" s="76"/>
      <c r="I5" s="76"/>
      <c r="J5" s="76"/>
    </row>
    <row r="6" spans="1:13">
      <c r="A6" s="12" t="s">
        <v>249</v>
      </c>
      <c r="B6" s="11" t="s">
        <v>1117</v>
      </c>
      <c r="C6" s="11" t="s">
        <v>1345</v>
      </c>
      <c r="D6" s="11" t="s">
        <v>1118</v>
      </c>
      <c r="E6" s="11" t="s">
        <v>1436</v>
      </c>
      <c r="F6" s="11" t="s">
        <v>1262</v>
      </c>
      <c r="G6" s="24" t="s">
        <v>56</v>
      </c>
      <c r="H6" s="24" t="s">
        <v>85</v>
      </c>
      <c r="I6" s="25" t="s">
        <v>79</v>
      </c>
      <c r="J6" s="12"/>
      <c r="K6" s="12" t="str">
        <f>"200,0"</f>
        <v>200,0</v>
      </c>
      <c r="L6" s="12" t="str">
        <f>"123,2900"</f>
        <v>123,2900</v>
      </c>
      <c r="M6" s="11" t="s">
        <v>339</v>
      </c>
    </row>
    <row r="7" spans="1:13">
      <c r="B7" s="5" t="s">
        <v>250</v>
      </c>
    </row>
    <row r="8" spans="1:13" ht="16">
      <c r="A8" s="70" t="s">
        <v>192</v>
      </c>
      <c r="B8" s="70"/>
      <c r="C8" s="70"/>
      <c r="D8" s="70"/>
      <c r="E8" s="70"/>
      <c r="F8" s="70"/>
      <c r="G8" s="70"/>
      <c r="H8" s="70"/>
      <c r="I8" s="70"/>
      <c r="J8" s="70"/>
    </row>
    <row r="9" spans="1:13">
      <c r="A9" s="8" t="s">
        <v>249</v>
      </c>
      <c r="B9" s="7" t="s">
        <v>1119</v>
      </c>
      <c r="C9" s="7" t="s">
        <v>1120</v>
      </c>
      <c r="D9" s="7" t="s">
        <v>998</v>
      </c>
      <c r="E9" s="7" t="s">
        <v>1435</v>
      </c>
      <c r="F9" s="7" t="s">
        <v>875</v>
      </c>
      <c r="G9" s="21" t="s">
        <v>1101</v>
      </c>
      <c r="H9" s="20" t="s">
        <v>1121</v>
      </c>
      <c r="I9" s="20" t="s">
        <v>1102</v>
      </c>
      <c r="J9" s="8"/>
      <c r="K9" s="8" t="str">
        <f>"360,0"</f>
        <v>360,0</v>
      </c>
      <c r="L9" s="8" t="str">
        <f>"203,2920"</f>
        <v>203,2920</v>
      </c>
      <c r="M9" s="7"/>
    </row>
    <row r="10" spans="1:13">
      <c r="A10" s="14" t="s">
        <v>252</v>
      </c>
      <c r="B10" s="13" t="s">
        <v>1122</v>
      </c>
      <c r="C10" s="13" t="s">
        <v>1123</v>
      </c>
      <c r="D10" s="13" t="s">
        <v>1124</v>
      </c>
      <c r="E10" s="13" t="s">
        <v>1435</v>
      </c>
      <c r="F10" s="13" t="s">
        <v>211</v>
      </c>
      <c r="G10" s="26" t="s">
        <v>67</v>
      </c>
      <c r="H10" s="26" t="s">
        <v>64</v>
      </c>
      <c r="I10" s="27" t="s">
        <v>94</v>
      </c>
      <c r="J10" s="14"/>
      <c r="K10" s="14" t="str">
        <f>"280,0"</f>
        <v>280,0</v>
      </c>
      <c r="L10" s="14" t="str">
        <f>"159,1660"</f>
        <v>159,1660</v>
      </c>
      <c r="M10" s="13" t="s">
        <v>1125</v>
      </c>
    </row>
    <row r="11" spans="1:13">
      <c r="A11" s="10" t="s">
        <v>249</v>
      </c>
      <c r="B11" s="9" t="s">
        <v>1119</v>
      </c>
      <c r="C11" s="9" t="s">
        <v>1346</v>
      </c>
      <c r="D11" s="9" t="s">
        <v>998</v>
      </c>
      <c r="E11" s="9" t="s">
        <v>1434</v>
      </c>
      <c r="F11" s="9" t="s">
        <v>875</v>
      </c>
      <c r="G11" s="22" t="s">
        <v>1101</v>
      </c>
      <c r="H11" s="23" t="s">
        <v>1121</v>
      </c>
      <c r="I11" s="23" t="s">
        <v>1102</v>
      </c>
      <c r="J11" s="10"/>
      <c r="K11" s="10" t="str">
        <f>"360,0"</f>
        <v>360,0</v>
      </c>
      <c r="L11" s="10" t="str">
        <f>"217,1159"</f>
        <v>217,1159</v>
      </c>
      <c r="M11" s="9"/>
    </row>
    <row r="12" spans="1:13">
      <c r="B12" s="5" t="s">
        <v>250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Лист5">
    <pageSetUpPr fitToPage="1"/>
  </sheetPr>
  <dimension ref="A1:U71"/>
  <sheetViews>
    <sheetView workbookViewId="0">
      <selection activeCell="E61" sqref="E61"/>
    </sheetView>
  </sheetViews>
  <sheetFormatPr baseColWidth="10" defaultColWidth="9.1640625" defaultRowHeight="13"/>
  <cols>
    <col min="1" max="1" width="7.5" style="5" bestFit="1" customWidth="1"/>
    <col min="2" max="2" width="21.6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4" style="5" bestFit="1" customWidth="1"/>
    <col min="7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32" bestFit="1" customWidth="1"/>
    <col min="20" max="20" width="8.5" style="6" bestFit="1" customWidth="1"/>
    <col min="21" max="21" width="23.33203125" style="5" customWidth="1"/>
    <col min="22" max="16384" width="9.1640625" style="3"/>
  </cols>
  <sheetData>
    <row r="1" spans="1:21" s="2" customFormat="1" ht="29" customHeight="1">
      <c r="A1" s="57" t="s">
        <v>1372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</row>
    <row r="2" spans="1:21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4"/>
    </row>
    <row r="3" spans="1:21" s="1" customFormat="1" ht="12.75" customHeight="1">
      <c r="A3" s="65" t="s">
        <v>1430</v>
      </c>
      <c r="B3" s="77" t="s">
        <v>0</v>
      </c>
      <c r="C3" s="67" t="s">
        <v>1432</v>
      </c>
      <c r="D3" s="67" t="s">
        <v>8</v>
      </c>
      <c r="E3" s="69" t="s">
        <v>1433</v>
      </c>
      <c r="F3" s="69" t="s">
        <v>5</v>
      </c>
      <c r="G3" s="69" t="s">
        <v>9</v>
      </c>
      <c r="H3" s="69"/>
      <c r="I3" s="69"/>
      <c r="J3" s="69"/>
      <c r="K3" s="69" t="s">
        <v>10</v>
      </c>
      <c r="L3" s="69"/>
      <c r="M3" s="69"/>
      <c r="N3" s="69"/>
      <c r="O3" s="69" t="s">
        <v>11</v>
      </c>
      <c r="P3" s="69"/>
      <c r="Q3" s="69"/>
      <c r="R3" s="69"/>
      <c r="S3" s="71" t="s">
        <v>1</v>
      </c>
      <c r="T3" s="69" t="s">
        <v>3</v>
      </c>
      <c r="U3" s="73" t="s">
        <v>2</v>
      </c>
    </row>
    <row r="4" spans="1:21" s="1" customFormat="1" ht="21" customHeight="1" thickBot="1">
      <c r="A4" s="66"/>
      <c r="B4" s="78"/>
      <c r="C4" s="68"/>
      <c r="D4" s="68"/>
      <c r="E4" s="68"/>
      <c r="F4" s="6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72"/>
      <c r="T4" s="68"/>
      <c r="U4" s="74"/>
    </row>
    <row r="5" spans="1:21" ht="16">
      <c r="A5" s="75" t="s">
        <v>12</v>
      </c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1:21">
      <c r="A6" s="8" t="s">
        <v>249</v>
      </c>
      <c r="B6" s="7" t="s">
        <v>13</v>
      </c>
      <c r="C6" s="7" t="s">
        <v>14</v>
      </c>
      <c r="D6" s="7" t="s">
        <v>15</v>
      </c>
      <c r="E6" s="7" t="s">
        <v>1435</v>
      </c>
      <c r="F6" s="7" t="s">
        <v>16</v>
      </c>
      <c r="G6" s="20" t="s">
        <v>17</v>
      </c>
      <c r="H6" s="21" t="s">
        <v>18</v>
      </c>
      <c r="I6" s="21" t="s">
        <v>19</v>
      </c>
      <c r="J6" s="8"/>
      <c r="K6" s="20" t="s">
        <v>20</v>
      </c>
      <c r="L6" s="21" t="s">
        <v>20</v>
      </c>
      <c r="M6" s="21" t="s">
        <v>21</v>
      </c>
      <c r="N6" s="8"/>
      <c r="O6" s="21" t="s">
        <v>19</v>
      </c>
      <c r="P6" s="21" t="s">
        <v>22</v>
      </c>
      <c r="Q6" s="21" t="s">
        <v>23</v>
      </c>
      <c r="R6" s="8"/>
      <c r="S6" s="33" t="str">
        <f>"312,5"</f>
        <v>312,5</v>
      </c>
      <c r="T6" s="8" t="str">
        <f>"326,0000"</f>
        <v>326,0000</v>
      </c>
      <c r="U6" s="7"/>
    </row>
    <row r="7" spans="1:21">
      <c r="A7" s="10" t="s">
        <v>249</v>
      </c>
      <c r="B7" s="9" t="s">
        <v>24</v>
      </c>
      <c r="C7" s="9" t="s">
        <v>1289</v>
      </c>
      <c r="D7" s="9" t="s">
        <v>25</v>
      </c>
      <c r="E7" s="9" t="s">
        <v>1439</v>
      </c>
      <c r="F7" s="9" t="s">
        <v>26</v>
      </c>
      <c r="G7" s="22" t="s">
        <v>27</v>
      </c>
      <c r="H7" s="22" t="s">
        <v>28</v>
      </c>
      <c r="I7" s="23" t="s">
        <v>29</v>
      </c>
      <c r="J7" s="10"/>
      <c r="K7" s="22" t="s">
        <v>30</v>
      </c>
      <c r="L7" s="22" t="s">
        <v>31</v>
      </c>
      <c r="M7" s="22" t="s">
        <v>20</v>
      </c>
      <c r="N7" s="10"/>
      <c r="O7" s="22" t="s">
        <v>23</v>
      </c>
      <c r="P7" s="22" t="s">
        <v>32</v>
      </c>
      <c r="Q7" s="22" t="s">
        <v>33</v>
      </c>
      <c r="R7" s="10"/>
      <c r="S7" s="35" t="str">
        <f>"342,5"</f>
        <v>342,5</v>
      </c>
      <c r="T7" s="10" t="str">
        <f>"497,7025"</f>
        <v>497,7025</v>
      </c>
      <c r="U7" s="9"/>
    </row>
    <row r="8" spans="1:21">
      <c r="B8" s="5" t="s">
        <v>250</v>
      </c>
    </row>
    <row r="9" spans="1:21" ht="16">
      <c r="A9" s="70" t="s">
        <v>34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1:21">
      <c r="A10" s="12" t="s">
        <v>249</v>
      </c>
      <c r="B10" s="11" t="s">
        <v>35</v>
      </c>
      <c r="C10" s="11" t="s">
        <v>36</v>
      </c>
      <c r="D10" s="11" t="s">
        <v>37</v>
      </c>
      <c r="E10" s="11" t="s">
        <v>1435</v>
      </c>
      <c r="F10" s="11" t="s">
        <v>1262</v>
      </c>
      <c r="G10" s="24" t="s">
        <v>38</v>
      </c>
      <c r="H10" s="25" t="s">
        <v>39</v>
      </c>
      <c r="I10" s="24" t="s">
        <v>40</v>
      </c>
      <c r="J10" s="12"/>
      <c r="K10" s="24" t="s">
        <v>41</v>
      </c>
      <c r="L10" s="25" t="s">
        <v>42</v>
      </c>
      <c r="M10" s="25" t="s">
        <v>42</v>
      </c>
      <c r="N10" s="12"/>
      <c r="O10" s="24" t="s">
        <v>40</v>
      </c>
      <c r="P10" s="25" t="s">
        <v>43</v>
      </c>
      <c r="Q10" s="25" t="s">
        <v>43</v>
      </c>
      <c r="R10" s="12"/>
      <c r="S10" s="36" t="str">
        <f>"432,5"</f>
        <v>432,5</v>
      </c>
      <c r="T10" s="12" t="str">
        <f>"390,4610"</f>
        <v>390,4610</v>
      </c>
      <c r="U10" s="11" t="s">
        <v>44</v>
      </c>
    </row>
    <row r="11" spans="1:21">
      <c r="B11" s="5" t="s">
        <v>250</v>
      </c>
    </row>
    <row r="12" spans="1:21" ht="16">
      <c r="A12" s="70" t="s">
        <v>45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</row>
    <row r="13" spans="1:21">
      <c r="A13" s="8" t="s">
        <v>249</v>
      </c>
      <c r="B13" s="7" t="s">
        <v>46</v>
      </c>
      <c r="C13" s="7" t="s">
        <v>47</v>
      </c>
      <c r="D13" s="7" t="s">
        <v>48</v>
      </c>
      <c r="E13" s="7" t="s">
        <v>1435</v>
      </c>
      <c r="F13" s="7" t="s">
        <v>16</v>
      </c>
      <c r="G13" s="20" t="s">
        <v>32</v>
      </c>
      <c r="H13" s="21" t="s">
        <v>32</v>
      </c>
      <c r="I13" s="21" t="s">
        <v>49</v>
      </c>
      <c r="J13" s="8"/>
      <c r="K13" s="21" t="s">
        <v>50</v>
      </c>
      <c r="L13" s="21" t="s">
        <v>31</v>
      </c>
      <c r="M13" s="20" t="s">
        <v>20</v>
      </c>
      <c r="N13" s="8"/>
      <c r="O13" s="21" t="s">
        <v>49</v>
      </c>
      <c r="P13" s="21" t="s">
        <v>51</v>
      </c>
      <c r="Q13" s="21" t="s">
        <v>52</v>
      </c>
      <c r="R13" s="8"/>
      <c r="S13" s="33" t="str">
        <f>"390,0"</f>
        <v>390,0</v>
      </c>
      <c r="T13" s="8" t="str">
        <f>"335,1660"</f>
        <v>335,1660</v>
      </c>
      <c r="U13" s="7" t="s">
        <v>1392</v>
      </c>
    </row>
    <row r="14" spans="1:21">
      <c r="A14" s="10" t="s">
        <v>251</v>
      </c>
      <c r="B14" s="9" t="s">
        <v>53</v>
      </c>
      <c r="C14" s="9" t="s">
        <v>54</v>
      </c>
      <c r="D14" s="9" t="s">
        <v>55</v>
      </c>
      <c r="E14" s="9" t="s">
        <v>1435</v>
      </c>
      <c r="F14" s="9" t="s">
        <v>1390</v>
      </c>
      <c r="G14" s="22" t="s">
        <v>51</v>
      </c>
      <c r="H14" s="23" t="s">
        <v>52</v>
      </c>
      <c r="I14" s="23" t="s">
        <v>52</v>
      </c>
      <c r="J14" s="10"/>
      <c r="K14" s="22" t="s">
        <v>17</v>
      </c>
      <c r="L14" s="22" t="s">
        <v>18</v>
      </c>
      <c r="M14" s="23" t="s">
        <v>19</v>
      </c>
      <c r="N14" s="10"/>
      <c r="O14" s="23" t="s">
        <v>56</v>
      </c>
      <c r="P14" s="23" t="s">
        <v>56</v>
      </c>
      <c r="Q14" s="23" t="s">
        <v>56</v>
      </c>
      <c r="R14" s="10"/>
      <c r="S14" s="35">
        <v>0</v>
      </c>
      <c r="T14" s="10" t="str">
        <f>"0,0000"</f>
        <v>0,0000</v>
      </c>
      <c r="U14" s="9" t="s">
        <v>1393</v>
      </c>
    </row>
    <row r="15" spans="1:21">
      <c r="B15" s="5" t="s">
        <v>250</v>
      </c>
    </row>
    <row r="16" spans="1:21" ht="16">
      <c r="A16" s="70" t="s">
        <v>57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</row>
    <row r="17" spans="1:21">
      <c r="A17" s="12" t="s">
        <v>249</v>
      </c>
      <c r="B17" s="11" t="s">
        <v>58</v>
      </c>
      <c r="C17" s="11" t="s">
        <v>59</v>
      </c>
      <c r="D17" s="11" t="s">
        <v>60</v>
      </c>
      <c r="E17" s="11" t="s">
        <v>1435</v>
      </c>
      <c r="F17" s="11" t="s">
        <v>61</v>
      </c>
      <c r="G17" s="25" t="s">
        <v>62</v>
      </c>
      <c r="H17" s="24" t="s">
        <v>62</v>
      </c>
      <c r="I17" s="24" t="s">
        <v>63</v>
      </c>
      <c r="J17" s="25" t="s">
        <v>64</v>
      </c>
      <c r="K17" s="24" t="s">
        <v>22</v>
      </c>
      <c r="L17" s="24" t="s">
        <v>23</v>
      </c>
      <c r="M17" s="25" t="s">
        <v>65</v>
      </c>
      <c r="N17" s="12"/>
      <c r="O17" s="24" t="s">
        <v>66</v>
      </c>
      <c r="P17" s="24" t="s">
        <v>62</v>
      </c>
      <c r="Q17" s="25" t="s">
        <v>67</v>
      </c>
      <c r="R17" s="12"/>
      <c r="S17" s="36" t="str">
        <f>"650,0"</f>
        <v>650,0</v>
      </c>
      <c r="T17" s="12" t="str">
        <f>"575,8350"</f>
        <v>575,8350</v>
      </c>
      <c r="U17" s="11" t="s">
        <v>1394</v>
      </c>
    </row>
    <row r="18" spans="1:21">
      <c r="B18" s="5" t="s">
        <v>250</v>
      </c>
    </row>
    <row r="19" spans="1:21" ht="16">
      <c r="A19" s="70" t="s">
        <v>68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</row>
    <row r="20" spans="1:21">
      <c r="A20" s="8" t="s">
        <v>249</v>
      </c>
      <c r="B20" s="7" t="s">
        <v>69</v>
      </c>
      <c r="C20" s="7" t="s">
        <v>1290</v>
      </c>
      <c r="D20" s="7" t="s">
        <v>70</v>
      </c>
      <c r="E20" s="7" t="s">
        <v>1437</v>
      </c>
      <c r="F20" s="7" t="s">
        <v>71</v>
      </c>
      <c r="G20" s="21" t="s">
        <v>72</v>
      </c>
      <c r="H20" s="21" t="s">
        <v>73</v>
      </c>
      <c r="I20" s="20" t="s">
        <v>74</v>
      </c>
      <c r="J20" s="8"/>
      <c r="K20" s="21" t="s">
        <v>75</v>
      </c>
      <c r="L20" s="21" t="s">
        <v>76</v>
      </c>
      <c r="M20" s="21" t="s">
        <v>77</v>
      </c>
      <c r="N20" s="8"/>
      <c r="O20" s="20" t="s">
        <v>78</v>
      </c>
      <c r="P20" s="21" t="s">
        <v>78</v>
      </c>
      <c r="Q20" s="21" t="s">
        <v>79</v>
      </c>
      <c r="R20" s="8"/>
      <c r="S20" s="33" t="str">
        <f>"552,5"</f>
        <v>552,5</v>
      </c>
      <c r="T20" s="8" t="str">
        <f>"393,7115"</f>
        <v>393,7115</v>
      </c>
      <c r="U20" s="7" t="s">
        <v>80</v>
      </c>
    </row>
    <row r="21" spans="1:21">
      <c r="A21" s="14" t="s">
        <v>252</v>
      </c>
      <c r="B21" s="13" t="s">
        <v>81</v>
      </c>
      <c r="C21" s="13" t="s">
        <v>1291</v>
      </c>
      <c r="D21" s="13" t="s">
        <v>82</v>
      </c>
      <c r="E21" s="13" t="s">
        <v>1437</v>
      </c>
      <c r="F21" s="13" t="s">
        <v>1262</v>
      </c>
      <c r="G21" s="26" t="s">
        <v>38</v>
      </c>
      <c r="H21" s="26" t="s">
        <v>40</v>
      </c>
      <c r="I21" s="27" t="s">
        <v>72</v>
      </c>
      <c r="J21" s="14"/>
      <c r="K21" s="26" t="s">
        <v>83</v>
      </c>
      <c r="L21" s="26" t="s">
        <v>32</v>
      </c>
      <c r="M21" s="26" t="s">
        <v>75</v>
      </c>
      <c r="N21" s="14"/>
      <c r="O21" s="26" t="s">
        <v>72</v>
      </c>
      <c r="P21" s="26" t="s">
        <v>84</v>
      </c>
      <c r="Q21" s="27" t="s">
        <v>85</v>
      </c>
      <c r="R21" s="14"/>
      <c r="S21" s="34" t="str">
        <f>"507,5"</f>
        <v>507,5</v>
      </c>
      <c r="T21" s="14" t="str">
        <f>"365,7553"</f>
        <v>365,7553</v>
      </c>
      <c r="U21" s="13" t="s">
        <v>1395</v>
      </c>
    </row>
    <row r="22" spans="1:21">
      <c r="A22" s="10" t="s">
        <v>251</v>
      </c>
      <c r="B22" s="9" t="s">
        <v>86</v>
      </c>
      <c r="C22" s="9" t="s">
        <v>87</v>
      </c>
      <c r="D22" s="9" t="s">
        <v>70</v>
      </c>
      <c r="E22" s="9" t="s">
        <v>1435</v>
      </c>
      <c r="F22" s="9" t="s">
        <v>1262</v>
      </c>
      <c r="G22" s="23" t="s">
        <v>51</v>
      </c>
      <c r="H22" s="23" t="s">
        <v>51</v>
      </c>
      <c r="I22" s="23" t="s">
        <v>38</v>
      </c>
      <c r="J22" s="10"/>
      <c r="K22" s="23"/>
      <c r="L22" s="10"/>
      <c r="M22" s="10"/>
      <c r="N22" s="10"/>
      <c r="O22" s="23"/>
      <c r="P22" s="10"/>
      <c r="Q22" s="10"/>
      <c r="R22" s="10"/>
      <c r="S22" s="35">
        <v>0</v>
      </c>
      <c r="T22" s="10" t="str">
        <f>"0,0000"</f>
        <v>0,0000</v>
      </c>
      <c r="U22" s="9" t="s">
        <v>1395</v>
      </c>
    </row>
    <row r="23" spans="1:21">
      <c r="B23" s="5" t="s">
        <v>250</v>
      </c>
    </row>
    <row r="24" spans="1:21" ht="16">
      <c r="A24" s="70" t="s">
        <v>34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</row>
    <row r="25" spans="1:21">
      <c r="A25" s="8" t="s">
        <v>249</v>
      </c>
      <c r="B25" s="7" t="s">
        <v>88</v>
      </c>
      <c r="C25" s="7" t="s">
        <v>89</v>
      </c>
      <c r="D25" s="7" t="s">
        <v>90</v>
      </c>
      <c r="E25" s="7" t="s">
        <v>1435</v>
      </c>
      <c r="F25" s="7" t="s">
        <v>1389</v>
      </c>
      <c r="G25" s="21" t="s">
        <v>91</v>
      </c>
      <c r="H25" s="21" t="s">
        <v>92</v>
      </c>
      <c r="I25" s="20" t="s">
        <v>66</v>
      </c>
      <c r="J25" s="8"/>
      <c r="K25" s="21" t="s">
        <v>38</v>
      </c>
      <c r="L25" s="21" t="s">
        <v>52</v>
      </c>
      <c r="M25" s="21" t="s">
        <v>40</v>
      </c>
      <c r="N25" s="8"/>
      <c r="O25" s="21" t="s">
        <v>64</v>
      </c>
      <c r="P25" s="21" t="s">
        <v>93</v>
      </c>
      <c r="Q25" s="20" t="s">
        <v>94</v>
      </c>
      <c r="R25" s="8"/>
      <c r="S25" s="33" t="str">
        <f>"700,0"</f>
        <v>700,0</v>
      </c>
      <c r="T25" s="8" t="str">
        <f>"471,7300"</f>
        <v>471,7300</v>
      </c>
      <c r="U25" s="7"/>
    </row>
    <row r="26" spans="1:21">
      <c r="A26" s="14" t="s">
        <v>252</v>
      </c>
      <c r="B26" s="13" t="s">
        <v>95</v>
      </c>
      <c r="C26" s="13" t="s">
        <v>96</v>
      </c>
      <c r="D26" s="13" t="s">
        <v>97</v>
      </c>
      <c r="E26" s="13" t="s">
        <v>1435</v>
      </c>
      <c r="F26" s="13" t="s">
        <v>1262</v>
      </c>
      <c r="G26" s="26" t="s">
        <v>91</v>
      </c>
      <c r="H26" s="26" t="s">
        <v>92</v>
      </c>
      <c r="I26" s="26" t="s">
        <v>66</v>
      </c>
      <c r="J26" s="14"/>
      <c r="K26" s="26" t="s">
        <v>51</v>
      </c>
      <c r="L26" s="27" t="s">
        <v>38</v>
      </c>
      <c r="M26" s="27" t="s">
        <v>38</v>
      </c>
      <c r="N26" s="14"/>
      <c r="O26" s="26" t="s">
        <v>98</v>
      </c>
      <c r="P26" s="27" t="s">
        <v>67</v>
      </c>
      <c r="Q26" s="27" t="s">
        <v>67</v>
      </c>
      <c r="R26" s="14"/>
      <c r="S26" s="34" t="str">
        <f>"650,0"</f>
        <v>650,0</v>
      </c>
      <c r="T26" s="14" t="str">
        <f>"439,6600"</f>
        <v>439,6600</v>
      </c>
      <c r="U26" s="13" t="s">
        <v>99</v>
      </c>
    </row>
    <row r="27" spans="1:21">
      <c r="A27" s="10" t="s">
        <v>253</v>
      </c>
      <c r="B27" s="9" t="s">
        <v>100</v>
      </c>
      <c r="C27" s="9" t="s">
        <v>101</v>
      </c>
      <c r="D27" s="9" t="s">
        <v>102</v>
      </c>
      <c r="E27" s="9" t="s">
        <v>1435</v>
      </c>
      <c r="F27" s="9" t="s">
        <v>1262</v>
      </c>
      <c r="G27" s="22" t="s">
        <v>72</v>
      </c>
      <c r="H27" s="22" t="s">
        <v>78</v>
      </c>
      <c r="I27" s="22" t="s">
        <v>85</v>
      </c>
      <c r="J27" s="10"/>
      <c r="K27" s="22" t="s">
        <v>103</v>
      </c>
      <c r="L27" s="22" t="s">
        <v>76</v>
      </c>
      <c r="M27" s="23" t="s">
        <v>77</v>
      </c>
      <c r="N27" s="10"/>
      <c r="O27" s="22" t="s">
        <v>72</v>
      </c>
      <c r="P27" s="22" t="s">
        <v>78</v>
      </c>
      <c r="Q27" s="22" t="s">
        <v>104</v>
      </c>
      <c r="R27" s="10"/>
      <c r="S27" s="35" t="str">
        <f>"552,5"</f>
        <v>552,5</v>
      </c>
      <c r="T27" s="10" t="str">
        <f>"372,0535"</f>
        <v>372,0535</v>
      </c>
      <c r="U27" s="9" t="s">
        <v>80</v>
      </c>
    </row>
    <row r="28" spans="1:21">
      <c r="B28" s="5" t="s">
        <v>250</v>
      </c>
    </row>
    <row r="29" spans="1:21" ht="16">
      <c r="A29" s="70" t="s">
        <v>105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</row>
    <row r="30" spans="1:21">
      <c r="A30" s="8" t="s">
        <v>249</v>
      </c>
      <c r="B30" s="7" t="s">
        <v>106</v>
      </c>
      <c r="C30" s="7" t="s">
        <v>107</v>
      </c>
      <c r="D30" s="7" t="s">
        <v>108</v>
      </c>
      <c r="E30" s="7" t="s">
        <v>1435</v>
      </c>
      <c r="F30" s="7" t="s">
        <v>1391</v>
      </c>
      <c r="G30" s="21" t="s">
        <v>109</v>
      </c>
      <c r="H30" s="21" t="s">
        <v>110</v>
      </c>
      <c r="I30" s="8"/>
      <c r="J30" s="8"/>
      <c r="K30" s="21" t="s">
        <v>85</v>
      </c>
      <c r="L30" s="20" t="s">
        <v>111</v>
      </c>
      <c r="M30" s="21" t="s">
        <v>111</v>
      </c>
      <c r="N30" s="8"/>
      <c r="O30" s="21" t="s">
        <v>112</v>
      </c>
      <c r="P30" s="21" t="s">
        <v>113</v>
      </c>
      <c r="Q30" s="21" t="s">
        <v>114</v>
      </c>
      <c r="R30" s="8"/>
      <c r="S30" s="33" t="str">
        <f>"820,0"</f>
        <v>820,0</v>
      </c>
      <c r="T30" s="8" t="str">
        <f>"531,9340"</f>
        <v>531,9340</v>
      </c>
      <c r="U30" s="7" t="s">
        <v>80</v>
      </c>
    </row>
    <row r="31" spans="1:21">
      <c r="A31" s="14" t="s">
        <v>252</v>
      </c>
      <c r="B31" s="13" t="s">
        <v>115</v>
      </c>
      <c r="C31" s="13" t="s">
        <v>116</v>
      </c>
      <c r="D31" s="13" t="s">
        <v>117</v>
      </c>
      <c r="E31" s="13" t="s">
        <v>1435</v>
      </c>
      <c r="F31" s="13" t="s">
        <v>118</v>
      </c>
      <c r="G31" s="26" t="s">
        <v>119</v>
      </c>
      <c r="H31" s="26" t="s">
        <v>92</v>
      </c>
      <c r="I31" s="27" t="s">
        <v>98</v>
      </c>
      <c r="J31" s="14"/>
      <c r="K31" s="26" t="s">
        <v>49</v>
      </c>
      <c r="L31" s="26" t="s">
        <v>51</v>
      </c>
      <c r="M31" s="26" t="s">
        <v>38</v>
      </c>
      <c r="N31" s="14"/>
      <c r="O31" s="26" t="s">
        <v>64</v>
      </c>
      <c r="P31" s="26" t="s">
        <v>94</v>
      </c>
      <c r="Q31" s="27" t="s">
        <v>120</v>
      </c>
      <c r="R31" s="14"/>
      <c r="S31" s="34" t="str">
        <f>"700,0"</f>
        <v>700,0</v>
      </c>
      <c r="T31" s="14" t="str">
        <f>"455,4900"</f>
        <v>455,4900</v>
      </c>
      <c r="U31" s="13"/>
    </row>
    <row r="32" spans="1:21">
      <c r="A32" s="14" t="s">
        <v>253</v>
      </c>
      <c r="B32" s="13" t="s">
        <v>121</v>
      </c>
      <c r="C32" s="13" t="s">
        <v>122</v>
      </c>
      <c r="D32" s="13" t="s">
        <v>123</v>
      </c>
      <c r="E32" s="13" t="s">
        <v>1435</v>
      </c>
      <c r="F32" s="13" t="s">
        <v>124</v>
      </c>
      <c r="G32" s="26" t="s">
        <v>119</v>
      </c>
      <c r="H32" s="26" t="s">
        <v>125</v>
      </c>
      <c r="I32" s="27" t="s">
        <v>92</v>
      </c>
      <c r="J32" s="14"/>
      <c r="K32" s="26" t="s">
        <v>51</v>
      </c>
      <c r="L32" s="26" t="s">
        <v>126</v>
      </c>
      <c r="M32" s="26" t="s">
        <v>39</v>
      </c>
      <c r="N32" s="14"/>
      <c r="O32" s="26" t="s">
        <v>127</v>
      </c>
      <c r="P32" s="26" t="s">
        <v>62</v>
      </c>
      <c r="Q32" s="27" t="s">
        <v>128</v>
      </c>
      <c r="R32" s="14"/>
      <c r="S32" s="34" t="str">
        <f>"655,0"</f>
        <v>655,0</v>
      </c>
      <c r="T32" s="14" t="str">
        <f>"421,5580"</f>
        <v>421,5580</v>
      </c>
      <c r="U32" s="13"/>
    </row>
    <row r="33" spans="1:21">
      <c r="A33" s="14" t="s">
        <v>254</v>
      </c>
      <c r="B33" s="13" t="s">
        <v>129</v>
      </c>
      <c r="C33" s="13" t="s">
        <v>130</v>
      </c>
      <c r="D33" s="13" t="s">
        <v>131</v>
      </c>
      <c r="E33" s="13" t="s">
        <v>1435</v>
      </c>
      <c r="F33" s="13" t="s">
        <v>118</v>
      </c>
      <c r="G33" s="27" t="s">
        <v>132</v>
      </c>
      <c r="H33" s="26" t="s">
        <v>133</v>
      </c>
      <c r="I33" s="26" t="s">
        <v>66</v>
      </c>
      <c r="J33" s="14"/>
      <c r="K33" s="26" t="s">
        <v>49</v>
      </c>
      <c r="L33" s="26" t="s">
        <v>51</v>
      </c>
      <c r="M33" s="26" t="s">
        <v>38</v>
      </c>
      <c r="N33" s="14"/>
      <c r="O33" s="26" t="s">
        <v>119</v>
      </c>
      <c r="P33" s="26" t="s">
        <v>66</v>
      </c>
      <c r="Q33" s="26" t="s">
        <v>98</v>
      </c>
      <c r="R33" s="14"/>
      <c r="S33" s="34" t="str">
        <f>"655,0"</f>
        <v>655,0</v>
      </c>
      <c r="T33" s="14" t="str">
        <f>"418,8725"</f>
        <v>418,8725</v>
      </c>
      <c r="U33" s="13" t="s">
        <v>134</v>
      </c>
    </row>
    <row r="34" spans="1:21">
      <c r="A34" s="14" t="s">
        <v>255</v>
      </c>
      <c r="B34" s="13" t="s">
        <v>135</v>
      </c>
      <c r="C34" s="13" t="s">
        <v>136</v>
      </c>
      <c r="D34" s="13" t="s">
        <v>137</v>
      </c>
      <c r="E34" s="13" t="s">
        <v>1435</v>
      </c>
      <c r="F34" s="13" t="s">
        <v>138</v>
      </c>
      <c r="G34" s="27" t="s">
        <v>133</v>
      </c>
      <c r="H34" s="26" t="s">
        <v>133</v>
      </c>
      <c r="I34" s="26" t="s">
        <v>66</v>
      </c>
      <c r="J34" s="14"/>
      <c r="K34" s="26" t="s">
        <v>75</v>
      </c>
      <c r="L34" s="26" t="s">
        <v>33</v>
      </c>
      <c r="M34" s="26" t="s">
        <v>76</v>
      </c>
      <c r="N34" s="14"/>
      <c r="O34" s="26" t="s">
        <v>66</v>
      </c>
      <c r="P34" s="27" t="s">
        <v>98</v>
      </c>
      <c r="Q34" s="26" t="s">
        <v>98</v>
      </c>
      <c r="R34" s="14"/>
      <c r="S34" s="34" t="str">
        <f>"637,5"</f>
        <v>637,5</v>
      </c>
      <c r="T34" s="14" t="str">
        <f>"410,0400"</f>
        <v>410,0400</v>
      </c>
      <c r="U34" s="13" t="s">
        <v>150</v>
      </c>
    </row>
    <row r="35" spans="1:21">
      <c r="A35" s="14" t="s">
        <v>256</v>
      </c>
      <c r="B35" s="13" t="s">
        <v>139</v>
      </c>
      <c r="C35" s="13" t="s">
        <v>140</v>
      </c>
      <c r="D35" s="13" t="s">
        <v>141</v>
      </c>
      <c r="E35" s="13" t="s">
        <v>1435</v>
      </c>
      <c r="F35" s="13" t="s">
        <v>142</v>
      </c>
      <c r="G35" s="26" t="s">
        <v>85</v>
      </c>
      <c r="H35" s="26" t="s">
        <v>79</v>
      </c>
      <c r="I35" s="27" t="s">
        <v>119</v>
      </c>
      <c r="J35" s="14"/>
      <c r="K35" s="26" t="s">
        <v>103</v>
      </c>
      <c r="L35" s="26" t="s">
        <v>33</v>
      </c>
      <c r="M35" s="26" t="s">
        <v>49</v>
      </c>
      <c r="N35" s="14"/>
      <c r="O35" s="26" t="s">
        <v>85</v>
      </c>
      <c r="P35" s="26" t="s">
        <v>79</v>
      </c>
      <c r="Q35" s="26" t="s">
        <v>91</v>
      </c>
      <c r="R35" s="14"/>
      <c r="S35" s="34" t="str">
        <f>"585,0"</f>
        <v>585,0</v>
      </c>
      <c r="T35" s="14" t="str">
        <f>"375,8040"</f>
        <v>375,8040</v>
      </c>
      <c r="U35" s="13"/>
    </row>
    <row r="36" spans="1:21">
      <c r="A36" s="14" t="s">
        <v>257</v>
      </c>
      <c r="B36" s="13" t="s">
        <v>143</v>
      </c>
      <c r="C36" s="13" t="s">
        <v>144</v>
      </c>
      <c r="D36" s="13" t="s">
        <v>145</v>
      </c>
      <c r="E36" s="13" t="s">
        <v>1435</v>
      </c>
      <c r="F36" s="13" t="s">
        <v>138</v>
      </c>
      <c r="G36" s="26" t="s">
        <v>72</v>
      </c>
      <c r="H36" s="26" t="s">
        <v>56</v>
      </c>
      <c r="I36" s="27" t="s">
        <v>85</v>
      </c>
      <c r="J36" s="14"/>
      <c r="K36" s="27" t="s">
        <v>33</v>
      </c>
      <c r="L36" s="26" t="s">
        <v>49</v>
      </c>
      <c r="M36" s="26" t="s">
        <v>77</v>
      </c>
      <c r="N36" s="14"/>
      <c r="O36" s="26" t="s">
        <v>79</v>
      </c>
      <c r="P36" s="26" t="s">
        <v>91</v>
      </c>
      <c r="Q36" s="27" t="s">
        <v>66</v>
      </c>
      <c r="R36" s="14"/>
      <c r="S36" s="34" t="str">
        <f>"570,0"</f>
        <v>570,0</v>
      </c>
      <c r="T36" s="14" t="str">
        <f>"367,3080"</f>
        <v>367,3080</v>
      </c>
      <c r="U36" s="13" t="s">
        <v>146</v>
      </c>
    </row>
    <row r="37" spans="1:21">
      <c r="A37" s="10" t="s">
        <v>258</v>
      </c>
      <c r="B37" s="9" t="s">
        <v>147</v>
      </c>
      <c r="C37" s="9" t="s">
        <v>148</v>
      </c>
      <c r="D37" s="9" t="s">
        <v>149</v>
      </c>
      <c r="E37" s="9" t="s">
        <v>1435</v>
      </c>
      <c r="F37" s="9" t="s">
        <v>138</v>
      </c>
      <c r="G37" s="22" t="s">
        <v>78</v>
      </c>
      <c r="H37" s="22" t="s">
        <v>104</v>
      </c>
      <c r="I37" s="22" t="s">
        <v>79</v>
      </c>
      <c r="J37" s="10"/>
      <c r="K37" s="22" t="s">
        <v>65</v>
      </c>
      <c r="L37" s="22" t="s">
        <v>32</v>
      </c>
      <c r="M37" s="23" t="s">
        <v>103</v>
      </c>
      <c r="N37" s="10"/>
      <c r="O37" s="22" t="s">
        <v>85</v>
      </c>
      <c r="P37" s="22" t="s">
        <v>79</v>
      </c>
      <c r="Q37" s="10"/>
      <c r="R37" s="10"/>
      <c r="S37" s="35" t="str">
        <f>"555,0"</f>
        <v>555,0</v>
      </c>
      <c r="T37" s="10" t="str">
        <f>"363,4695"</f>
        <v>363,4695</v>
      </c>
      <c r="U37" s="9" t="s">
        <v>150</v>
      </c>
    </row>
    <row r="38" spans="1:21">
      <c r="B38" s="5" t="s">
        <v>250</v>
      </c>
    </row>
    <row r="39" spans="1:21" ht="16">
      <c r="A39" s="70" t="s">
        <v>151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</row>
    <row r="40" spans="1:21">
      <c r="A40" s="8" t="s">
        <v>249</v>
      </c>
      <c r="B40" s="7" t="s">
        <v>152</v>
      </c>
      <c r="C40" s="7" t="s">
        <v>1292</v>
      </c>
      <c r="D40" s="7" t="s">
        <v>153</v>
      </c>
      <c r="E40" s="7" t="s">
        <v>1437</v>
      </c>
      <c r="F40" s="7" t="s">
        <v>154</v>
      </c>
      <c r="G40" s="21" t="s">
        <v>94</v>
      </c>
      <c r="H40" s="21" t="s">
        <v>155</v>
      </c>
      <c r="I40" s="21" t="s">
        <v>112</v>
      </c>
      <c r="J40" s="8"/>
      <c r="K40" s="21" t="s">
        <v>104</v>
      </c>
      <c r="L40" s="21" t="s">
        <v>132</v>
      </c>
      <c r="M40" s="21" t="s">
        <v>119</v>
      </c>
      <c r="N40" s="8"/>
      <c r="O40" s="21" t="s">
        <v>112</v>
      </c>
      <c r="P40" s="21" t="s">
        <v>156</v>
      </c>
      <c r="Q40" s="21" t="s">
        <v>157</v>
      </c>
      <c r="R40" s="8"/>
      <c r="S40" s="33" t="str">
        <f>"890,0"</f>
        <v>890,0</v>
      </c>
      <c r="T40" s="8" t="str">
        <f>"542,2770"</f>
        <v>542,2770</v>
      </c>
      <c r="U40" s="7" t="s">
        <v>1396</v>
      </c>
    </row>
    <row r="41" spans="1:21">
      <c r="A41" s="14" t="s">
        <v>249</v>
      </c>
      <c r="B41" s="13" t="s">
        <v>158</v>
      </c>
      <c r="C41" s="13" t="s">
        <v>159</v>
      </c>
      <c r="D41" s="13" t="s">
        <v>160</v>
      </c>
      <c r="E41" s="13" t="s">
        <v>1435</v>
      </c>
      <c r="F41" s="31" t="s">
        <v>1262</v>
      </c>
      <c r="G41" s="26" t="s">
        <v>161</v>
      </c>
      <c r="H41" s="26" t="s">
        <v>120</v>
      </c>
      <c r="I41" s="26" t="s">
        <v>162</v>
      </c>
      <c r="J41" s="14"/>
      <c r="K41" s="26" t="s">
        <v>79</v>
      </c>
      <c r="L41" s="26" t="s">
        <v>163</v>
      </c>
      <c r="M41" s="26" t="s">
        <v>125</v>
      </c>
      <c r="N41" s="14"/>
      <c r="O41" s="27" t="s">
        <v>164</v>
      </c>
      <c r="P41" s="26" t="s">
        <v>164</v>
      </c>
      <c r="Q41" s="27" t="s">
        <v>165</v>
      </c>
      <c r="R41" s="14"/>
      <c r="S41" s="34" t="str">
        <f>"955,0"</f>
        <v>955,0</v>
      </c>
      <c r="T41" s="14" t="str">
        <f>"582,1680"</f>
        <v>582,1680</v>
      </c>
      <c r="U41" s="13"/>
    </row>
    <row r="42" spans="1:21">
      <c r="A42" s="14" t="s">
        <v>252</v>
      </c>
      <c r="B42" s="13" t="s">
        <v>152</v>
      </c>
      <c r="C42" s="13" t="s">
        <v>166</v>
      </c>
      <c r="D42" s="13" t="s">
        <v>153</v>
      </c>
      <c r="E42" s="13" t="s">
        <v>1435</v>
      </c>
      <c r="F42" s="13" t="s">
        <v>154</v>
      </c>
      <c r="G42" s="26" t="s">
        <v>94</v>
      </c>
      <c r="H42" s="26" t="s">
        <v>155</v>
      </c>
      <c r="I42" s="26" t="s">
        <v>112</v>
      </c>
      <c r="J42" s="14"/>
      <c r="K42" s="26" t="s">
        <v>104</v>
      </c>
      <c r="L42" s="26" t="s">
        <v>132</v>
      </c>
      <c r="M42" s="26" t="s">
        <v>119</v>
      </c>
      <c r="N42" s="14"/>
      <c r="O42" s="26" t="s">
        <v>112</v>
      </c>
      <c r="P42" s="26" t="s">
        <v>156</v>
      </c>
      <c r="Q42" s="26" t="s">
        <v>157</v>
      </c>
      <c r="R42" s="14"/>
      <c r="S42" s="34" t="str">
        <f>"890,0"</f>
        <v>890,0</v>
      </c>
      <c r="T42" s="14" t="str">
        <f>"542,2770"</f>
        <v>542,2770</v>
      </c>
      <c r="U42" s="13" t="s">
        <v>1396</v>
      </c>
    </row>
    <row r="43" spans="1:21">
      <c r="A43" s="14" t="s">
        <v>253</v>
      </c>
      <c r="B43" s="13" t="s">
        <v>167</v>
      </c>
      <c r="C43" s="13" t="s">
        <v>168</v>
      </c>
      <c r="D43" s="13" t="s">
        <v>169</v>
      </c>
      <c r="E43" s="13" t="s">
        <v>1435</v>
      </c>
      <c r="F43" s="31" t="s">
        <v>170</v>
      </c>
      <c r="G43" s="27" t="s">
        <v>127</v>
      </c>
      <c r="H43" s="26" t="s">
        <v>127</v>
      </c>
      <c r="I43" s="26" t="s">
        <v>62</v>
      </c>
      <c r="J43" s="14"/>
      <c r="K43" s="26" t="s">
        <v>76</v>
      </c>
      <c r="L43" s="26" t="s">
        <v>77</v>
      </c>
      <c r="M43" s="26" t="s">
        <v>51</v>
      </c>
      <c r="N43" s="14"/>
      <c r="O43" s="26" t="s">
        <v>127</v>
      </c>
      <c r="P43" s="26" t="s">
        <v>128</v>
      </c>
      <c r="Q43" s="27" t="s">
        <v>171</v>
      </c>
      <c r="R43" s="14"/>
      <c r="S43" s="34" t="str">
        <f>"672,5"</f>
        <v>672,5</v>
      </c>
      <c r="T43" s="14" t="str">
        <f>"411,7717"</f>
        <v>411,7717</v>
      </c>
      <c r="U43" s="13" t="s">
        <v>80</v>
      </c>
    </row>
    <row r="44" spans="1:21">
      <c r="A44" s="14" t="s">
        <v>254</v>
      </c>
      <c r="B44" s="13" t="s">
        <v>172</v>
      </c>
      <c r="C44" s="13" t="s">
        <v>173</v>
      </c>
      <c r="D44" s="13" t="s">
        <v>174</v>
      </c>
      <c r="E44" s="13" t="s">
        <v>1435</v>
      </c>
      <c r="F44" s="13" t="s">
        <v>175</v>
      </c>
      <c r="G44" s="26" t="s">
        <v>104</v>
      </c>
      <c r="H44" s="26" t="s">
        <v>91</v>
      </c>
      <c r="I44" s="26" t="s">
        <v>92</v>
      </c>
      <c r="J44" s="14"/>
      <c r="K44" s="26" t="s">
        <v>51</v>
      </c>
      <c r="L44" s="26" t="s">
        <v>39</v>
      </c>
      <c r="M44" s="26" t="s">
        <v>72</v>
      </c>
      <c r="N44" s="14"/>
      <c r="O44" s="26" t="s">
        <v>119</v>
      </c>
      <c r="P44" s="26" t="s">
        <v>92</v>
      </c>
      <c r="Q44" s="27" t="s">
        <v>66</v>
      </c>
      <c r="R44" s="14"/>
      <c r="S44" s="34" t="str">
        <f>"650,0"</f>
        <v>650,0</v>
      </c>
      <c r="T44" s="14" t="str">
        <f>"397,6700"</f>
        <v>397,6700</v>
      </c>
      <c r="U44" s="13" t="s">
        <v>1397</v>
      </c>
    </row>
    <row r="45" spans="1:21">
      <c r="A45" s="14" t="s">
        <v>255</v>
      </c>
      <c r="B45" s="13" t="s">
        <v>176</v>
      </c>
      <c r="C45" s="13" t="s">
        <v>177</v>
      </c>
      <c r="D45" s="13" t="s">
        <v>178</v>
      </c>
      <c r="E45" s="13" t="s">
        <v>1435</v>
      </c>
      <c r="F45" s="13" t="s">
        <v>175</v>
      </c>
      <c r="G45" s="26" t="s">
        <v>85</v>
      </c>
      <c r="H45" s="27" t="s">
        <v>132</v>
      </c>
      <c r="I45" s="26" t="s">
        <v>132</v>
      </c>
      <c r="J45" s="14"/>
      <c r="K45" s="26" t="s">
        <v>51</v>
      </c>
      <c r="L45" s="27" t="s">
        <v>52</v>
      </c>
      <c r="M45" s="27" t="s">
        <v>52</v>
      </c>
      <c r="N45" s="14"/>
      <c r="O45" s="26" t="s">
        <v>66</v>
      </c>
      <c r="P45" s="26" t="s">
        <v>62</v>
      </c>
      <c r="Q45" s="27" t="s">
        <v>109</v>
      </c>
      <c r="R45" s="14"/>
      <c r="S45" s="34" t="str">
        <f>"630,0"</f>
        <v>630,0</v>
      </c>
      <c r="T45" s="14" t="str">
        <f>"393,3720"</f>
        <v>393,3720</v>
      </c>
      <c r="U45" s="13" t="s">
        <v>1398</v>
      </c>
    </row>
    <row r="46" spans="1:21">
      <c r="A46" s="14" t="s">
        <v>256</v>
      </c>
      <c r="B46" s="13" t="s">
        <v>179</v>
      </c>
      <c r="C46" s="13" t="s">
        <v>180</v>
      </c>
      <c r="D46" s="13" t="s">
        <v>181</v>
      </c>
      <c r="E46" s="13" t="s">
        <v>1435</v>
      </c>
      <c r="F46" s="13" t="s">
        <v>182</v>
      </c>
      <c r="G46" s="26" t="s">
        <v>78</v>
      </c>
      <c r="H46" s="26" t="s">
        <v>183</v>
      </c>
      <c r="I46" s="26" t="s">
        <v>79</v>
      </c>
      <c r="J46" s="14"/>
      <c r="K46" s="26" t="s">
        <v>65</v>
      </c>
      <c r="L46" s="26" t="s">
        <v>32</v>
      </c>
      <c r="M46" s="27" t="s">
        <v>75</v>
      </c>
      <c r="N46" s="14"/>
      <c r="O46" s="26" t="s">
        <v>56</v>
      </c>
      <c r="P46" s="26" t="s">
        <v>79</v>
      </c>
      <c r="Q46" s="27" t="s">
        <v>119</v>
      </c>
      <c r="R46" s="14"/>
      <c r="S46" s="34" t="str">
        <f>"555,0"</f>
        <v>555,0</v>
      </c>
      <c r="T46" s="14" t="str">
        <f>"342,8235"</f>
        <v>342,8235</v>
      </c>
      <c r="U46" s="13"/>
    </row>
    <row r="47" spans="1:21">
      <c r="A47" s="14" t="s">
        <v>257</v>
      </c>
      <c r="B47" s="13" t="s">
        <v>184</v>
      </c>
      <c r="C47" s="13" t="s">
        <v>185</v>
      </c>
      <c r="D47" s="13" t="s">
        <v>186</v>
      </c>
      <c r="E47" s="13" t="s">
        <v>1435</v>
      </c>
      <c r="F47" s="13" t="s">
        <v>138</v>
      </c>
      <c r="G47" s="26" t="s">
        <v>51</v>
      </c>
      <c r="H47" s="26" t="s">
        <v>38</v>
      </c>
      <c r="I47" s="27" t="s">
        <v>52</v>
      </c>
      <c r="J47" s="14"/>
      <c r="K47" s="26" t="s">
        <v>187</v>
      </c>
      <c r="L47" s="26" t="s">
        <v>17</v>
      </c>
      <c r="M47" s="26" t="s">
        <v>18</v>
      </c>
      <c r="N47" s="14"/>
      <c r="O47" s="26" t="s">
        <v>52</v>
      </c>
      <c r="P47" s="26" t="s">
        <v>72</v>
      </c>
      <c r="Q47" s="14"/>
      <c r="R47" s="14"/>
      <c r="S47" s="34" t="str">
        <f>"450,0"</f>
        <v>450,0</v>
      </c>
      <c r="T47" s="14" t="str">
        <f>"286,9650"</f>
        <v>286,9650</v>
      </c>
      <c r="U47" s="13" t="s">
        <v>150</v>
      </c>
    </row>
    <row r="48" spans="1:21">
      <c r="A48" s="14" t="s">
        <v>251</v>
      </c>
      <c r="B48" s="13" t="s">
        <v>188</v>
      </c>
      <c r="C48" s="13" t="s">
        <v>189</v>
      </c>
      <c r="D48" s="13" t="s">
        <v>153</v>
      </c>
      <c r="E48" s="13" t="s">
        <v>1435</v>
      </c>
      <c r="F48" s="13" t="s">
        <v>1262</v>
      </c>
      <c r="G48" s="27" t="s">
        <v>67</v>
      </c>
      <c r="H48" s="27" t="s">
        <v>67</v>
      </c>
      <c r="I48" s="27" t="s">
        <v>67</v>
      </c>
      <c r="J48" s="14"/>
      <c r="K48" s="27"/>
      <c r="L48" s="14"/>
      <c r="M48" s="14"/>
      <c r="N48" s="14"/>
      <c r="O48" s="27"/>
      <c r="P48" s="14"/>
      <c r="Q48" s="14"/>
      <c r="R48" s="14"/>
      <c r="S48" s="34">
        <v>0</v>
      </c>
      <c r="T48" s="14" t="str">
        <f>"0,0000"</f>
        <v>0,0000</v>
      </c>
      <c r="U48" s="13"/>
    </row>
    <row r="49" spans="1:21">
      <c r="A49" s="10" t="s">
        <v>249</v>
      </c>
      <c r="B49" s="9" t="s">
        <v>190</v>
      </c>
      <c r="C49" s="9" t="s">
        <v>1293</v>
      </c>
      <c r="D49" s="9" t="s">
        <v>160</v>
      </c>
      <c r="E49" s="9" t="s">
        <v>1434</v>
      </c>
      <c r="F49" s="9" t="s">
        <v>191</v>
      </c>
      <c r="G49" s="22" t="s">
        <v>85</v>
      </c>
      <c r="H49" s="22" t="s">
        <v>132</v>
      </c>
      <c r="I49" s="22" t="s">
        <v>91</v>
      </c>
      <c r="J49" s="10"/>
      <c r="K49" s="22" t="s">
        <v>77</v>
      </c>
      <c r="L49" s="22" t="s">
        <v>52</v>
      </c>
      <c r="M49" s="22" t="s">
        <v>72</v>
      </c>
      <c r="N49" s="10"/>
      <c r="O49" s="23" t="s">
        <v>66</v>
      </c>
      <c r="P49" s="22" t="s">
        <v>66</v>
      </c>
      <c r="Q49" s="22" t="s">
        <v>98</v>
      </c>
      <c r="R49" s="10"/>
      <c r="S49" s="35" t="str">
        <f>"655,0"</f>
        <v>655,0</v>
      </c>
      <c r="T49" s="10" t="str">
        <f>"399,2880"</f>
        <v>399,2880</v>
      </c>
      <c r="U49" s="9"/>
    </row>
    <row r="50" spans="1:21">
      <c r="B50" s="5" t="s">
        <v>250</v>
      </c>
    </row>
    <row r="51" spans="1:21" ht="16">
      <c r="A51" s="70" t="s">
        <v>192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</row>
    <row r="52" spans="1:21">
      <c r="A52" s="8" t="s">
        <v>249</v>
      </c>
      <c r="B52" s="7" t="s">
        <v>193</v>
      </c>
      <c r="C52" s="7" t="s">
        <v>194</v>
      </c>
      <c r="D52" s="7" t="s">
        <v>195</v>
      </c>
      <c r="E52" s="7" t="s">
        <v>1435</v>
      </c>
      <c r="F52" s="7" t="s">
        <v>196</v>
      </c>
      <c r="G52" s="21" t="s">
        <v>109</v>
      </c>
      <c r="H52" s="21" t="s">
        <v>197</v>
      </c>
      <c r="I52" s="21" t="s">
        <v>64</v>
      </c>
      <c r="J52" s="8"/>
      <c r="K52" s="21" t="s">
        <v>56</v>
      </c>
      <c r="L52" s="21" t="s">
        <v>74</v>
      </c>
      <c r="M52" s="21" t="s">
        <v>104</v>
      </c>
      <c r="N52" s="8"/>
      <c r="O52" s="21" t="s">
        <v>110</v>
      </c>
      <c r="P52" s="21" t="s">
        <v>198</v>
      </c>
      <c r="Q52" s="21" t="s">
        <v>94</v>
      </c>
      <c r="R52" s="8"/>
      <c r="S52" s="33" t="str">
        <f>"785,0"</f>
        <v>785,0</v>
      </c>
      <c r="T52" s="8" t="str">
        <f>"462,5220"</f>
        <v>462,5220</v>
      </c>
      <c r="U52" s="7" t="s">
        <v>199</v>
      </c>
    </row>
    <row r="53" spans="1:21">
      <c r="A53" s="14" t="s">
        <v>252</v>
      </c>
      <c r="B53" s="13" t="s">
        <v>200</v>
      </c>
      <c r="C53" s="13" t="s">
        <v>201</v>
      </c>
      <c r="D53" s="13" t="s">
        <v>202</v>
      </c>
      <c r="E53" s="13" t="s">
        <v>1435</v>
      </c>
      <c r="F53" s="13" t="s">
        <v>1262</v>
      </c>
      <c r="G53" s="26" t="s">
        <v>198</v>
      </c>
      <c r="H53" s="27" t="s">
        <v>94</v>
      </c>
      <c r="I53" s="27" t="s">
        <v>94</v>
      </c>
      <c r="J53" s="14"/>
      <c r="K53" s="27" t="s">
        <v>40</v>
      </c>
      <c r="L53" s="26" t="s">
        <v>40</v>
      </c>
      <c r="M53" s="27" t="s">
        <v>43</v>
      </c>
      <c r="N53" s="14"/>
      <c r="O53" s="26" t="s">
        <v>93</v>
      </c>
      <c r="P53" s="26" t="s">
        <v>203</v>
      </c>
      <c r="Q53" s="27" t="s">
        <v>112</v>
      </c>
      <c r="R53" s="14"/>
      <c r="S53" s="34" t="str">
        <f>"765,0"</f>
        <v>765,0</v>
      </c>
      <c r="T53" s="14" t="str">
        <f>"451,1970"</f>
        <v>451,1970</v>
      </c>
      <c r="U53" s="13" t="s">
        <v>204</v>
      </c>
    </row>
    <row r="54" spans="1:21">
      <c r="A54" s="14" t="s">
        <v>253</v>
      </c>
      <c r="B54" s="13" t="s">
        <v>205</v>
      </c>
      <c r="C54" s="13" t="s">
        <v>206</v>
      </c>
      <c r="D54" s="13" t="s">
        <v>207</v>
      </c>
      <c r="E54" s="13" t="s">
        <v>1435</v>
      </c>
      <c r="F54" s="13" t="s">
        <v>118</v>
      </c>
      <c r="G54" s="26" t="s">
        <v>43</v>
      </c>
      <c r="H54" s="26" t="s">
        <v>85</v>
      </c>
      <c r="I54" s="26" t="s">
        <v>79</v>
      </c>
      <c r="J54" s="14"/>
      <c r="K54" s="26" t="s">
        <v>75</v>
      </c>
      <c r="L54" s="26" t="s">
        <v>49</v>
      </c>
      <c r="M54" s="26" t="s">
        <v>51</v>
      </c>
      <c r="N54" s="14"/>
      <c r="O54" s="26" t="s">
        <v>119</v>
      </c>
      <c r="P54" s="26" t="s">
        <v>92</v>
      </c>
      <c r="Q54" s="26" t="s">
        <v>127</v>
      </c>
      <c r="R54" s="14"/>
      <c r="S54" s="34" t="str">
        <f>"615,0"</f>
        <v>615,0</v>
      </c>
      <c r="T54" s="14" t="str">
        <f>"364,5720"</f>
        <v>364,5720</v>
      </c>
      <c r="U54" s="13" t="s">
        <v>134</v>
      </c>
    </row>
    <row r="55" spans="1:21">
      <c r="A55" s="10" t="s">
        <v>251</v>
      </c>
      <c r="B55" s="9" t="s">
        <v>208</v>
      </c>
      <c r="C55" s="9" t="s">
        <v>209</v>
      </c>
      <c r="D55" s="9" t="s">
        <v>210</v>
      </c>
      <c r="E55" s="9" t="s">
        <v>1435</v>
      </c>
      <c r="F55" s="9" t="s">
        <v>211</v>
      </c>
      <c r="G55" s="23" t="s">
        <v>66</v>
      </c>
      <c r="H55" s="23" t="s">
        <v>98</v>
      </c>
      <c r="I55" s="23" t="s">
        <v>62</v>
      </c>
      <c r="J55" s="10"/>
      <c r="K55" s="23"/>
      <c r="L55" s="10"/>
      <c r="M55" s="10"/>
      <c r="N55" s="10"/>
      <c r="O55" s="23"/>
      <c r="P55" s="10"/>
      <c r="Q55" s="10"/>
      <c r="R55" s="10"/>
      <c r="S55" s="35">
        <v>0</v>
      </c>
      <c r="T55" s="10" t="str">
        <f>"0,0000"</f>
        <v>0,0000</v>
      </c>
      <c r="U55" s="9" t="s">
        <v>1399</v>
      </c>
    </row>
    <row r="56" spans="1:21">
      <c r="B56" s="5" t="s">
        <v>250</v>
      </c>
    </row>
    <row r="57" spans="1:21" ht="16">
      <c r="A57" s="70" t="s">
        <v>212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</row>
    <row r="58" spans="1:21">
      <c r="A58" s="8" t="s">
        <v>249</v>
      </c>
      <c r="B58" s="7" t="s">
        <v>213</v>
      </c>
      <c r="C58" s="7" t="s">
        <v>214</v>
      </c>
      <c r="D58" s="7" t="s">
        <v>215</v>
      </c>
      <c r="E58" s="7" t="s">
        <v>1435</v>
      </c>
      <c r="F58" s="7" t="s">
        <v>16</v>
      </c>
      <c r="G58" s="21" t="s">
        <v>66</v>
      </c>
      <c r="H58" s="21" t="s">
        <v>98</v>
      </c>
      <c r="I58" s="21" t="s">
        <v>67</v>
      </c>
      <c r="J58" s="8"/>
      <c r="K58" s="21" t="s">
        <v>40</v>
      </c>
      <c r="L58" s="21" t="s">
        <v>216</v>
      </c>
      <c r="M58" s="21" t="s">
        <v>43</v>
      </c>
      <c r="N58" s="8"/>
      <c r="O58" s="21" t="s">
        <v>63</v>
      </c>
      <c r="P58" s="21" t="s">
        <v>93</v>
      </c>
      <c r="Q58" s="21" t="s">
        <v>94</v>
      </c>
      <c r="R58" s="8"/>
      <c r="S58" s="33" t="str">
        <f>"745,0"</f>
        <v>745,0</v>
      </c>
      <c r="T58" s="8" t="str">
        <f>"425,0970"</f>
        <v>425,0970</v>
      </c>
      <c r="U58" s="7" t="s">
        <v>1400</v>
      </c>
    </row>
    <row r="59" spans="1:21">
      <c r="A59" s="14" t="s">
        <v>252</v>
      </c>
      <c r="B59" s="13" t="s">
        <v>217</v>
      </c>
      <c r="C59" s="13" t="s">
        <v>218</v>
      </c>
      <c r="D59" s="13" t="s">
        <v>219</v>
      </c>
      <c r="E59" s="13" t="s">
        <v>1435</v>
      </c>
      <c r="F59" s="13" t="s">
        <v>220</v>
      </c>
      <c r="G59" s="26" t="s">
        <v>92</v>
      </c>
      <c r="H59" s="26" t="s">
        <v>98</v>
      </c>
      <c r="I59" s="26" t="s">
        <v>67</v>
      </c>
      <c r="J59" s="14"/>
      <c r="K59" s="26" t="s">
        <v>126</v>
      </c>
      <c r="L59" s="26" t="s">
        <v>40</v>
      </c>
      <c r="M59" s="26" t="s">
        <v>72</v>
      </c>
      <c r="N59" s="14"/>
      <c r="O59" s="26" t="s">
        <v>109</v>
      </c>
      <c r="P59" s="26" t="s">
        <v>110</v>
      </c>
      <c r="Q59" s="27" t="s">
        <v>221</v>
      </c>
      <c r="R59" s="14"/>
      <c r="S59" s="34" t="str">
        <f>"715,0"</f>
        <v>715,0</v>
      </c>
      <c r="T59" s="14" t="str">
        <f>"409,1945"</f>
        <v>409,1945</v>
      </c>
      <c r="U59" s="13" t="s">
        <v>80</v>
      </c>
    </row>
    <row r="60" spans="1:21">
      <c r="A60" s="10" t="s">
        <v>253</v>
      </c>
      <c r="B60" s="9" t="s">
        <v>222</v>
      </c>
      <c r="C60" s="9" t="s">
        <v>223</v>
      </c>
      <c r="D60" s="9" t="s">
        <v>224</v>
      </c>
      <c r="E60" s="9" t="s">
        <v>1435</v>
      </c>
      <c r="F60" s="9" t="s">
        <v>225</v>
      </c>
      <c r="G60" s="22" t="s">
        <v>56</v>
      </c>
      <c r="H60" s="22" t="s">
        <v>85</v>
      </c>
      <c r="I60" s="23" t="s">
        <v>132</v>
      </c>
      <c r="J60" s="10"/>
      <c r="K60" s="22" t="s">
        <v>77</v>
      </c>
      <c r="L60" s="22" t="s">
        <v>38</v>
      </c>
      <c r="M60" s="23" t="s">
        <v>52</v>
      </c>
      <c r="N60" s="10"/>
      <c r="O60" s="22" t="s">
        <v>79</v>
      </c>
      <c r="P60" s="22" t="s">
        <v>91</v>
      </c>
      <c r="Q60" s="23" t="s">
        <v>92</v>
      </c>
      <c r="R60" s="10"/>
      <c r="S60" s="35" t="str">
        <f>"590,0"</f>
        <v>590,0</v>
      </c>
      <c r="T60" s="10" t="str">
        <f>"339,5450"</f>
        <v>339,5450</v>
      </c>
      <c r="U60" s="9" t="s">
        <v>226</v>
      </c>
    </row>
    <row r="61" spans="1:21">
      <c r="B61" s="5" t="s">
        <v>250</v>
      </c>
    </row>
    <row r="64" spans="1:21" ht="18">
      <c r="B64" s="15" t="s">
        <v>227</v>
      </c>
      <c r="C64" s="15"/>
    </row>
    <row r="65" spans="2:6" ht="16">
      <c r="B65" s="16" t="s">
        <v>239</v>
      </c>
      <c r="C65" s="16"/>
    </row>
    <row r="66" spans="2:6" ht="14">
      <c r="B66" s="17"/>
      <c r="C66" s="18" t="s">
        <v>229</v>
      </c>
    </row>
    <row r="67" spans="2:6" ht="14">
      <c r="B67" s="19" t="s">
        <v>230</v>
      </c>
      <c r="C67" s="19" t="s">
        <v>231</v>
      </c>
      <c r="D67" s="19" t="s">
        <v>1370</v>
      </c>
      <c r="E67" s="19" t="s">
        <v>233</v>
      </c>
      <c r="F67" s="19" t="s">
        <v>234</v>
      </c>
    </row>
    <row r="68" spans="2:6">
      <c r="B68" s="5" t="s">
        <v>158</v>
      </c>
      <c r="C68" s="5" t="s">
        <v>229</v>
      </c>
      <c r="D68" s="6" t="s">
        <v>240</v>
      </c>
      <c r="E68" s="6" t="s">
        <v>244</v>
      </c>
      <c r="F68" s="6" t="s">
        <v>245</v>
      </c>
    </row>
    <row r="69" spans="2:6">
      <c r="B69" s="5" t="s">
        <v>58</v>
      </c>
      <c r="C69" s="5" t="s">
        <v>229</v>
      </c>
      <c r="D69" s="6" t="s">
        <v>246</v>
      </c>
      <c r="E69" s="6" t="s">
        <v>247</v>
      </c>
      <c r="F69" s="6" t="s">
        <v>248</v>
      </c>
    </row>
    <row r="70" spans="2:6">
      <c r="B70" s="5" t="s">
        <v>152</v>
      </c>
      <c r="C70" s="5" t="s">
        <v>229</v>
      </c>
      <c r="D70" s="6" t="s">
        <v>240</v>
      </c>
      <c r="E70" s="6" t="s">
        <v>241</v>
      </c>
      <c r="F70" s="6" t="s">
        <v>242</v>
      </c>
    </row>
    <row r="71" spans="2:6">
      <c r="B71" s="5" t="s">
        <v>250</v>
      </c>
    </row>
  </sheetData>
  <mergeCells count="23">
    <mergeCell ref="A24:R24"/>
    <mergeCell ref="A29:R29"/>
    <mergeCell ref="A39:R39"/>
    <mergeCell ref="A51:R51"/>
    <mergeCell ref="A57:R57"/>
    <mergeCell ref="A5:R5"/>
    <mergeCell ref="A9:R9"/>
    <mergeCell ref="A12:R12"/>
    <mergeCell ref="A16:R16"/>
    <mergeCell ref="A19:R19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B3:B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31"/>
  <sheetViews>
    <sheetView workbookViewId="0">
      <selection activeCell="E30" sqref="E30"/>
    </sheetView>
  </sheetViews>
  <sheetFormatPr baseColWidth="10" defaultColWidth="9.1640625" defaultRowHeight="13"/>
  <cols>
    <col min="1" max="1" width="7.5" style="5" bestFit="1" customWidth="1"/>
    <col min="2" max="2" width="19.8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7.33203125" style="5" bestFit="1" customWidth="1"/>
    <col min="7" max="9" width="5.5" style="6" customWidth="1"/>
    <col min="10" max="10" width="4.83203125" style="6" customWidth="1"/>
    <col min="11" max="11" width="11.83203125" style="32" customWidth="1"/>
    <col min="12" max="12" width="8.5" style="6" bestFit="1" customWidth="1"/>
    <col min="13" max="13" width="17.5" style="5" bestFit="1" customWidth="1"/>
    <col min="14" max="16384" width="9.1640625" style="3"/>
  </cols>
  <sheetData>
    <row r="1" spans="1:13" s="2" customFormat="1" ht="29" customHeight="1">
      <c r="A1" s="57" t="s">
        <v>1416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1430</v>
      </c>
      <c r="B3" s="77" t="s">
        <v>0</v>
      </c>
      <c r="C3" s="67" t="s">
        <v>1432</v>
      </c>
      <c r="D3" s="67" t="s">
        <v>8</v>
      </c>
      <c r="E3" s="69" t="s">
        <v>1433</v>
      </c>
      <c r="F3" s="69" t="s">
        <v>5</v>
      </c>
      <c r="G3" s="69" t="s">
        <v>10</v>
      </c>
      <c r="H3" s="69"/>
      <c r="I3" s="69"/>
      <c r="J3" s="69"/>
      <c r="K3" s="71" t="s">
        <v>692</v>
      </c>
      <c r="L3" s="69" t="s">
        <v>3</v>
      </c>
      <c r="M3" s="73" t="s">
        <v>2</v>
      </c>
    </row>
    <row r="4" spans="1:13" s="1" customFormat="1" ht="21" customHeight="1" thickBot="1">
      <c r="A4" s="66"/>
      <c r="B4" s="78"/>
      <c r="C4" s="68"/>
      <c r="D4" s="68"/>
      <c r="E4" s="68"/>
      <c r="F4" s="68"/>
      <c r="G4" s="4">
        <v>1</v>
      </c>
      <c r="H4" s="4">
        <v>2</v>
      </c>
      <c r="I4" s="4">
        <v>3</v>
      </c>
      <c r="J4" s="4" t="s">
        <v>4</v>
      </c>
      <c r="K4" s="72"/>
      <c r="L4" s="68"/>
      <c r="M4" s="74"/>
    </row>
    <row r="5" spans="1:13" ht="16">
      <c r="A5" s="75" t="s">
        <v>68</v>
      </c>
      <c r="B5" s="75"/>
      <c r="C5" s="76"/>
      <c r="D5" s="76"/>
      <c r="E5" s="76"/>
      <c r="F5" s="76"/>
      <c r="G5" s="76"/>
      <c r="H5" s="76"/>
      <c r="I5" s="76"/>
      <c r="J5" s="76"/>
    </row>
    <row r="6" spans="1:13">
      <c r="A6" s="8" t="s">
        <v>249</v>
      </c>
      <c r="B6" s="7" t="s">
        <v>1089</v>
      </c>
      <c r="C6" s="7" t="s">
        <v>1090</v>
      </c>
      <c r="D6" s="7" t="s">
        <v>382</v>
      </c>
      <c r="E6" s="7" t="s">
        <v>1435</v>
      </c>
      <c r="F6" s="7" t="s">
        <v>1369</v>
      </c>
      <c r="G6" s="21" t="s">
        <v>52</v>
      </c>
      <c r="H6" s="21" t="s">
        <v>72</v>
      </c>
      <c r="I6" s="21" t="s">
        <v>73</v>
      </c>
      <c r="J6" s="8"/>
      <c r="K6" s="33" t="str">
        <f>"187,5"</f>
        <v>187,5</v>
      </c>
      <c r="L6" s="8" t="str">
        <f>"165,4969"</f>
        <v>165,4969</v>
      </c>
      <c r="M6" s="7" t="s">
        <v>1091</v>
      </c>
    </row>
    <row r="7" spans="1:13">
      <c r="A7" s="10" t="s">
        <v>252</v>
      </c>
      <c r="B7" s="9" t="s">
        <v>1092</v>
      </c>
      <c r="C7" s="9" t="s">
        <v>1093</v>
      </c>
      <c r="D7" s="9" t="s">
        <v>731</v>
      </c>
      <c r="E7" s="9" t="s">
        <v>1435</v>
      </c>
      <c r="F7" s="9" t="s">
        <v>1369</v>
      </c>
      <c r="G7" s="22" t="s">
        <v>22</v>
      </c>
      <c r="H7" s="22" t="s">
        <v>23</v>
      </c>
      <c r="I7" s="22" t="s">
        <v>65</v>
      </c>
      <c r="J7" s="10"/>
      <c r="K7" s="35" t="str">
        <f>"130,0"</f>
        <v>130,0</v>
      </c>
      <c r="L7" s="10" t="str">
        <f>"109,4795"</f>
        <v>109,4795</v>
      </c>
      <c r="M7" s="9" t="s">
        <v>1094</v>
      </c>
    </row>
    <row r="8" spans="1:13">
      <c r="B8" s="5" t="s">
        <v>250</v>
      </c>
    </row>
    <row r="9" spans="1:13" ht="16">
      <c r="A9" s="70" t="s">
        <v>34</v>
      </c>
      <c r="B9" s="70"/>
      <c r="C9" s="70"/>
      <c r="D9" s="70"/>
      <c r="E9" s="70"/>
      <c r="F9" s="70"/>
      <c r="G9" s="70"/>
      <c r="H9" s="70"/>
      <c r="I9" s="70"/>
      <c r="J9" s="70"/>
    </row>
    <row r="10" spans="1:13">
      <c r="A10" s="12" t="s">
        <v>249</v>
      </c>
      <c r="B10" s="11" t="s">
        <v>1095</v>
      </c>
      <c r="C10" s="11" t="s">
        <v>1096</v>
      </c>
      <c r="D10" s="11" t="s">
        <v>1097</v>
      </c>
      <c r="E10" s="11" t="s">
        <v>1435</v>
      </c>
      <c r="F10" s="11" t="s">
        <v>662</v>
      </c>
      <c r="G10" s="24" t="s">
        <v>109</v>
      </c>
      <c r="H10" s="25" t="s">
        <v>64</v>
      </c>
      <c r="I10" s="25" t="s">
        <v>64</v>
      </c>
      <c r="J10" s="12"/>
      <c r="K10" s="36" t="str">
        <f>"265,0"</f>
        <v>265,0</v>
      </c>
      <c r="L10" s="12" t="str">
        <f>"172,7402"</f>
        <v>172,7402</v>
      </c>
      <c r="M10" s="11"/>
    </row>
    <row r="11" spans="1:13">
      <c r="B11" s="5" t="s">
        <v>250</v>
      </c>
    </row>
    <row r="12" spans="1:13" ht="16">
      <c r="A12" s="70" t="s">
        <v>105</v>
      </c>
      <c r="B12" s="70"/>
      <c r="C12" s="70"/>
      <c r="D12" s="70"/>
      <c r="E12" s="70"/>
      <c r="F12" s="70"/>
      <c r="G12" s="70"/>
      <c r="H12" s="70"/>
      <c r="I12" s="70"/>
      <c r="J12" s="70"/>
    </row>
    <row r="13" spans="1:13">
      <c r="A13" s="12" t="s">
        <v>251</v>
      </c>
      <c r="B13" s="11" t="s">
        <v>1037</v>
      </c>
      <c r="C13" s="11" t="s">
        <v>1038</v>
      </c>
      <c r="D13" s="11" t="s">
        <v>123</v>
      </c>
      <c r="E13" s="11" t="s">
        <v>1435</v>
      </c>
      <c r="F13" s="11" t="s">
        <v>1039</v>
      </c>
      <c r="G13" s="25" t="s">
        <v>120</v>
      </c>
      <c r="H13" s="25" t="s">
        <v>162</v>
      </c>
      <c r="I13" s="25" t="s">
        <v>1010</v>
      </c>
      <c r="J13" s="12"/>
      <c r="K13" s="36">
        <v>0</v>
      </c>
      <c r="L13" s="12" t="str">
        <f>"0,0000"</f>
        <v>0,0000</v>
      </c>
      <c r="M13" s="11" t="s">
        <v>1041</v>
      </c>
    </row>
    <row r="14" spans="1:13">
      <c r="B14" s="5" t="s">
        <v>250</v>
      </c>
    </row>
    <row r="15" spans="1:13" ht="16">
      <c r="A15" s="70" t="s">
        <v>151</v>
      </c>
      <c r="B15" s="70"/>
      <c r="C15" s="70"/>
      <c r="D15" s="70"/>
      <c r="E15" s="70"/>
      <c r="F15" s="70"/>
      <c r="G15" s="70"/>
      <c r="H15" s="70"/>
      <c r="I15" s="70"/>
      <c r="J15" s="70"/>
    </row>
    <row r="16" spans="1:13">
      <c r="A16" s="8" t="s">
        <v>249</v>
      </c>
      <c r="B16" s="7" t="s">
        <v>1098</v>
      </c>
      <c r="C16" s="7" t="s">
        <v>1099</v>
      </c>
      <c r="D16" s="7" t="s">
        <v>1100</v>
      </c>
      <c r="E16" s="7" t="s">
        <v>1435</v>
      </c>
      <c r="F16" s="7" t="s">
        <v>1262</v>
      </c>
      <c r="G16" s="20" t="s">
        <v>112</v>
      </c>
      <c r="H16" s="21" t="s">
        <v>1101</v>
      </c>
      <c r="I16" s="20" t="s">
        <v>1102</v>
      </c>
      <c r="J16" s="8"/>
      <c r="K16" s="33" t="str">
        <f>"360,0"</f>
        <v>360,0</v>
      </c>
      <c r="L16" s="8" t="str">
        <f>"212,2740"</f>
        <v>212,2740</v>
      </c>
      <c r="M16" s="7" t="s">
        <v>1103</v>
      </c>
    </row>
    <row r="17" spans="1:13">
      <c r="A17" s="14" t="s">
        <v>252</v>
      </c>
      <c r="B17" s="13" t="s">
        <v>1051</v>
      </c>
      <c r="C17" s="13" t="s">
        <v>1052</v>
      </c>
      <c r="D17" s="13" t="s">
        <v>174</v>
      </c>
      <c r="E17" s="13" t="s">
        <v>1435</v>
      </c>
      <c r="F17" s="13" t="s">
        <v>1053</v>
      </c>
      <c r="G17" s="26" t="s">
        <v>504</v>
      </c>
      <c r="H17" s="27" t="s">
        <v>1104</v>
      </c>
      <c r="I17" s="26" t="s">
        <v>1104</v>
      </c>
      <c r="J17" s="14"/>
      <c r="K17" s="34" t="str">
        <f>"352,5"</f>
        <v>352,5</v>
      </c>
      <c r="L17" s="14" t="str">
        <f>"206,0539"</f>
        <v>206,0539</v>
      </c>
      <c r="M17" s="13"/>
    </row>
    <row r="18" spans="1:13">
      <c r="A18" s="14" t="s">
        <v>253</v>
      </c>
      <c r="B18" s="13" t="s">
        <v>1047</v>
      </c>
      <c r="C18" s="13" t="s">
        <v>1048</v>
      </c>
      <c r="D18" s="13" t="s">
        <v>1049</v>
      </c>
      <c r="E18" s="13" t="s">
        <v>1435</v>
      </c>
      <c r="F18" s="13" t="s">
        <v>1050</v>
      </c>
      <c r="G18" s="27" t="s">
        <v>112</v>
      </c>
      <c r="H18" s="26" t="s">
        <v>112</v>
      </c>
      <c r="I18" s="26" t="s">
        <v>510</v>
      </c>
      <c r="J18" s="14"/>
      <c r="K18" s="34" t="str">
        <f>"330,0"</f>
        <v>330,0</v>
      </c>
      <c r="L18" s="14" t="str">
        <f>"197,6700"</f>
        <v>197,6700</v>
      </c>
      <c r="M18" s="13"/>
    </row>
    <row r="19" spans="1:13">
      <c r="A19" s="14" t="s">
        <v>251</v>
      </c>
      <c r="B19" s="13" t="s">
        <v>1105</v>
      </c>
      <c r="C19" s="13" t="s">
        <v>1106</v>
      </c>
      <c r="D19" s="13" t="s">
        <v>639</v>
      </c>
      <c r="E19" s="13" t="s">
        <v>1435</v>
      </c>
      <c r="F19" s="13" t="s">
        <v>191</v>
      </c>
      <c r="G19" s="27" t="s">
        <v>504</v>
      </c>
      <c r="H19" s="27" t="s">
        <v>1107</v>
      </c>
      <c r="I19" s="27" t="s">
        <v>1107</v>
      </c>
      <c r="J19" s="14"/>
      <c r="K19" s="34">
        <v>0</v>
      </c>
      <c r="L19" s="14" t="str">
        <f>"0,0000"</f>
        <v>0,0000</v>
      </c>
      <c r="M19" s="13" t="s">
        <v>1108</v>
      </c>
    </row>
    <row r="20" spans="1:13">
      <c r="A20" s="10" t="s">
        <v>251</v>
      </c>
      <c r="B20" s="9" t="s">
        <v>1105</v>
      </c>
      <c r="C20" s="9" t="s">
        <v>1347</v>
      </c>
      <c r="D20" s="9" t="s">
        <v>639</v>
      </c>
      <c r="E20" s="9" t="s">
        <v>1434</v>
      </c>
      <c r="F20" s="9" t="s">
        <v>191</v>
      </c>
      <c r="G20" s="23" t="s">
        <v>504</v>
      </c>
      <c r="H20" s="23" t="s">
        <v>1107</v>
      </c>
      <c r="I20" s="23" t="s">
        <v>1107</v>
      </c>
      <c r="J20" s="10"/>
      <c r="K20" s="35">
        <v>0</v>
      </c>
      <c r="L20" s="10" t="str">
        <f>"0,0000"</f>
        <v>0,0000</v>
      </c>
      <c r="M20" s="9" t="s">
        <v>1108</v>
      </c>
    </row>
    <row r="21" spans="1:13">
      <c r="B21" s="5" t="s">
        <v>250</v>
      </c>
    </row>
    <row r="22" spans="1:13" ht="16">
      <c r="A22" s="70" t="s">
        <v>212</v>
      </c>
      <c r="B22" s="70"/>
      <c r="C22" s="70"/>
      <c r="D22" s="70"/>
      <c r="E22" s="70"/>
      <c r="F22" s="70"/>
      <c r="G22" s="70"/>
      <c r="H22" s="70"/>
      <c r="I22" s="70"/>
      <c r="J22" s="70"/>
    </row>
    <row r="23" spans="1:13">
      <c r="A23" s="8" t="s">
        <v>249</v>
      </c>
      <c r="B23" s="7" t="s">
        <v>1059</v>
      </c>
      <c r="C23" s="7" t="s">
        <v>1060</v>
      </c>
      <c r="D23" s="7" t="s">
        <v>1061</v>
      </c>
      <c r="E23" s="7" t="s">
        <v>1435</v>
      </c>
      <c r="F23" s="7" t="s">
        <v>898</v>
      </c>
      <c r="G23" s="21" t="s">
        <v>1102</v>
      </c>
      <c r="H23" s="20" t="s">
        <v>514</v>
      </c>
      <c r="I23" s="20" t="s">
        <v>1109</v>
      </c>
      <c r="J23" s="8"/>
      <c r="K23" s="33" t="str">
        <f>"400,0"</f>
        <v>400,0</v>
      </c>
      <c r="L23" s="8" t="str">
        <f>"221,1600"</f>
        <v>221,1600</v>
      </c>
      <c r="M23" s="7"/>
    </row>
    <row r="24" spans="1:13">
      <c r="A24" s="14" t="s">
        <v>251</v>
      </c>
      <c r="B24" s="13" t="s">
        <v>1110</v>
      </c>
      <c r="C24" s="13" t="s">
        <v>1111</v>
      </c>
      <c r="D24" s="13" t="s">
        <v>1112</v>
      </c>
      <c r="E24" s="13" t="s">
        <v>1435</v>
      </c>
      <c r="F24" s="13" t="s">
        <v>875</v>
      </c>
      <c r="G24" s="27" t="s">
        <v>1011</v>
      </c>
      <c r="H24" s="27" t="s">
        <v>1102</v>
      </c>
      <c r="I24" s="27" t="s">
        <v>1102</v>
      </c>
      <c r="J24" s="14"/>
      <c r="K24" s="34">
        <v>0</v>
      </c>
      <c r="L24" s="14" t="str">
        <f>"0,0000"</f>
        <v>0,0000</v>
      </c>
      <c r="M24" s="13"/>
    </row>
    <row r="25" spans="1:13">
      <c r="A25" s="14" t="s">
        <v>249</v>
      </c>
      <c r="B25" s="13" t="s">
        <v>1059</v>
      </c>
      <c r="C25" s="13" t="s">
        <v>1343</v>
      </c>
      <c r="D25" s="13" t="s">
        <v>1061</v>
      </c>
      <c r="E25" s="13" t="s">
        <v>1434</v>
      </c>
      <c r="F25" s="13" t="s">
        <v>898</v>
      </c>
      <c r="G25" s="26" t="s">
        <v>1102</v>
      </c>
      <c r="H25" s="27" t="s">
        <v>514</v>
      </c>
      <c r="I25" s="27" t="s">
        <v>1109</v>
      </c>
      <c r="J25" s="14"/>
      <c r="K25" s="34" t="str">
        <f>"400,0"</f>
        <v>400,0</v>
      </c>
      <c r="L25" s="14" t="str">
        <f>"223,3716"</f>
        <v>223,3716</v>
      </c>
      <c r="M25" s="13"/>
    </row>
    <row r="26" spans="1:13">
      <c r="A26" s="10" t="s">
        <v>252</v>
      </c>
      <c r="B26" s="9" t="s">
        <v>902</v>
      </c>
      <c r="C26" s="9" t="s">
        <v>1348</v>
      </c>
      <c r="D26" s="9" t="s">
        <v>903</v>
      </c>
      <c r="E26" s="9" t="s">
        <v>1434</v>
      </c>
      <c r="F26" s="9" t="s">
        <v>601</v>
      </c>
      <c r="G26" s="22" t="s">
        <v>98</v>
      </c>
      <c r="H26" s="22" t="s">
        <v>63</v>
      </c>
      <c r="I26" s="22" t="s">
        <v>94</v>
      </c>
      <c r="J26" s="10"/>
      <c r="K26" s="35" t="str">
        <f>"300,0"</f>
        <v>300,0</v>
      </c>
      <c r="L26" s="10" t="str">
        <f>"179,5850"</f>
        <v>179,5850</v>
      </c>
      <c r="M26" s="30" t="s">
        <v>1260</v>
      </c>
    </row>
    <row r="27" spans="1:13">
      <c r="B27" s="5" t="s">
        <v>250</v>
      </c>
    </row>
    <row r="28" spans="1:13" ht="16">
      <c r="A28" s="70" t="s">
        <v>1065</v>
      </c>
      <c r="B28" s="70"/>
      <c r="C28" s="70"/>
      <c r="D28" s="70"/>
      <c r="E28" s="70"/>
      <c r="F28" s="70"/>
      <c r="G28" s="70"/>
      <c r="H28" s="70"/>
      <c r="I28" s="70"/>
      <c r="J28" s="70"/>
    </row>
    <row r="29" spans="1:13">
      <c r="A29" s="12" t="s">
        <v>249</v>
      </c>
      <c r="B29" s="11" t="s">
        <v>1113</v>
      </c>
      <c r="C29" s="11" t="s">
        <v>1114</v>
      </c>
      <c r="D29" s="11" t="s">
        <v>1115</v>
      </c>
      <c r="E29" s="11" t="s">
        <v>1435</v>
      </c>
      <c r="F29" s="11" t="s">
        <v>1039</v>
      </c>
      <c r="G29" s="25" t="s">
        <v>1116</v>
      </c>
      <c r="H29" s="25" t="s">
        <v>1116</v>
      </c>
      <c r="I29" s="24" t="s">
        <v>1116</v>
      </c>
      <c r="J29" s="12"/>
      <c r="K29" s="36" t="str">
        <f>"415,0"</f>
        <v>415,0</v>
      </c>
      <c r="L29" s="12" t="str">
        <f>"217,3666"</f>
        <v>217,3666</v>
      </c>
      <c r="M29" s="11"/>
    </row>
    <row r="30" spans="1:13">
      <c r="B30" s="5" t="s">
        <v>250</v>
      </c>
    </row>
    <row r="31" spans="1:13">
      <c r="B31" s="5" t="s">
        <v>250</v>
      </c>
    </row>
  </sheetData>
  <mergeCells count="17">
    <mergeCell ref="A28:J28"/>
    <mergeCell ref="A5:J5"/>
    <mergeCell ref="A9:J9"/>
    <mergeCell ref="A12:J12"/>
    <mergeCell ref="A15:J15"/>
    <mergeCell ref="A22:J22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workbookViewId="0">
      <selection activeCell="E35" sqref="E35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7.6640625" style="5" bestFit="1" customWidth="1"/>
    <col min="4" max="4" width="21.5" style="5" bestFit="1" customWidth="1"/>
    <col min="5" max="5" width="10.5" style="5" bestFit="1" customWidth="1"/>
    <col min="6" max="6" width="28.5" style="5" bestFit="1" customWidth="1"/>
    <col min="7" max="9" width="5.5" style="6" customWidth="1"/>
    <col min="10" max="10" width="4.83203125" style="6" customWidth="1"/>
    <col min="11" max="11" width="7.83203125" style="6" bestFit="1" customWidth="1"/>
    <col min="12" max="12" width="8.5" style="6" bestFit="1" customWidth="1"/>
    <col min="13" max="13" width="20" style="5" customWidth="1"/>
    <col min="14" max="16384" width="9.1640625" style="3"/>
  </cols>
  <sheetData>
    <row r="1" spans="1:13" s="2" customFormat="1" ht="29" customHeight="1">
      <c r="A1" s="57" t="s">
        <v>1263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1430</v>
      </c>
      <c r="B3" s="77" t="s">
        <v>0</v>
      </c>
      <c r="C3" s="67" t="s">
        <v>1432</v>
      </c>
      <c r="D3" s="67" t="s">
        <v>8</v>
      </c>
      <c r="E3" s="69" t="s">
        <v>1433</v>
      </c>
      <c r="F3" s="69" t="s">
        <v>5</v>
      </c>
      <c r="G3" s="69" t="s">
        <v>10</v>
      </c>
      <c r="H3" s="69"/>
      <c r="I3" s="69"/>
      <c r="J3" s="69"/>
      <c r="K3" s="69" t="s">
        <v>692</v>
      </c>
      <c r="L3" s="69" t="s">
        <v>3</v>
      </c>
      <c r="M3" s="73" t="s">
        <v>2</v>
      </c>
    </row>
    <row r="4" spans="1:13" s="1" customFormat="1" ht="21" customHeight="1" thickBot="1">
      <c r="A4" s="66"/>
      <c r="B4" s="78"/>
      <c r="C4" s="68"/>
      <c r="D4" s="68"/>
      <c r="E4" s="68"/>
      <c r="F4" s="68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74"/>
    </row>
    <row r="5" spans="1:13" ht="16">
      <c r="A5" s="75" t="s">
        <v>12</v>
      </c>
      <c r="B5" s="75"/>
      <c r="C5" s="76"/>
      <c r="D5" s="76"/>
      <c r="E5" s="76"/>
      <c r="F5" s="76"/>
      <c r="G5" s="76"/>
      <c r="H5" s="76"/>
      <c r="I5" s="76"/>
      <c r="J5" s="76"/>
    </row>
    <row r="6" spans="1:13">
      <c r="A6" s="12" t="s">
        <v>249</v>
      </c>
      <c r="B6" s="11" t="s">
        <v>1208</v>
      </c>
      <c r="C6" s="11" t="s">
        <v>1209</v>
      </c>
      <c r="D6" s="11" t="s">
        <v>1210</v>
      </c>
      <c r="E6" s="11" t="s">
        <v>1440</v>
      </c>
      <c r="F6" s="11" t="s">
        <v>387</v>
      </c>
      <c r="G6" s="24" t="s">
        <v>275</v>
      </c>
      <c r="H6" s="24" t="s">
        <v>276</v>
      </c>
      <c r="I6" s="24" t="s">
        <v>277</v>
      </c>
      <c r="J6" s="12"/>
      <c r="K6" s="12" t="str">
        <f>"45,0"</f>
        <v>45,0</v>
      </c>
      <c r="L6" s="12" t="str">
        <f>"56,3564"</f>
        <v>56,3564</v>
      </c>
      <c r="M6" s="11" t="s">
        <v>1206</v>
      </c>
    </row>
    <row r="7" spans="1:13">
      <c r="B7" s="5" t="s">
        <v>250</v>
      </c>
    </row>
    <row r="8" spans="1:13" ht="16">
      <c r="A8" s="70" t="s">
        <v>68</v>
      </c>
      <c r="B8" s="70"/>
      <c r="C8" s="70"/>
      <c r="D8" s="70"/>
      <c r="E8" s="70"/>
      <c r="F8" s="70"/>
      <c r="G8" s="70"/>
      <c r="H8" s="70"/>
      <c r="I8" s="70"/>
      <c r="J8" s="70"/>
    </row>
    <row r="9" spans="1:13">
      <c r="A9" s="12" t="s">
        <v>249</v>
      </c>
      <c r="B9" s="11" t="s">
        <v>1211</v>
      </c>
      <c r="C9" s="11" t="s">
        <v>1212</v>
      </c>
      <c r="D9" s="11" t="s">
        <v>1213</v>
      </c>
      <c r="E9" s="11" t="s">
        <v>1438</v>
      </c>
      <c r="F9" s="11" t="s">
        <v>387</v>
      </c>
      <c r="G9" s="24" t="s">
        <v>698</v>
      </c>
      <c r="H9" s="25" t="s">
        <v>309</v>
      </c>
      <c r="I9" s="25" t="s">
        <v>309</v>
      </c>
      <c r="J9" s="12"/>
      <c r="K9" s="12" t="str">
        <f>"57,5"</f>
        <v>57,5</v>
      </c>
      <c r="L9" s="12" t="str">
        <f>"63,2984"</f>
        <v>63,2984</v>
      </c>
      <c r="M9" s="11" t="s">
        <v>1214</v>
      </c>
    </row>
    <row r="10" spans="1:13">
      <c r="B10" s="5" t="s">
        <v>250</v>
      </c>
    </row>
    <row r="11" spans="1:13" ht="16">
      <c r="A11" s="70" t="s">
        <v>34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3">
      <c r="A12" s="12" t="s">
        <v>249</v>
      </c>
      <c r="B12" s="11" t="s">
        <v>1215</v>
      </c>
      <c r="C12" s="11" t="s">
        <v>1216</v>
      </c>
      <c r="D12" s="11" t="s">
        <v>600</v>
      </c>
      <c r="E12" s="11" t="s">
        <v>1441</v>
      </c>
      <c r="F12" s="11" t="s">
        <v>1217</v>
      </c>
      <c r="G12" s="24" t="s">
        <v>308</v>
      </c>
      <c r="H12" s="25" t="s">
        <v>266</v>
      </c>
      <c r="I12" s="25" t="s">
        <v>266</v>
      </c>
      <c r="J12" s="12"/>
      <c r="K12" s="12" t="str">
        <f>"55,0"</f>
        <v>55,0</v>
      </c>
      <c r="L12" s="12" t="str">
        <f>"77,0081"</f>
        <v>77,0081</v>
      </c>
      <c r="M12" s="11" t="s">
        <v>1214</v>
      </c>
    </row>
    <row r="13" spans="1:13">
      <c r="B13" s="5" t="s">
        <v>250</v>
      </c>
    </row>
    <row r="14" spans="1:13" ht="16">
      <c r="A14" s="70" t="s">
        <v>105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1:13">
      <c r="A15" s="12" t="s">
        <v>249</v>
      </c>
      <c r="B15" s="11" t="s">
        <v>1218</v>
      </c>
      <c r="C15" s="11" t="s">
        <v>1219</v>
      </c>
      <c r="D15" s="11" t="s">
        <v>448</v>
      </c>
      <c r="E15" s="11" t="s">
        <v>1440</v>
      </c>
      <c r="F15" s="11" t="s">
        <v>387</v>
      </c>
      <c r="G15" s="24" t="s">
        <v>293</v>
      </c>
      <c r="H15" s="24" t="s">
        <v>273</v>
      </c>
      <c r="I15" s="24" t="s">
        <v>298</v>
      </c>
      <c r="J15" s="12"/>
      <c r="K15" s="12" t="str">
        <f>"87,5"</f>
        <v>87,5</v>
      </c>
      <c r="L15" s="12" t="str">
        <f>"91,3242"</f>
        <v>91,3242</v>
      </c>
      <c r="M15" s="11" t="s">
        <v>1206</v>
      </c>
    </row>
    <row r="16" spans="1:13">
      <c r="B16" s="5" t="s">
        <v>250</v>
      </c>
    </row>
    <row r="17" spans="1:13" ht="16">
      <c r="A17" s="70" t="s">
        <v>68</v>
      </c>
      <c r="B17" s="70"/>
      <c r="C17" s="70"/>
      <c r="D17" s="70"/>
      <c r="E17" s="70"/>
      <c r="F17" s="70"/>
      <c r="G17" s="70"/>
      <c r="H17" s="70"/>
      <c r="I17" s="70"/>
      <c r="J17" s="70"/>
    </row>
    <row r="18" spans="1:13">
      <c r="A18" s="8" t="s">
        <v>249</v>
      </c>
      <c r="B18" s="7" t="s">
        <v>1220</v>
      </c>
      <c r="C18" s="7" t="s">
        <v>1349</v>
      </c>
      <c r="D18" s="7" t="s">
        <v>354</v>
      </c>
      <c r="E18" s="7" t="s">
        <v>1436</v>
      </c>
      <c r="F18" s="7" t="s">
        <v>1221</v>
      </c>
      <c r="G18" s="21" t="s">
        <v>83</v>
      </c>
      <c r="H18" s="21" t="s">
        <v>32</v>
      </c>
      <c r="I18" s="20" t="s">
        <v>343</v>
      </c>
      <c r="J18" s="8"/>
      <c r="K18" s="8" t="str">
        <f>"135,0"</f>
        <v>135,0</v>
      </c>
      <c r="L18" s="8" t="str">
        <f>"94,4663"</f>
        <v>94,4663</v>
      </c>
      <c r="M18" s="7" t="s">
        <v>1222</v>
      </c>
    </row>
    <row r="19" spans="1:13">
      <c r="A19" s="14" t="s">
        <v>249</v>
      </c>
      <c r="B19" s="13" t="s">
        <v>1223</v>
      </c>
      <c r="C19" s="13" t="s">
        <v>1224</v>
      </c>
      <c r="D19" s="13" t="s">
        <v>1225</v>
      </c>
      <c r="E19" s="13" t="s">
        <v>1435</v>
      </c>
      <c r="F19" s="13" t="s">
        <v>1217</v>
      </c>
      <c r="G19" s="27" t="s">
        <v>308</v>
      </c>
      <c r="H19" s="26" t="s">
        <v>308</v>
      </c>
      <c r="I19" s="27" t="s">
        <v>266</v>
      </c>
      <c r="J19" s="14"/>
      <c r="K19" s="14" t="str">
        <f>"55,0"</f>
        <v>55,0</v>
      </c>
      <c r="L19" s="14" t="str">
        <f>"40,9090"</f>
        <v>40,9090</v>
      </c>
      <c r="M19" s="13" t="s">
        <v>1206</v>
      </c>
    </row>
    <row r="20" spans="1:13">
      <c r="A20" s="14" t="s">
        <v>249</v>
      </c>
      <c r="B20" s="13" t="s">
        <v>1226</v>
      </c>
      <c r="C20" s="13" t="s">
        <v>1227</v>
      </c>
      <c r="D20" s="13" t="s">
        <v>1228</v>
      </c>
      <c r="E20" s="13" t="s">
        <v>1434</v>
      </c>
      <c r="F20" s="13" t="s">
        <v>1217</v>
      </c>
      <c r="G20" s="26" t="s">
        <v>20</v>
      </c>
      <c r="H20" s="27" t="s">
        <v>273</v>
      </c>
      <c r="I20" s="27" t="s">
        <v>273</v>
      </c>
      <c r="J20" s="14"/>
      <c r="K20" s="14" t="str">
        <f>"75,0"</f>
        <v>75,0</v>
      </c>
      <c r="L20" s="14" t="str">
        <f>"54,9920"</f>
        <v>54,9920</v>
      </c>
      <c r="M20" s="13" t="s">
        <v>1214</v>
      </c>
    </row>
    <row r="21" spans="1:13">
      <c r="A21" s="10" t="s">
        <v>249</v>
      </c>
      <c r="B21" s="9" t="s">
        <v>1229</v>
      </c>
      <c r="C21" s="9" t="s">
        <v>1230</v>
      </c>
      <c r="D21" s="9" t="s">
        <v>1231</v>
      </c>
      <c r="E21" s="9" t="s">
        <v>1440</v>
      </c>
      <c r="F21" s="9" t="s">
        <v>1217</v>
      </c>
      <c r="G21" s="22" t="s">
        <v>187</v>
      </c>
      <c r="H21" s="22" t="s">
        <v>17</v>
      </c>
      <c r="I21" s="22" t="s">
        <v>18</v>
      </c>
      <c r="J21" s="10"/>
      <c r="K21" s="10" t="str">
        <f>"105,0"</f>
        <v>105,0</v>
      </c>
      <c r="L21" s="10" t="str">
        <f>"104,0125"</f>
        <v>104,0125</v>
      </c>
      <c r="M21" s="9" t="s">
        <v>1206</v>
      </c>
    </row>
    <row r="22" spans="1:13">
      <c r="B22" s="5" t="s">
        <v>250</v>
      </c>
    </row>
    <row r="23" spans="1:13" ht="16">
      <c r="A23" s="70" t="s">
        <v>34</v>
      </c>
      <c r="B23" s="70"/>
      <c r="C23" s="70"/>
      <c r="D23" s="70"/>
      <c r="E23" s="70"/>
      <c r="F23" s="70"/>
      <c r="G23" s="70"/>
      <c r="H23" s="70"/>
      <c r="I23" s="70"/>
      <c r="J23" s="70"/>
    </row>
    <row r="24" spans="1:13">
      <c r="A24" s="8" t="s">
        <v>249</v>
      </c>
      <c r="B24" s="7" t="s">
        <v>1232</v>
      </c>
      <c r="C24" s="7" t="s">
        <v>1233</v>
      </c>
      <c r="D24" s="7" t="s">
        <v>102</v>
      </c>
      <c r="E24" s="7" t="s">
        <v>1440</v>
      </c>
      <c r="F24" s="7" t="s">
        <v>1217</v>
      </c>
      <c r="G24" s="21" t="s">
        <v>42</v>
      </c>
      <c r="H24" s="21" t="s">
        <v>187</v>
      </c>
      <c r="I24" s="21" t="s">
        <v>319</v>
      </c>
      <c r="J24" s="8"/>
      <c r="K24" s="8" t="str">
        <f>"97,5"</f>
        <v>97,5</v>
      </c>
      <c r="L24" s="8" t="str">
        <f>"95,4944"</f>
        <v>95,4944</v>
      </c>
      <c r="M24" s="7" t="s">
        <v>1206</v>
      </c>
    </row>
    <row r="25" spans="1:13">
      <c r="A25" s="10" t="s">
        <v>249</v>
      </c>
      <c r="B25" s="9" t="s">
        <v>1234</v>
      </c>
      <c r="C25" s="9" t="s">
        <v>1235</v>
      </c>
      <c r="D25" s="9" t="s">
        <v>1236</v>
      </c>
      <c r="E25" s="9" t="s">
        <v>1441</v>
      </c>
      <c r="F25" s="9" t="s">
        <v>1217</v>
      </c>
      <c r="G25" s="22" t="s">
        <v>285</v>
      </c>
      <c r="H25" s="22" t="s">
        <v>1130</v>
      </c>
      <c r="I25" s="23" t="s">
        <v>315</v>
      </c>
      <c r="J25" s="10"/>
      <c r="K25" s="10" t="str">
        <f>"32,5"</f>
        <v>32,5</v>
      </c>
      <c r="L25" s="10" t="str">
        <f>"45,1717"</f>
        <v>45,1717</v>
      </c>
      <c r="M25" s="9" t="s">
        <v>1214</v>
      </c>
    </row>
    <row r="26" spans="1:13">
      <c r="B26" s="5" t="s">
        <v>250</v>
      </c>
    </row>
    <row r="27" spans="1:13" ht="16">
      <c r="A27" s="70" t="s">
        <v>105</v>
      </c>
      <c r="B27" s="70"/>
      <c r="C27" s="70"/>
      <c r="D27" s="70"/>
      <c r="E27" s="70"/>
      <c r="F27" s="70"/>
      <c r="G27" s="70"/>
      <c r="H27" s="70"/>
      <c r="I27" s="70"/>
      <c r="J27" s="70"/>
    </row>
    <row r="28" spans="1:13">
      <c r="A28" s="12" t="s">
        <v>249</v>
      </c>
      <c r="B28" s="11" t="s">
        <v>1237</v>
      </c>
      <c r="C28" s="11" t="s">
        <v>1238</v>
      </c>
      <c r="D28" s="11" t="s">
        <v>1239</v>
      </c>
      <c r="E28" s="11" t="s">
        <v>1434</v>
      </c>
      <c r="F28" s="11" t="s">
        <v>1217</v>
      </c>
      <c r="G28" s="24" t="s">
        <v>42</v>
      </c>
      <c r="H28" s="24" t="s">
        <v>17</v>
      </c>
      <c r="I28" s="25" t="s">
        <v>19</v>
      </c>
      <c r="J28" s="12"/>
      <c r="K28" s="12" t="str">
        <f>"100,0"</f>
        <v>100,0</v>
      </c>
      <c r="L28" s="12" t="str">
        <f>"69,1000"</f>
        <v>69,1000</v>
      </c>
      <c r="M28" s="11" t="s">
        <v>1214</v>
      </c>
    </row>
    <row r="29" spans="1:13">
      <c r="B29" s="5" t="s">
        <v>250</v>
      </c>
    </row>
    <row r="30" spans="1:13" ht="16">
      <c r="A30" s="70" t="s">
        <v>151</v>
      </c>
      <c r="B30" s="70"/>
      <c r="C30" s="70"/>
      <c r="D30" s="70"/>
      <c r="E30" s="70"/>
      <c r="F30" s="70"/>
      <c r="G30" s="70"/>
      <c r="H30" s="70"/>
      <c r="I30" s="70"/>
      <c r="J30" s="70"/>
    </row>
    <row r="31" spans="1:13">
      <c r="A31" s="8" t="s">
        <v>249</v>
      </c>
      <c r="B31" s="7" t="s">
        <v>1240</v>
      </c>
      <c r="C31" s="7" t="s">
        <v>1241</v>
      </c>
      <c r="D31" s="7" t="s">
        <v>868</v>
      </c>
      <c r="E31" s="7" t="s">
        <v>1434</v>
      </c>
      <c r="F31" s="7" t="s">
        <v>1217</v>
      </c>
      <c r="G31" s="21" t="s">
        <v>274</v>
      </c>
      <c r="H31" s="20" t="s">
        <v>319</v>
      </c>
      <c r="I31" s="20" t="s">
        <v>319</v>
      </c>
      <c r="J31" s="8"/>
      <c r="K31" s="8" t="str">
        <f>"92,5"</f>
        <v>92,5</v>
      </c>
      <c r="L31" s="8" t="str">
        <f>"54,8078"</f>
        <v>54,8078</v>
      </c>
      <c r="M31" s="7" t="s">
        <v>1214</v>
      </c>
    </row>
    <row r="32" spans="1:13">
      <c r="A32" s="14" t="s">
        <v>249</v>
      </c>
      <c r="B32" s="13" t="s">
        <v>1242</v>
      </c>
      <c r="C32" s="13" t="s">
        <v>1243</v>
      </c>
      <c r="D32" s="13" t="s">
        <v>1244</v>
      </c>
      <c r="E32" s="13" t="s">
        <v>1438</v>
      </c>
      <c r="F32" s="13" t="s">
        <v>1217</v>
      </c>
      <c r="G32" s="26" t="s">
        <v>76</v>
      </c>
      <c r="H32" s="26" t="s">
        <v>267</v>
      </c>
      <c r="I32" s="27" t="s">
        <v>77</v>
      </c>
      <c r="J32" s="14"/>
      <c r="K32" s="14" t="str">
        <f>"152,5"</f>
        <v>152,5</v>
      </c>
      <c r="L32" s="14" t="str">
        <f>"104,4655"</f>
        <v>104,4655</v>
      </c>
      <c r="M32" s="13"/>
    </row>
    <row r="33" spans="1:13">
      <c r="A33" s="14" t="s">
        <v>249</v>
      </c>
      <c r="B33" s="13" t="s">
        <v>1245</v>
      </c>
      <c r="C33" s="13" t="s">
        <v>1246</v>
      </c>
      <c r="D33" s="13" t="s">
        <v>1247</v>
      </c>
      <c r="E33" s="13" t="s">
        <v>1440</v>
      </c>
      <c r="F33" s="13" t="s">
        <v>1248</v>
      </c>
      <c r="G33" s="26" t="s">
        <v>264</v>
      </c>
      <c r="H33" s="26" t="s">
        <v>265</v>
      </c>
      <c r="I33" s="26" t="s">
        <v>22</v>
      </c>
      <c r="J33" s="14"/>
      <c r="K33" s="14" t="str">
        <f>"120,0"</f>
        <v>120,0</v>
      </c>
      <c r="L33" s="14" t="str">
        <f>"106,5164"</f>
        <v>106,5164</v>
      </c>
      <c r="M33" s="13" t="s">
        <v>1206</v>
      </c>
    </row>
    <row r="34" spans="1:13">
      <c r="A34" s="10" t="s">
        <v>249</v>
      </c>
      <c r="B34" s="9" t="s">
        <v>1249</v>
      </c>
      <c r="C34" s="9" t="s">
        <v>1250</v>
      </c>
      <c r="D34" s="9" t="s">
        <v>1251</v>
      </c>
      <c r="E34" s="9" t="s">
        <v>1441</v>
      </c>
      <c r="F34" s="9" t="s">
        <v>1217</v>
      </c>
      <c r="G34" s="22" t="s">
        <v>30</v>
      </c>
      <c r="H34" s="22" t="s">
        <v>287</v>
      </c>
      <c r="I34" s="22" t="s">
        <v>21</v>
      </c>
      <c r="J34" s="10"/>
      <c r="K34" s="10" t="str">
        <f>"77,5"</f>
        <v>77,5</v>
      </c>
      <c r="L34" s="10" t="str">
        <f>"87,0014"</f>
        <v>87,0014</v>
      </c>
      <c r="M34" s="9" t="s">
        <v>1214</v>
      </c>
    </row>
    <row r="35" spans="1:13">
      <c r="B35" s="5" t="s">
        <v>250</v>
      </c>
    </row>
    <row r="38" spans="1:13" ht="18">
      <c r="B38" s="15" t="s">
        <v>227</v>
      </c>
      <c r="C38" s="15"/>
    </row>
    <row r="39" spans="1:13" ht="16">
      <c r="B39" s="16" t="s">
        <v>239</v>
      </c>
      <c r="C39" s="16"/>
    </row>
    <row r="40" spans="1:13" ht="14">
      <c r="B40" s="17"/>
      <c r="C40" s="18" t="s">
        <v>237</v>
      </c>
    </row>
    <row r="41" spans="1:13" ht="14">
      <c r="B41" s="19" t="s">
        <v>230</v>
      </c>
      <c r="C41" s="19" t="s">
        <v>231</v>
      </c>
      <c r="D41" s="19" t="s">
        <v>1370</v>
      </c>
      <c r="E41" s="19" t="s">
        <v>685</v>
      </c>
      <c r="F41" s="19" t="s">
        <v>1069</v>
      </c>
    </row>
    <row r="42" spans="1:13">
      <c r="B42" s="5" t="s">
        <v>1245</v>
      </c>
      <c r="C42" s="5" t="s">
        <v>1252</v>
      </c>
      <c r="D42" s="6" t="s">
        <v>240</v>
      </c>
      <c r="E42" s="6" t="s">
        <v>22</v>
      </c>
      <c r="F42" s="6" t="s">
        <v>1254</v>
      </c>
    </row>
    <row r="43" spans="1:13">
      <c r="B43" s="5" t="s">
        <v>1242</v>
      </c>
      <c r="C43" s="5" t="s">
        <v>1253</v>
      </c>
      <c r="D43" s="6" t="s">
        <v>240</v>
      </c>
      <c r="E43" s="6" t="s">
        <v>267</v>
      </c>
      <c r="F43" s="6" t="s">
        <v>1255</v>
      </c>
    </row>
    <row r="44" spans="1:13">
      <c r="B44" s="5" t="s">
        <v>1229</v>
      </c>
      <c r="C44" s="5" t="s">
        <v>1252</v>
      </c>
      <c r="D44" s="6" t="s">
        <v>243</v>
      </c>
      <c r="E44" s="6" t="s">
        <v>18</v>
      </c>
      <c r="F44" s="6" t="s">
        <v>1256</v>
      </c>
    </row>
    <row r="45" spans="1:13">
      <c r="B45" s="5" t="s">
        <v>250</v>
      </c>
    </row>
  </sheetData>
  <mergeCells count="19">
    <mergeCell ref="A30:J30"/>
    <mergeCell ref="B3:B4"/>
    <mergeCell ref="A8:J8"/>
    <mergeCell ref="A11:J11"/>
    <mergeCell ref="A14:J14"/>
    <mergeCell ref="A17:J17"/>
    <mergeCell ref="A23:J23"/>
    <mergeCell ref="A27:J27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75"/>
  <sheetViews>
    <sheetView topLeftCell="A24" workbookViewId="0">
      <selection activeCell="E58" sqref="E58"/>
    </sheetView>
  </sheetViews>
  <sheetFormatPr baseColWidth="10" defaultColWidth="9.1640625" defaultRowHeight="13"/>
  <cols>
    <col min="1" max="1" width="7.5" style="5" bestFit="1" customWidth="1"/>
    <col min="2" max="2" width="22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40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9.1640625" style="5" bestFit="1" customWidth="1"/>
    <col min="14" max="16384" width="9.1640625" style="3"/>
  </cols>
  <sheetData>
    <row r="1" spans="1:13" s="2" customFormat="1" ht="29" customHeight="1">
      <c r="A1" s="57" t="s">
        <v>1387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1430</v>
      </c>
      <c r="B3" s="77" t="s">
        <v>0</v>
      </c>
      <c r="C3" s="67" t="s">
        <v>1432</v>
      </c>
      <c r="D3" s="67" t="s">
        <v>8</v>
      </c>
      <c r="E3" s="69" t="s">
        <v>1433</v>
      </c>
      <c r="F3" s="69" t="s">
        <v>5</v>
      </c>
      <c r="G3" s="69" t="s">
        <v>11</v>
      </c>
      <c r="H3" s="69"/>
      <c r="I3" s="69"/>
      <c r="J3" s="69"/>
      <c r="K3" s="69" t="s">
        <v>692</v>
      </c>
      <c r="L3" s="69" t="s">
        <v>3</v>
      </c>
      <c r="M3" s="73" t="s">
        <v>2</v>
      </c>
    </row>
    <row r="4" spans="1:13" s="1" customFormat="1" ht="21" customHeight="1" thickBot="1">
      <c r="A4" s="66"/>
      <c r="B4" s="78"/>
      <c r="C4" s="68"/>
      <c r="D4" s="68"/>
      <c r="E4" s="68"/>
      <c r="F4" s="68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74"/>
    </row>
    <row r="5" spans="1:13" ht="16">
      <c r="A5" s="75" t="s">
        <v>259</v>
      </c>
      <c r="B5" s="75"/>
      <c r="C5" s="76"/>
      <c r="D5" s="76"/>
      <c r="E5" s="76"/>
      <c r="F5" s="76"/>
      <c r="G5" s="76"/>
      <c r="H5" s="76"/>
      <c r="I5" s="76"/>
      <c r="J5" s="76"/>
    </row>
    <row r="6" spans="1:13">
      <c r="A6" s="12" t="s">
        <v>249</v>
      </c>
      <c r="B6" s="11" t="s">
        <v>260</v>
      </c>
      <c r="C6" s="11" t="s">
        <v>261</v>
      </c>
      <c r="D6" s="11" t="s">
        <v>262</v>
      </c>
      <c r="E6" s="11" t="s">
        <v>1435</v>
      </c>
      <c r="F6" s="11" t="s">
        <v>263</v>
      </c>
      <c r="G6" s="24" t="s">
        <v>76</v>
      </c>
      <c r="H6" s="24" t="s">
        <v>267</v>
      </c>
      <c r="I6" s="25" t="s">
        <v>268</v>
      </c>
      <c r="J6" s="12"/>
      <c r="K6" s="12" t="str">
        <f>"152,5"</f>
        <v>152,5</v>
      </c>
      <c r="L6" s="12" t="str">
        <f>"204,1518"</f>
        <v>204,1518</v>
      </c>
      <c r="M6" s="11" t="s">
        <v>269</v>
      </c>
    </row>
    <row r="7" spans="1:13">
      <c r="B7" s="5" t="s">
        <v>250</v>
      </c>
    </row>
    <row r="8" spans="1:13" ht="16">
      <c r="A8" s="70" t="s">
        <v>289</v>
      </c>
      <c r="B8" s="70"/>
      <c r="C8" s="70"/>
      <c r="D8" s="70"/>
      <c r="E8" s="70"/>
      <c r="F8" s="70"/>
      <c r="G8" s="70"/>
      <c r="H8" s="70"/>
      <c r="I8" s="70"/>
      <c r="J8" s="70"/>
    </row>
    <row r="9" spans="1:13">
      <c r="A9" s="8" t="s">
        <v>249</v>
      </c>
      <c r="B9" s="7" t="s">
        <v>908</v>
      </c>
      <c r="C9" s="7" t="s">
        <v>909</v>
      </c>
      <c r="D9" s="7" t="s">
        <v>910</v>
      </c>
      <c r="E9" s="7" t="s">
        <v>1436</v>
      </c>
      <c r="F9" s="7" t="s">
        <v>572</v>
      </c>
      <c r="G9" s="21" t="s">
        <v>319</v>
      </c>
      <c r="H9" s="21" t="s">
        <v>421</v>
      </c>
      <c r="I9" s="21" t="s">
        <v>18</v>
      </c>
      <c r="J9" s="8"/>
      <c r="K9" s="8" t="str">
        <f>"105,0"</f>
        <v>105,0</v>
      </c>
      <c r="L9" s="8" t="str">
        <f>"133,8750"</f>
        <v>133,8750</v>
      </c>
      <c r="M9" s="7" t="s">
        <v>911</v>
      </c>
    </row>
    <row r="10" spans="1:13">
      <c r="A10" s="14" t="s">
        <v>249</v>
      </c>
      <c r="B10" s="13" t="s">
        <v>912</v>
      </c>
      <c r="C10" s="13" t="s">
        <v>913</v>
      </c>
      <c r="D10" s="13" t="s">
        <v>914</v>
      </c>
      <c r="E10" s="13" t="s">
        <v>1435</v>
      </c>
      <c r="F10" s="13" t="s">
        <v>191</v>
      </c>
      <c r="G10" s="26" t="s">
        <v>187</v>
      </c>
      <c r="H10" s="26" t="s">
        <v>421</v>
      </c>
      <c r="I10" s="26" t="s">
        <v>18</v>
      </c>
      <c r="J10" s="14"/>
      <c r="K10" s="14" t="str">
        <f>"105,0"</f>
        <v>105,0</v>
      </c>
      <c r="L10" s="14" t="str">
        <f>"132,4680"</f>
        <v>132,4680</v>
      </c>
      <c r="M10" s="13" t="s">
        <v>647</v>
      </c>
    </row>
    <row r="11" spans="1:13">
      <c r="A11" s="10" t="s">
        <v>252</v>
      </c>
      <c r="B11" s="9" t="s">
        <v>915</v>
      </c>
      <c r="C11" s="9" t="s">
        <v>916</v>
      </c>
      <c r="D11" s="9" t="s">
        <v>917</v>
      </c>
      <c r="E11" s="9" t="s">
        <v>1435</v>
      </c>
      <c r="F11" s="9" t="s">
        <v>191</v>
      </c>
      <c r="G11" s="22" t="s">
        <v>293</v>
      </c>
      <c r="H11" s="22" t="s">
        <v>298</v>
      </c>
      <c r="I11" s="22" t="s">
        <v>274</v>
      </c>
      <c r="J11" s="10"/>
      <c r="K11" s="10" t="str">
        <f>"92,5"</f>
        <v>92,5</v>
      </c>
      <c r="L11" s="10" t="str">
        <f>"117,5768"</f>
        <v>117,5768</v>
      </c>
      <c r="M11" s="9" t="s">
        <v>811</v>
      </c>
    </row>
    <row r="12" spans="1:13">
      <c r="B12" s="5" t="s">
        <v>250</v>
      </c>
    </row>
    <row r="13" spans="1:13" ht="16">
      <c r="A13" s="70" t="s">
        <v>311</v>
      </c>
      <c r="B13" s="70"/>
      <c r="C13" s="70"/>
      <c r="D13" s="70"/>
      <c r="E13" s="70"/>
      <c r="F13" s="70"/>
      <c r="G13" s="70"/>
      <c r="H13" s="70"/>
      <c r="I13" s="70"/>
      <c r="J13" s="70"/>
    </row>
    <row r="14" spans="1:13">
      <c r="A14" s="8" t="s">
        <v>249</v>
      </c>
      <c r="B14" s="7" t="s">
        <v>918</v>
      </c>
      <c r="C14" s="7" t="s">
        <v>919</v>
      </c>
      <c r="D14" s="7" t="s">
        <v>920</v>
      </c>
      <c r="E14" s="7" t="s">
        <v>1435</v>
      </c>
      <c r="F14" s="7" t="s">
        <v>445</v>
      </c>
      <c r="G14" s="21" t="s">
        <v>268</v>
      </c>
      <c r="H14" s="21" t="s">
        <v>38</v>
      </c>
      <c r="I14" s="20" t="s">
        <v>126</v>
      </c>
      <c r="J14" s="8"/>
      <c r="K14" s="8" t="str">
        <f>"165,0"</f>
        <v>165,0</v>
      </c>
      <c r="L14" s="8" t="str">
        <f>"194,4195"</f>
        <v>194,4195</v>
      </c>
      <c r="M14" s="7" t="s">
        <v>921</v>
      </c>
    </row>
    <row r="15" spans="1:13">
      <c r="A15" s="14" t="s">
        <v>252</v>
      </c>
      <c r="B15" s="13" t="s">
        <v>922</v>
      </c>
      <c r="C15" s="13" t="s">
        <v>923</v>
      </c>
      <c r="D15" s="13" t="s">
        <v>924</v>
      </c>
      <c r="E15" s="13" t="s">
        <v>1435</v>
      </c>
      <c r="F15" s="13" t="s">
        <v>118</v>
      </c>
      <c r="G15" s="26" t="s">
        <v>19</v>
      </c>
      <c r="H15" s="26" t="s">
        <v>22</v>
      </c>
      <c r="I15" s="27" t="s">
        <v>65</v>
      </c>
      <c r="J15" s="14"/>
      <c r="K15" s="14" t="str">
        <f>"120,0"</f>
        <v>120,0</v>
      </c>
      <c r="L15" s="14" t="str">
        <f>"144,2280"</f>
        <v>144,2280</v>
      </c>
      <c r="M15" s="13" t="s">
        <v>925</v>
      </c>
    </row>
    <row r="16" spans="1:13">
      <c r="A16" s="10" t="s">
        <v>253</v>
      </c>
      <c r="B16" s="9" t="s">
        <v>312</v>
      </c>
      <c r="C16" s="9" t="s">
        <v>313</v>
      </c>
      <c r="D16" s="9" t="s">
        <v>314</v>
      </c>
      <c r="E16" s="9" t="s">
        <v>1435</v>
      </c>
      <c r="F16" s="9" t="s">
        <v>282</v>
      </c>
      <c r="G16" s="22" t="s">
        <v>19</v>
      </c>
      <c r="H16" s="10"/>
      <c r="I16" s="10"/>
      <c r="J16" s="10"/>
      <c r="K16" s="10" t="str">
        <f>"110,0"</f>
        <v>110,0</v>
      </c>
      <c r="L16" s="10" t="str">
        <f>"130,5260"</f>
        <v>130,5260</v>
      </c>
      <c r="M16" s="9" t="s">
        <v>288</v>
      </c>
    </row>
    <row r="17" spans="1:13">
      <c r="B17" s="5" t="s">
        <v>250</v>
      </c>
    </row>
    <row r="18" spans="1:13" ht="16">
      <c r="A18" s="70" t="s">
        <v>12</v>
      </c>
      <c r="B18" s="70"/>
      <c r="C18" s="70"/>
      <c r="D18" s="70"/>
      <c r="E18" s="70"/>
      <c r="F18" s="70"/>
      <c r="G18" s="70"/>
      <c r="H18" s="70"/>
      <c r="I18" s="70"/>
      <c r="J18" s="70"/>
    </row>
    <row r="19" spans="1:13">
      <c r="A19" s="12" t="s">
        <v>249</v>
      </c>
      <c r="B19" s="11" t="s">
        <v>926</v>
      </c>
      <c r="C19" s="11" t="s">
        <v>927</v>
      </c>
      <c r="D19" s="11" t="s">
        <v>928</v>
      </c>
      <c r="E19" s="11" t="s">
        <v>1435</v>
      </c>
      <c r="F19" s="11" t="s">
        <v>347</v>
      </c>
      <c r="G19" s="24" t="s">
        <v>187</v>
      </c>
      <c r="H19" s="24" t="s">
        <v>405</v>
      </c>
      <c r="I19" s="24" t="s">
        <v>27</v>
      </c>
      <c r="J19" s="12"/>
      <c r="K19" s="12" t="str">
        <f>"115,0"</f>
        <v>115,0</v>
      </c>
      <c r="L19" s="12" t="str">
        <f>"127,3970"</f>
        <v>127,3970</v>
      </c>
      <c r="M19" s="11" t="s">
        <v>929</v>
      </c>
    </row>
    <row r="20" spans="1:13">
      <c r="B20" s="5" t="s">
        <v>250</v>
      </c>
    </row>
    <row r="21" spans="1:13" ht="16">
      <c r="A21" s="70" t="s">
        <v>34</v>
      </c>
      <c r="B21" s="70"/>
      <c r="C21" s="70"/>
      <c r="D21" s="70"/>
      <c r="E21" s="70"/>
      <c r="F21" s="70"/>
      <c r="G21" s="70"/>
      <c r="H21" s="70"/>
      <c r="I21" s="70"/>
      <c r="J21" s="70"/>
    </row>
    <row r="22" spans="1:13">
      <c r="A22" s="12" t="s">
        <v>249</v>
      </c>
      <c r="B22" s="11" t="s">
        <v>930</v>
      </c>
      <c r="C22" s="11" t="s">
        <v>931</v>
      </c>
      <c r="D22" s="11" t="s">
        <v>932</v>
      </c>
      <c r="E22" s="11" t="s">
        <v>1435</v>
      </c>
      <c r="F22" s="11" t="s">
        <v>933</v>
      </c>
      <c r="G22" s="24" t="s">
        <v>187</v>
      </c>
      <c r="H22" s="24" t="s">
        <v>18</v>
      </c>
      <c r="I22" s="24" t="s">
        <v>264</v>
      </c>
      <c r="J22" s="12"/>
      <c r="K22" s="12" t="str">
        <f>"112,5"</f>
        <v>112,5</v>
      </c>
      <c r="L22" s="12" t="str">
        <f>"103,8938"</f>
        <v>103,8938</v>
      </c>
      <c r="M22" s="11" t="s">
        <v>934</v>
      </c>
    </row>
    <row r="23" spans="1:13">
      <c r="B23" s="5" t="s">
        <v>250</v>
      </c>
    </row>
    <row r="24" spans="1:13" ht="16">
      <c r="A24" s="70" t="s">
        <v>45</v>
      </c>
      <c r="B24" s="70"/>
      <c r="C24" s="70"/>
      <c r="D24" s="70"/>
      <c r="E24" s="70"/>
      <c r="F24" s="70"/>
      <c r="G24" s="70"/>
      <c r="H24" s="70"/>
      <c r="I24" s="70"/>
      <c r="J24" s="70"/>
    </row>
    <row r="25" spans="1:13">
      <c r="A25" s="12" t="s">
        <v>249</v>
      </c>
      <c r="B25" s="11" t="s">
        <v>935</v>
      </c>
      <c r="C25" s="11" t="s">
        <v>1350</v>
      </c>
      <c r="D25" s="11" t="s">
        <v>936</v>
      </c>
      <c r="E25" s="11" t="s">
        <v>1440</v>
      </c>
      <c r="F25" s="11" t="s">
        <v>933</v>
      </c>
      <c r="G25" s="24" t="s">
        <v>29</v>
      </c>
      <c r="H25" s="24" t="s">
        <v>103</v>
      </c>
      <c r="I25" s="25" t="s">
        <v>33</v>
      </c>
      <c r="J25" s="12"/>
      <c r="K25" s="12" t="str">
        <f>"137,5"</f>
        <v>137,5</v>
      </c>
      <c r="L25" s="12" t="str">
        <f>"138,2900"</f>
        <v>138,2900</v>
      </c>
      <c r="M25" s="11"/>
    </row>
    <row r="26" spans="1:13">
      <c r="B26" s="5" t="s">
        <v>250</v>
      </c>
    </row>
    <row r="27" spans="1:13" ht="16">
      <c r="A27" s="70" t="s">
        <v>311</v>
      </c>
      <c r="B27" s="70"/>
      <c r="C27" s="70"/>
      <c r="D27" s="70"/>
      <c r="E27" s="70"/>
      <c r="F27" s="70"/>
      <c r="G27" s="70"/>
      <c r="H27" s="70"/>
      <c r="I27" s="70"/>
      <c r="J27" s="70"/>
    </row>
    <row r="28" spans="1:13">
      <c r="A28" s="12" t="s">
        <v>249</v>
      </c>
      <c r="B28" s="11" t="s">
        <v>937</v>
      </c>
      <c r="C28" s="11" t="s">
        <v>938</v>
      </c>
      <c r="D28" s="11" t="s">
        <v>939</v>
      </c>
      <c r="E28" s="11" t="s">
        <v>1436</v>
      </c>
      <c r="F28" s="11" t="s">
        <v>445</v>
      </c>
      <c r="G28" s="24" t="s">
        <v>19</v>
      </c>
      <c r="H28" s="25" t="s">
        <v>22</v>
      </c>
      <c r="I28" s="24" t="s">
        <v>22</v>
      </c>
      <c r="J28" s="12"/>
      <c r="K28" s="12" t="str">
        <f>"120,0"</f>
        <v>120,0</v>
      </c>
      <c r="L28" s="12" t="str">
        <f>"109,2360"</f>
        <v>109,2360</v>
      </c>
      <c r="M28" s="11" t="s">
        <v>1422</v>
      </c>
    </row>
    <row r="29" spans="1:13">
      <c r="B29" s="5" t="s">
        <v>250</v>
      </c>
    </row>
    <row r="30" spans="1:13" ht="16">
      <c r="A30" s="70" t="s">
        <v>68</v>
      </c>
      <c r="B30" s="70"/>
      <c r="C30" s="70"/>
      <c r="D30" s="70"/>
      <c r="E30" s="70"/>
      <c r="F30" s="70"/>
      <c r="G30" s="70"/>
      <c r="H30" s="70"/>
      <c r="I30" s="70"/>
      <c r="J30" s="70"/>
    </row>
    <row r="31" spans="1:13">
      <c r="A31" s="12" t="s">
        <v>249</v>
      </c>
      <c r="B31" s="11" t="s">
        <v>940</v>
      </c>
      <c r="C31" s="11" t="s">
        <v>941</v>
      </c>
      <c r="D31" s="11" t="s">
        <v>597</v>
      </c>
      <c r="E31" s="11" t="s">
        <v>1435</v>
      </c>
      <c r="F31" s="11" t="s">
        <v>1262</v>
      </c>
      <c r="G31" s="24" t="s">
        <v>52</v>
      </c>
      <c r="H31" s="24" t="s">
        <v>43</v>
      </c>
      <c r="I31" s="25" t="s">
        <v>84</v>
      </c>
      <c r="J31" s="12"/>
      <c r="K31" s="12" t="str">
        <f>"185,0"</f>
        <v>185,0</v>
      </c>
      <c r="L31" s="12" t="str">
        <f>"133,0705"</f>
        <v>133,0705</v>
      </c>
      <c r="M31" s="11" t="s">
        <v>592</v>
      </c>
    </row>
    <row r="32" spans="1:13">
      <c r="B32" s="5" t="s">
        <v>250</v>
      </c>
    </row>
    <row r="33" spans="1:13" ht="16">
      <c r="A33" s="70" t="s">
        <v>34</v>
      </c>
      <c r="B33" s="70"/>
      <c r="C33" s="70"/>
      <c r="D33" s="70"/>
      <c r="E33" s="70"/>
      <c r="F33" s="70"/>
      <c r="G33" s="70"/>
      <c r="H33" s="70"/>
      <c r="I33" s="70"/>
      <c r="J33" s="70"/>
    </row>
    <row r="34" spans="1:13">
      <c r="A34" s="8" t="s">
        <v>249</v>
      </c>
      <c r="B34" s="7" t="s">
        <v>942</v>
      </c>
      <c r="C34" s="7" t="s">
        <v>943</v>
      </c>
      <c r="D34" s="7" t="s">
        <v>404</v>
      </c>
      <c r="E34" s="7" t="s">
        <v>1435</v>
      </c>
      <c r="F34" s="7" t="s">
        <v>342</v>
      </c>
      <c r="G34" s="21" t="s">
        <v>127</v>
      </c>
      <c r="H34" s="21" t="s">
        <v>67</v>
      </c>
      <c r="I34" s="20" t="s">
        <v>63</v>
      </c>
      <c r="J34" s="8"/>
      <c r="K34" s="8" t="str">
        <f>"260,0"</f>
        <v>260,0</v>
      </c>
      <c r="L34" s="8" t="str">
        <f>"174,9540"</f>
        <v>174,9540</v>
      </c>
      <c r="M34" s="7" t="s">
        <v>344</v>
      </c>
    </row>
    <row r="35" spans="1:13">
      <c r="A35" s="14" t="s">
        <v>252</v>
      </c>
      <c r="B35" s="13" t="s">
        <v>944</v>
      </c>
      <c r="C35" s="13" t="s">
        <v>945</v>
      </c>
      <c r="D35" s="13" t="s">
        <v>946</v>
      </c>
      <c r="E35" s="13" t="s">
        <v>1435</v>
      </c>
      <c r="F35" s="13" t="s">
        <v>459</v>
      </c>
      <c r="G35" s="26" t="s">
        <v>65</v>
      </c>
      <c r="H35" s="26" t="s">
        <v>33</v>
      </c>
      <c r="I35" s="26" t="s">
        <v>77</v>
      </c>
      <c r="J35" s="14"/>
      <c r="K35" s="14" t="str">
        <f>"155,0"</f>
        <v>155,0</v>
      </c>
      <c r="L35" s="14" t="str">
        <f>"105,7410"</f>
        <v>105,7410</v>
      </c>
      <c r="M35" s="13" t="s">
        <v>460</v>
      </c>
    </row>
    <row r="36" spans="1:13">
      <c r="A36" s="10" t="s">
        <v>249</v>
      </c>
      <c r="B36" s="9" t="s">
        <v>947</v>
      </c>
      <c r="C36" s="9" t="s">
        <v>1351</v>
      </c>
      <c r="D36" s="9" t="s">
        <v>948</v>
      </c>
      <c r="E36" s="9" t="s">
        <v>1434</v>
      </c>
      <c r="F36" s="9" t="s">
        <v>572</v>
      </c>
      <c r="G36" s="22" t="s">
        <v>40</v>
      </c>
      <c r="H36" s="23" t="s">
        <v>56</v>
      </c>
      <c r="I36" s="23" t="s">
        <v>56</v>
      </c>
      <c r="J36" s="10"/>
      <c r="K36" s="10" t="str">
        <f>"175,0"</f>
        <v>175,0</v>
      </c>
      <c r="L36" s="10" t="str">
        <f>"119,2800"</f>
        <v>119,2800</v>
      </c>
      <c r="M36" s="9" t="s">
        <v>949</v>
      </c>
    </row>
    <row r="37" spans="1:13">
      <c r="B37" s="5" t="s">
        <v>250</v>
      </c>
    </row>
    <row r="38" spans="1:13" ht="16">
      <c r="A38" s="70" t="s">
        <v>105</v>
      </c>
      <c r="B38" s="70"/>
      <c r="C38" s="70"/>
      <c r="D38" s="70"/>
      <c r="E38" s="70"/>
      <c r="F38" s="70"/>
      <c r="G38" s="70"/>
      <c r="H38" s="70"/>
      <c r="I38" s="70"/>
      <c r="J38" s="70"/>
    </row>
    <row r="39" spans="1:13">
      <c r="A39" s="8" t="s">
        <v>249</v>
      </c>
      <c r="B39" s="7" t="s">
        <v>435</v>
      </c>
      <c r="C39" s="7" t="s">
        <v>436</v>
      </c>
      <c r="D39" s="7" t="s">
        <v>137</v>
      </c>
      <c r="E39" s="7" t="s">
        <v>1435</v>
      </c>
      <c r="F39" s="7" t="s">
        <v>307</v>
      </c>
      <c r="G39" s="21" t="s">
        <v>110</v>
      </c>
      <c r="H39" s="20" t="s">
        <v>437</v>
      </c>
      <c r="I39" s="20" t="s">
        <v>437</v>
      </c>
      <c r="J39" s="8"/>
      <c r="K39" s="8" t="str">
        <f>"275,0"</f>
        <v>275,0</v>
      </c>
      <c r="L39" s="8" t="str">
        <f>"176,8800"</f>
        <v>176,8800</v>
      </c>
      <c r="M39" s="7"/>
    </row>
    <row r="40" spans="1:13">
      <c r="A40" s="14" t="s">
        <v>252</v>
      </c>
      <c r="B40" s="13" t="s">
        <v>950</v>
      </c>
      <c r="C40" s="13" t="s">
        <v>951</v>
      </c>
      <c r="D40" s="13" t="s">
        <v>562</v>
      </c>
      <c r="E40" s="13" t="s">
        <v>1435</v>
      </c>
      <c r="F40" s="13" t="s">
        <v>445</v>
      </c>
      <c r="G40" s="26" t="s">
        <v>67</v>
      </c>
      <c r="H40" s="27" t="s">
        <v>197</v>
      </c>
      <c r="I40" s="27" t="s">
        <v>197</v>
      </c>
      <c r="J40" s="14"/>
      <c r="K40" s="14" t="str">
        <f>"260,0"</f>
        <v>260,0</v>
      </c>
      <c r="L40" s="14" t="str">
        <f>"166,7380"</f>
        <v>166,7380</v>
      </c>
      <c r="M40" s="13"/>
    </row>
    <row r="41" spans="1:13">
      <c r="A41" s="14" t="s">
        <v>253</v>
      </c>
      <c r="B41" s="13" t="s">
        <v>952</v>
      </c>
      <c r="C41" s="13" t="s">
        <v>953</v>
      </c>
      <c r="D41" s="13" t="s">
        <v>954</v>
      </c>
      <c r="E41" s="13" t="s">
        <v>1435</v>
      </c>
      <c r="F41" s="13" t="s">
        <v>445</v>
      </c>
      <c r="G41" s="27" t="s">
        <v>119</v>
      </c>
      <c r="H41" s="26" t="s">
        <v>119</v>
      </c>
      <c r="I41" s="26" t="s">
        <v>133</v>
      </c>
      <c r="J41" s="14"/>
      <c r="K41" s="14" t="str">
        <f>"230,0"</f>
        <v>230,0</v>
      </c>
      <c r="L41" s="14" t="str">
        <f>"149,0170"</f>
        <v>149,0170</v>
      </c>
      <c r="M41" s="13" t="s">
        <v>526</v>
      </c>
    </row>
    <row r="42" spans="1:13">
      <c r="A42" s="10" t="s">
        <v>249</v>
      </c>
      <c r="B42" s="9" t="s">
        <v>955</v>
      </c>
      <c r="C42" s="9" t="s">
        <v>1352</v>
      </c>
      <c r="D42" s="9" t="s">
        <v>440</v>
      </c>
      <c r="E42" s="9" t="s">
        <v>1438</v>
      </c>
      <c r="F42" s="9" t="s">
        <v>170</v>
      </c>
      <c r="G42" s="22" t="s">
        <v>132</v>
      </c>
      <c r="H42" s="22" t="s">
        <v>133</v>
      </c>
      <c r="I42" s="23" t="s">
        <v>66</v>
      </c>
      <c r="J42" s="10"/>
      <c r="K42" s="10" t="str">
        <f>"230,0"</f>
        <v>230,0</v>
      </c>
      <c r="L42" s="10" t="str">
        <f>"158,8357"</f>
        <v>158,8357</v>
      </c>
      <c r="M42" s="9"/>
    </row>
    <row r="43" spans="1:13">
      <c r="B43" s="5" t="s">
        <v>250</v>
      </c>
    </row>
    <row r="44" spans="1:13" ht="16">
      <c r="A44" s="70" t="s">
        <v>151</v>
      </c>
      <c r="B44" s="70"/>
      <c r="C44" s="70"/>
      <c r="D44" s="70"/>
      <c r="E44" s="70"/>
      <c r="F44" s="70"/>
      <c r="G44" s="70"/>
      <c r="H44" s="70"/>
      <c r="I44" s="70"/>
      <c r="J44" s="70"/>
    </row>
    <row r="45" spans="1:13">
      <c r="A45" s="8" t="s">
        <v>249</v>
      </c>
      <c r="B45" s="7" t="s">
        <v>956</v>
      </c>
      <c r="C45" s="7" t="s">
        <v>1353</v>
      </c>
      <c r="D45" s="7" t="s">
        <v>957</v>
      </c>
      <c r="E45" s="7" t="s">
        <v>1438</v>
      </c>
      <c r="F45" s="7" t="s">
        <v>445</v>
      </c>
      <c r="G45" s="21" t="s">
        <v>133</v>
      </c>
      <c r="H45" s="21" t="s">
        <v>127</v>
      </c>
      <c r="I45" s="21" t="s">
        <v>62</v>
      </c>
      <c r="J45" s="8"/>
      <c r="K45" s="8" t="str">
        <f>"255,0"</f>
        <v>255,0</v>
      </c>
      <c r="L45" s="8" t="str">
        <f>"170,0470"</f>
        <v>170,0470</v>
      </c>
      <c r="M45" s="7" t="s">
        <v>958</v>
      </c>
    </row>
    <row r="46" spans="1:13">
      <c r="A46" s="10" t="s">
        <v>249</v>
      </c>
      <c r="B46" s="9" t="s">
        <v>959</v>
      </c>
      <c r="C46" s="9" t="s">
        <v>1354</v>
      </c>
      <c r="D46" s="9" t="s">
        <v>960</v>
      </c>
      <c r="E46" s="9" t="s">
        <v>1439</v>
      </c>
      <c r="F46" s="9" t="s">
        <v>459</v>
      </c>
      <c r="G46" s="22" t="s">
        <v>133</v>
      </c>
      <c r="H46" s="22" t="s">
        <v>66</v>
      </c>
      <c r="I46" s="23" t="s">
        <v>98</v>
      </c>
      <c r="J46" s="10"/>
      <c r="K46" s="10" t="str">
        <f>"240,0"</f>
        <v>240,0</v>
      </c>
      <c r="L46" s="10" t="str">
        <f>"202,0651"</f>
        <v>202,0651</v>
      </c>
      <c r="M46" s="9" t="s">
        <v>460</v>
      </c>
    </row>
    <row r="47" spans="1:13">
      <c r="B47" s="5" t="s">
        <v>250</v>
      </c>
    </row>
    <row r="48" spans="1:13" ht="16">
      <c r="A48" s="70" t="s">
        <v>192</v>
      </c>
      <c r="B48" s="70"/>
      <c r="C48" s="70"/>
      <c r="D48" s="70"/>
      <c r="E48" s="70"/>
      <c r="F48" s="70"/>
      <c r="G48" s="70"/>
      <c r="H48" s="70"/>
      <c r="I48" s="70"/>
      <c r="J48" s="70"/>
    </row>
    <row r="49" spans="1:13">
      <c r="A49" s="8" t="s">
        <v>249</v>
      </c>
      <c r="B49" s="7" t="s">
        <v>577</v>
      </c>
      <c r="C49" s="7" t="s">
        <v>578</v>
      </c>
      <c r="D49" s="7" t="s">
        <v>794</v>
      </c>
      <c r="E49" s="7" t="s">
        <v>1435</v>
      </c>
      <c r="F49" s="7" t="s">
        <v>580</v>
      </c>
      <c r="G49" s="21" t="s">
        <v>79</v>
      </c>
      <c r="H49" s="20" t="s">
        <v>119</v>
      </c>
      <c r="I49" s="20" t="s">
        <v>91</v>
      </c>
      <c r="J49" s="8"/>
      <c r="K49" s="8" t="str">
        <f>"210,0"</f>
        <v>210,0</v>
      </c>
      <c r="L49" s="8" t="str">
        <f>"123,9420"</f>
        <v>123,9420</v>
      </c>
      <c r="M49" s="7" t="s">
        <v>581</v>
      </c>
    </row>
    <row r="50" spans="1:13">
      <c r="A50" s="14" t="s">
        <v>252</v>
      </c>
      <c r="B50" s="13" t="s">
        <v>961</v>
      </c>
      <c r="C50" s="13" t="s">
        <v>962</v>
      </c>
      <c r="D50" s="13" t="s">
        <v>963</v>
      </c>
      <c r="E50" s="13" t="s">
        <v>1435</v>
      </c>
      <c r="F50" s="13" t="s">
        <v>459</v>
      </c>
      <c r="G50" s="27" t="s">
        <v>51</v>
      </c>
      <c r="H50" s="27" t="s">
        <v>51</v>
      </c>
      <c r="I50" s="26" t="s">
        <v>51</v>
      </c>
      <c r="J50" s="14"/>
      <c r="K50" s="14" t="str">
        <f>"160,0"</f>
        <v>160,0</v>
      </c>
      <c r="L50" s="14" t="str">
        <f>"94,4000"</f>
        <v>94,4000</v>
      </c>
      <c r="M50" s="13" t="s">
        <v>460</v>
      </c>
    </row>
    <row r="51" spans="1:13">
      <c r="A51" s="10" t="s">
        <v>249</v>
      </c>
      <c r="B51" s="9" t="s">
        <v>492</v>
      </c>
      <c r="C51" s="9" t="s">
        <v>1285</v>
      </c>
      <c r="D51" s="9" t="s">
        <v>493</v>
      </c>
      <c r="E51" s="9" t="s">
        <v>1438</v>
      </c>
      <c r="F51" s="9" t="s">
        <v>494</v>
      </c>
      <c r="G51" s="22" t="s">
        <v>92</v>
      </c>
      <c r="H51" s="22" t="s">
        <v>127</v>
      </c>
      <c r="I51" s="22" t="s">
        <v>463</v>
      </c>
      <c r="J51" s="10"/>
      <c r="K51" s="10" t="str">
        <f>"252,5"</f>
        <v>252,5</v>
      </c>
      <c r="L51" s="10" t="str">
        <f>"164,5496"</f>
        <v>164,5496</v>
      </c>
      <c r="M51" s="9"/>
    </row>
    <row r="52" spans="1:13">
      <c r="B52" s="5" t="s">
        <v>250</v>
      </c>
    </row>
    <row r="53" spans="1:13" ht="16">
      <c r="A53" s="70" t="s">
        <v>212</v>
      </c>
      <c r="B53" s="70"/>
      <c r="C53" s="70"/>
      <c r="D53" s="70"/>
      <c r="E53" s="70"/>
      <c r="F53" s="70"/>
      <c r="G53" s="70"/>
      <c r="H53" s="70"/>
      <c r="I53" s="70"/>
      <c r="J53" s="70"/>
    </row>
    <row r="54" spans="1:13">
      <c r="A54" s="8" t="s">
        <v>249</v>
      </c>
      <c r="B54" s="7" t="s">
        <v>801</v>
      </c>
      <c r="C54" s="7" t="s">
        <v>802</v>
      </c>
      <c r="D54" s="7" t="s">
        <v>803</v>
      </c>
      <c r="E54" s="7" t="s">
        <v>1435</v>
      </c>
      <c r="F54" s="43" t="s">
        <v>347</v>
      </c>
      <c r="G54" s="49" t="s">
        <v>109</v>
      </c>
      <c r="H54" s="21" t="s">
        <v>198</v>
      </c>
      <c r="I54" s="50" t="s">
        <v>94</v>
      </c>
      <c r="J54" s="46"/>
      <c r="K54" s="8" t="str">
        <f>"300,0"</f>
        <v>300,0</v>
      </c>
      <c r="L54" s="8" t="str">
        <f>"171,2700"</f>
        <v>171,2700</v>
      </c>
      <c r="M54" s="7"/>
    </row>
    <row r="55" spans="1:13">
      <c r="A55" s="14" t="s">
        <v>252</v>
      </c>
      <c r="B55" s="13" t="s">
        <v>1424</v>
      </c>
      <c r="C55" s="13" t="s">
        <v>964</v>
      </c>
      <c r="D55" s="13" t="s">
        <v>965</v>
      </c>
      <c r="E55" s="13" t="s">
        <v>1435</v>
      </c>
      <c r="F55" s="44" t="s">
        <v>1423</v>
      </c>
      <c r="G55" s="51" t="s">
        <v>128</v>
      </c>
      <c r="H55" s="26" t="s">
        <v>63</v>
      </c>
      <c r="I55" s="52" t="s">
        <v>64</v>
      </c>
      <c r="J55" s="47"/>
      <c r="K55" s="14" t="str">
        <f>"280,0"</f>
        <v>280,0</v>
      </c>
      <c r="L55" s="14" t="str">
        <f>"159,5440"</f>
        <v>159,5440</v>
      </c>
      <c r="M55" s="13" t="s">
        <v>592</v>
      </c>
    </row>
    <row r="56" spans="1:13">
      <c r="A56" s="14" t="s">
        <v>253</v>
      </c>
      <c r="B56" s="13" t="s">
        <v>966</v>
      </c>
      <c r="C56" s="13" t="s">
        <v>967</v>
      </c>
      <c r="D56" s="13" t="s">
        <v>968</v>
      </c>
      <c r="E56" s="13" t="s">
        <v>1435</v>
      </c>
      <c r="F56" s="44" t="s">
        <v>191</v>
      </c>
      <c r="G56" s="51" t="s">
        <v>133</v>
      </c>
      <c r="H56" s="26" t="s">
        <v>98</v>
      </c>
      <c r="I56" s="53" t="s">
        <v>63</v>
      </c>
      <c r="J56" s="47"/>
      <c r="K56" s="14" t="str">
        <f>"250,0"</f>
        <v>250,0</v>
      </c>
      <c r="L56" s="14" t="str">
        <f>"142,8250"</f>
        <v>142,8250</v>
      </c>
      <c r="M56" s="13" t="s">
        <v>502</v>
      </c>
    </row>
    <row r="57" spans="1:13">
      <c r="A57" s="10" t="s">
        <v>254</v>
      </c>
      <c r="B57" s="9" t="s">
        <v>574</v>
      </c>
      <c r="C57" s="9" t="s">
        <v>575</v>
      </c>
      <c r="D57" s="9" t="s">
        <v>576</v>
      </c>
      <c r="E57" s="9" t="s">
        <v>1435</v>
      </c>
      <c r="F57" s="45" t="s">
        <v>459</v>
      </c>
      <c r="G57" s="54" t="s">
        <v>79</v>
      </c>
      <c r="H57" s="22" t="s">
        <v>91</v>
      </c>
      <c r="I57" s="55" t="s">
        <v>133</v>
      </c>
      <c r="J57" s="48"/>
      <c r="K57" s="10" t="str">
        <f>"225,0"</f>
        <v>225,0</v>
      </c>
      <c r="L57" s="10" t="str">
        <f>"128,9250"</f>
        <v>128,9250</v>
      </c>
      <c r="M57" s="9" t="s">
        <v>460</v>
      </c>
    </row>
    <row r="58" spans="1:13">
      <c r="B58" s="5" t="s">
        <v>250</v>
      </c>
    </row>
    <row r="61" spans="1:13" ht="18">
      <c r="B61" s="15" t="s">
        <v>227</v>
      </c>
      <c r="C61" s="15"/>
    </row>
    <row r="62" spans="1:13" ht="16">
      <c r="B62" s="16" t="s">
        <v>228</v>
      </c>
      <c r="C62" s="16"/>
    </row>
    <row r="63" spans="1:13" ht="14">
      <c r="B63" s="17"/>
      <c r="C63" s="18" t="s">
        <v>229</v>
      </c>
    </row>
    <row r="64" spans="1:13" ht="14">
      <c r="B64" s="19" t="s">
        <v>230</v>
      </c>
      <c r="C64" s="19" t="s">
        <v>231</v>
      </c>
      <c r="D64" s="19" t="s">
        <v>1370</v>
      </c>
      <c r="E64" s="19" t="s">
        <v>685</v>
      </c>
      <c r="F64" s="19" t="s">
        <v>234</v>
      </c>
    </row>
    <row r="65" spans="2:6">
      <c r="B65" s="5" t="s">
        <v>260</v>
      </c>
      <c r="C65" s="5" t="s">
        <v>229</v>
      </c>
      <c r="D65" s="6" t="s">
        <v>503</v>
      </c>
      <c r="E65" s="6" t="s">
        <v>267</v>
      </c>
      <c r="F65" s="6" t="s">
        <v>969</v>
      </c>
    </row>
    <row r="66" spans="2:6">
      <c r="B66" s="5" t="s">
        <v>918</v>
      </c>
      <c r="C66" s="5" t="s">
        <v>229</v>
      </c>
      <c r="D66" s="6" t="s">
        <v>904</v>
      </c>
      <c r="E66" s="6" t="s">
        <v>38</v>
      </c>
      <c r="F66" s="6" t="s">
        <v>970</v>
      </c>
    </row>
    <row r="67" spans="2:6">
      <c r="B67" s="5" t="s">
        <v>922</v>
      </c>
      <c r="C67" s="5" t="s">
        <v>229</v>
      </c>
      <c r="D67" s="6" t="s">
        <v>904</v>
      </c>
      <c r="E67" s="6" t="s">
        <v>22</v>
      </c>
      <c r="F67" s="6" t="s">
        <v>971</v>
      </c>
    </row>
    <row r="69" spans="2:6" ht="16">
      <c r="B69" s="16" t="s">
        <v>239</v>
      </c>
      <c r="C69" s="16"/>
    </row>
    <row r="70" spans="2:6" ht="14">
      <c r="B70" s="17"/>
      <c r="C70" s="18" t="s">
        <v>229</v>
      </c>
    </row>
    <row r="71" spans="2:6" ht="14">
      <c r="B71" s="19" t="s">
        <v>230</v>
      </c>
      <c r="C71" s="19" t="s">
        <v>231</v>
      </c>
      <c r="D71" s="19" t="s">
        <v>1370</v>
      </c>
      <c r="E71" s="19" t="s">
        <v>685</v>
      </c>
      <c r="F71" s="19" t="s">
        <v>234</v>
      </c>
    </row>
    <row r="72" spans="2:6">
      <c r="B72" s="5" t="s">
        <v>435</v>
      </c>
      <c r="C72" s="5" t="s">
        <v>229</v>
      </c>
      <c r="D72" s="6" t="s">
        <v>513</v>
      </c>
      <c r="E72" s="6" t="s">
        <v>110</v>
      </c>
      <c r="F72" s="6" t="s">
        <v>972</v>
      </c>
    </row>
    <row r="73" spans="2:6">
      <c r="B73" s="5" t="s">
        <v>942</v>
      </c>
      <c r="C73" s="5" t="s">
        <v>229</v>
      </c>
      <c r="D73" s="6" t="s">
        <v>235</v>
      </c>
      <c r="E73" s="6" t="s">
        <v>67</v>
      </c>
      <c r="F73" s="6" t="s">
        <v>973</v>
      </c>
    </row>
    <row r="74" spans="2:6">
      <c r="B74" s="5" t="s">
        <v>801</v>
      </c>
      <c r="C74" s="5" t="s">
        <v>229</v>
      </c>
      <c r="D74" s="6" t="s">
        <v>556</v>
      </c>
      <c r="E74" s="6" t="s">
        <v>94</v>
      </c>
      <c r="F74" s="6" t="s">
        <v>974</v>
      </c>
    </row>
    <row r="75" spans="2:6">
      <c r="B75" s="5" t="s">
        <v>250</v>
      </c>
    </row>
  </sheetData>
  <mergeCells count="24">
    <mergeCell ref="A5:J5"/>
    <mergeCell ref="B3:B4"/>
    <mergeCell ref="A53:J53"/>
    <mergeCell ref="A8:J8"/>
    <mergeCell ref="A13:J13"/>
    <mergeCell ref="A18:J18"/>
    <mergeCell ref="A21:J21"/>
    <mergeCell ref="A24:J24"/>
    <mergeCell ref="A27:J27"/>
    <mergeCell ref="A30:J30"/>
    <mergeCell ref="A33:J33"/>
    <mergeCell ref="A38:J38"/>
    <mergeCell ref="A44:J44"/>
    <mergeCell ref="A48:J48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M57"/>
  <sheetViews>
    <sheetView topLeftCell="A22" workbookViewId="0">
      <selection activeCell="E48" sqref="E48"/>
    </sheetView>
  </sheetViews>
  <sheetFormatPr baseColWidth="10" defaultColWidth="9.1640625" defaultRowHeight="13"/>
  <cols>
    <col min="1" max="1" width="7.5" style="5" bestFit="1" customWidth="1"/>
    <col min="2" max="2" width="23.3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7.33203125" style="5" bestFit="1" customWidth="1"/>
    <col min="7" max="10" width="5.5" style="6" customWidth="1"/>
    <col min="11" max="11" width="11.5" style="32" customWidth="1"/>
    <col min="12" max="12" width="8.5" style="6" bestFit="1" customWidth="1"/>
    <col min="13" max="13" width="17.5" style="5" bestFit="1" customWidth="1"/>
    <col min="14" max="16384" width="9.1640625" style="3"/>
  </cols>
  <sheetData>
    <row r="1" spans="1:13" s="2" customFormat="1" ht="29" customHeight="1">
      <c r="A1" s="57" t="s">
        <v>1388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1430</v>
      </c>
      <c r="B3" s="77" t="s">
        <v>0</v>
      </c>
      <c r="C3" s="67" t="s">
        <v>1432</v>
      </c>
      <c r="D3" s="67" t="s">
        <v>8</v>
      </c>
      <c r="E3" s="69" t="s">
        <v>1433</v>
      </c>
      <c r="F3" s="69" t="s">
        <v>5</v>
      </c>
      <c r="G3" s="69" t="s">
        <v>11</v>
      </c>
      <c r="H3" s="69"/>
      <c r="I3" s="69"/>
      <c r="J3" s="69"/>
      <c r="K3" s="71" t="s">
        <v>692</v>
      </c>
      <c r="L3" s="69" t="s">
        <v>3</v>
      </c>
      <c r="M3" s="73" t="s">
        <v>2</v>
      </c>
    </row>
    <row r="4" spans="1:13" s="1" customFormat="1" ht="21" customHeight="1" thickBot="1">
      <c r="A4" s="66"/>
      <c r="B4" s="78"/>
      <c r="C4" s="68"/>
      <c r="D4" s="68"/>
      <c r="E4" s="68"/>
      <c r="F4" s="68"/>
      <c r="G4" s="4">
        <v>1</v>
      </c>
      <c r="H4" s="4">
        <v>2</v>
      </c>
      <c r="I4" s="4">
        <v>3</v>
      </c>
      <c r="J4" s="4" t="s">
        <v>4</v>
      </c>
      <c r="K4" s="72"/>
      <c r="L4" s="68"/>
      <c r="M4" s="74"/>
    </row>
    <row r="5" spans="1:13" ht="16">
      <c r="A5" s="75" t="s">
        <v>311</v>
      </c>
      <c r="B5" s="75"/>
      <c r="C5" s="76"/>
      <c r="D5" s="76"/>
      <c r="E5" s="76"/>
      <c r="F5" s="76"/>
      <c r="G5" s="76"/>
      <c r="H5" s="76"/>
      <c r="I5" s="76"/>
      <c r="J5" s="76"/>
    </row>
    <row r="6" spans="1:13">
      <c r="A6" s="8" t="s">
        <v>249</v>
      </c>
      <c r="B6" s="7" t="s">
        <v>847</v>
      </c>
      <c r="C6" s="7" t="s">
        <v>848</v>
      </c>
      <c r="D6" s="7" t="s">
        <v>318</v>
      </c>
      <c r="E6" s="7" t="s">
        <v>1435</v>
      </c>
      <c r="F6" s="29" t="s">
        <v>1262</v>
      </c>
      <c r="G6" s="20" t="s">
        <v>40</v>
      </c>
      <c r="H6" s="20" t="s">
        <v>40</v>
      </c>
      <c r="I6" s="21" t="s">
        <v>72</v>
      </c>
      <c r="J6" s="8"/>
      <c r="K6" s="33" t="str">
        <f>"180,0"</f>
        <v>180,0</v>
      </c>
      <c r="L6" s="8" t="str">
        <f>"212,6880"</f>
        <v>212,6880</v>
      </c>
      <c r="M6" s="7" t="s">
        <v>699</v>
      </c>
    </row>
    <row r="7" spans="1:13">
      <c r="A7" s="10" t="s">
        <v>249</v>
      </c>
      <c r="B7" s="9" t="s">
        <v>847</v>
      </c>
      <c r="C7" s="9" t="s">
        <v>1298</v>
      </c>
      <c r="D7" s="9" t="s">
        <v>318</v>
      </c>
      <c r="E7" s="9" t="s">
        <v>1434</v>
      </c>
      <c r="F7" s="30" t="s">
        <v>1262</v>
      </c>
      <c r="G7" s="23" t="s">
        <v>40</v>
      </c>
      <c r="H7" s="23" t="s">
        <v>40</v>
      </c>
      <c r="I7" s="22" t="s">
        <v>72</v>
      </c>
      <c r="J7" s="10"/>
      <c r="K7" s="35" t="str">
        <f>"180,0"</f>
        <v>180,0</v>
      </c>
      <c r="L7" s="10" t="str">
        <f>"218,6433"</f>
        <v>218,6433</v>
      </c>
      <c r="M7" s="9" t="s">
        <v>699</v>
      </c>
    </row>
    <row r="8" spans="1:13">
      <c r="B8" s="5" t="s">
        <v>250</v>
      </c>
    </row>
    <row r="9" spans="1:13" ht="16">
      <c r="A9" s="70" t="s">
        <v>68</v>
      </c>
      <c r="B9" s="70"/>
      <c r="C9" s="70"/>
      <c r="D9" s="70"/>
      <c r="E9" s="70"/>
      <c r="F9" s="70"/>
      <c r="G9" s="70"/>
      <c r="H9" s="70"/>
      <c r="I9" s="70"/>
      <c r="J9" s="70"/>
    </row>
    <row r="10" spans="1:13">
      <c r="A10" s="12" t="s">
        <v>249</v>
      </c>
      <c r="B10" s="11" t="s">
        <v>849</v>
      </c>
      <c r="C10" s="11" t="s">
        <v>1355</v>
      </c>
      <c r="D10" s="11" t="s">
        <v>850</v>
      </c>
      <c r="E10" s="11" t="s">
        <v>1438</v>
      </c>
      <c r="F10" s="11" t="s">
        <v>191</v>
      </c>
      <c r="G10" s="24" t="s">
        <v>17</v>
      </c>
      <c r="H10" s="24" t="s">
        <v>19</v>
      </c>
      <c r="I10" s="25" t="s">
        <v>27</v>
      </c>
      <c r="J10" s="12"/>
      <c r="K10" s="36" t="str">
        <f>"110,0"</f>
        <v>110,0</v>
      </c>
      <c r="L10" s="12" t="str">
        <f>"123,5081"</f>
        <v>123,5081</v>
      </c>
      <c r="M10" s="11" t="s">
        <v>851</v>
      </c>
    </row>
    <row r="11" spans="1:13">
      <c r="B11" s="5" t="s">
        <v>250</v>
      </c>
    </row>
    <row r="12" spans="1:13" ht="16">
      <c r="A12" s="70" t="s">
        <v>34</v>
      </c>
      <c r="B12" s="70"/>
      <c r="C12" s="70"/>
      <c r="D12" s="70"/>
      <c r="E12" s="70"/>
      <c r="F12" s="70"/>
      <c r="G12" s="70"/>
      <c r="H12" s="70"/>
      <c r="I12" s="70"/>
      <c r="J12" s="70"/>
    </row>
    <row r="13" spans="1:13">
      <c r="A13" s="8" t="s">
        <v>249</v>
      </c>
      <c r="B13" s="7" t="s">
        <v>852</v>
      </c>
      <c r="C13" s="7" t="s">
        <v>853</v>
      </c>
      <c r="D13" s="7" t="s">
        <v>737</v>
      </c>
      <c r="E13" s="7" t="s">
        <v>1435</v>
      </c>
      <c r="F13" s="7" t="s">
        <v>1262</v>
      </c>
      <c r="G13" s="21" t="s">
        <v>43</v>
      </c>
      <c r="H13" s="21" t="s">
        <v>84</v>
      </c>
      <c r="I13" s="21" t="s">
        <v>85</v>
      </c>
      <c r="J13" s="8"/>
      <c r="K13" s="33" t="str">
        <f>"200,0"</f>
        <v>200,0</v>
      </c>
      <c r="L13" s="8" t="str">
        <f>"180,1000"</f>
        <v>180,1000</v>
      </c>
      <c r="M13" s="7" t="s">
        <v>854</v>
      </c>
    </row>
    <row r="14" spans="1:13">
      <c r="A14" s="10" t="s">
        <v>252</v>
      </c>
      <c r="B14" s="9" t="s">
        <v>35</v>
      </c>
      <c r="C14" s="9" t="s">
        <v>36</v>
      </c>
      <c r="D14" s="9" t="s">
        <v>37</v>
      </c>
      <c r="E14" s="9" t="s">
        <v>1435</v>
      </c>
      <c r="F14" s="9" t="s">
        <v>1262</v>
      </c>
      <c r="G14" s="22" t="s">
        <v>40</v>
      </c>
      <c r="H14" s="23" t="s">
        <v>43</v>
      </c>
      <c r="I14" s="23" t="s">
        <v>43</v>
      </c>
      <c r="J14" s="10"/>
      <c r="K14" s="35" t="str">
        <f>"175,0"</f>
        <v>175,0</v>
      </c>
      <c r="L14" s="10" t="str">
        <f>"157,9900"</f>
        <v>157,9900</v>
      </c>
      <c r="M14" s="9" t="s">
        <v>44</v>
      </c>
    </row>
    <row r="15" spans="1:13">
      <c r="B15" s="5" t="s">
        <v>250</v>
      </c>
    </row>
    <row r="16" spans="1:13" ht="16">
      <c r="A16" s="70" t="s">
        <v>45</v>
      </c>
      <c r="B16" s="70"/>
      <c r="C16" s="70"/>
      <c r="D16" s="70"/>
      <c r="E16" s="70"/>
      <c r="F16" s="70"/>
      <c r="G16" s="70"/>
      <c r="H16" s="70"/>
      <c r="I16" s="70"/>
      <c r="J16" s="70"/>
    </row>
    <row r="17" spans="1:13">
      <c r="A17" s="12" t="s">
        <v>249</v>
      </c>
      <c r="B17" s="11" t="s">
        <v>855</v>
      </c>
      <c r="C17" s="11" t="s">
        <v>1356</v>
      </c>
      <c r="D17" s="11" t="s">
        <v>856</v>
      </c>
      <c r="E17" s="11" t="s">
        <v>1434</v>
      </c>
      <c r="F17" s="11" t="s">
        <v>191</v>
      </c>
      <c r="G17" s="24" t="s">
        <v>51</v>
      </c>
      <c r="H17" s="24" t="s">
        <v>72</v>
      </c>
      <c r="I17" s="24" t="s">
        <v>43</v>
      </c>
      <c r="J17" s="12"/>
      <c r="K17" s="36" t="str">
        <f>"185,0"</f>
        <v>185,0</v>
      </c>
      <c r="L17" s="12" t="str">
        <f>"160,3978"</f>
        <v>160,3978</v>
      </c>
      <c r="M17" s="11" t="s">
        <v>811</v>
      </c>
    </row>
    <row r="18" spans="1:13">
      <c r="B18" s="5" t="s">
        <v>250</v>
      </c>
    </row>
    <row r="19" spans="1:13" ht="16">
      <c r="A19" s="70" t="s">
        <v>57</v>
      </c>
      <c r="B19" s="70"/>
      <c r="C19" s="70"/>
      <c r="D19" s="70"/>
      <c r="E19" s="70"/>
      <c r="F19" s="70"/>
      <c r="G19" s="70"/>
      <c r="H19" s="70"/>
      <c r="I19" s="70"/>
      <c r="J19" s="70"/>
    </row>
    <row r="20" spans="1:13">
      <c r="A20" s="12" t="s">
        <v>249</v>
      </c>
      <c r="B20" s="11" t="s">
        <v>58</v>
      </c>
      <c r="C20" s="11" t="s">
        <v>59</v>
      </c>
      <c r="D20" s="11" t="s">
        <v>60</v>
      </c>
      <c r="E20" s="11" t="s">
        <v>1435</v>
      </c>
      <c r="F20" s="11" t="s">
        <v>61</v>
      </c>
      <c r="G20" s="24" t="s">
        <v>66</v>
      </c>
      <c r="H20" s="24" t="s">
        <v>62</v>
      </c>
      <c r="I20" s="25" t="s">
        <v>67</v>
      </c>
      <c r="J20" s="12"/>
      <c r="K20" s="36" t="str">
        <f>"255,0"</f>
        <v>255,0</v>
      </c>
      <c r="L20" s="12" t="str">
        <f>"225,9045"</f>
        <v>225,9045</v>
      </c>
      <c r="M20" s="11" t="s">
        <v>527</v>
      </c>
    </row>
    <row r="21" spans="1:13">
      <c r="B21" s="5" t="s">
        <v>250</v>
      </c>
    </row>
    <row r="22" spans="1:13" ht="16">
      <c r="A22" s="70" t="s">
        <v>34</v>
      </c>
      <c r="B22" s="70"/>
      <c r="C22" s="70"/>
      <c r="D22" s="70"/>
      <c r="E22" s="70"/>
      <c r="F22" s="70"/>
      <c r="G22" s="70"/>
      <c r="H22" s="70"/>
      <c r="I22" s="70"/>
      <c r="J22" s="70"/>
    </row>
    <row r="23" spans="1:13">
      <c r="A23" s="12" t="s">
        <v>249</v>
      </c>
      <c r="B23" s="11" t="s">
        <v>857</v>
      </c>
      <c r="C23" s="11" t="s">
        <v>858</v>
      </c>
      <c r="D23" s="11" t="s">
        <v>859</v>
      </c>
      <c r="E23" s="11" t="s">
        <v>1435</v>
      </c>
      <c r="F23" s="11" t="s">
        <v>1262</v>
      </c>
      <c r="G23" s="24" t="s">
        <v>67</v>
      </c>
      <c r="H23" s="24" t="s">
        <v>63</v>
      </c>
      <c r="I23" s="25" t="s">
        <v>64</v>
      </c>
      <c r="J23" s="12"/>
      <c r="K23" s="36" t="str">
        <f>"270,0"</f>
        <v>270,0</v>
      </c>
      <c r="L23" s="12" t="str">
        <f>"183,7620"</f>
        <v>183,7620</v>
      </c>
      <c r="M23" s="11"/>
    </row>
    <row r="24" spans="1:13">
      <c r="B24" s="5" t="s">
        <v>250</v>
      </c>
    </row>
    <row r="25" spans="1:13" ht="16">
      <c r="A25" s="70" t="s">
        <v>105</v>
      </c>
      <c r="B25" s="70"/>
      <c r="C25" s="70"/>
      <c r="D25" s="70"/>
      <c r="E25" s="70"/>
      <c r="F25" s="70"/>
      <c r="G25" s="70"/>
      <c r="H25" s="70"/>
      <c r="I25" s="70"/>
      <c r="J25" s="70"/>
    </row>
    <row r="26" spans="1:13">
      <c r="A26" s="8" t="s">
        <v>249</v>
      </c>
      <c r="B26" s="7" t="s">
        <v>860</v>
      </c>
      <c r="C26" s="7" t="s">
        <v>861</v>
      </c>
      <c r="D26" s="7" t="s">
        <v>862</v>
      </c>
      <c r="E26" s="7" t="s">
        <v>1436</v>
      </c>
      <c r="F26" s="7" t="s">
        <v>387</v>
      </c>
      <c r="G26" s="21" t="s">
        <v>75</v>
      </c>
      <c r="H26" s="21" t="s">
        <v>49</v>
      </c>
      <c r="I26" s="21" t="s">
        <v>51</v>
      </c>
      <c r="J26" s="8"/>
      <c r="K26" s="33" t="str">
        <f>"160,0"</f>
        <v>160,0</v>
      </c>
      <c r="L26" s="8" t="str">
        <f>"105,7600"</f>
        <v>105,7600</v>
      </c>
      <c r="M26" s="7" t="s">
        <v>388</v>
      </c>
    </row>
    <row r="27" spans="1:13">
      <c r="A27" s="10" t="s">
        <v>251</v>
      </c>
      <c r="B27" s="9" t="s">
        <v>863</v>
      </c>
      <c r="C27" s="9" t="s">
        <v>864</v>
      </c>
      <c r="D27" s="9" t="s">
        <v>616</v>
      </c>
      <c r="E27" s="9" t="s">
        <v>1435</v>
      </c>
      <c r="F27" s="9" t="s">
        <v>770</v>
      </c>
      <c r="G27" s="23" t="s">
        <v>865</v>
      </c>
      <c r="H27" s="23" t="s">
        <v>865</v>
      </c>
      <c r="I27" s="10"/>
      <c r="J27" s="10"/>
      <c r="K27" s="35">
        <v>0</v>
      </c>
      <c r="L27" s="10" t="str">
        <f>"0,0000"</f>
        <v>0,0000</v>
      </c>
      <c r="M27" s="9" t="s">
        <v>80</v>
      </c>
    </row>
    <row r="28" spans="1:13">
      <c r="B28" s="5" t="s">
        <v>250</v>
      </c>
    </row>
    <row r="29" spans="1:13" ht="16">
      <c r="A29" s="70" t="s">
        <v>151</v>
      </c>
      <c r="B29" s="70"/>
      <c r="C29" s="70"/>
      <c r="D29" s="70"/>
      <c r="E29" s="70"/>
      <c r="F29" s="70"/>
      <c r="G29" s="70"/>
      <c r="H29" s="70"/>
      <c r="I29" s="70"/>
      <c r="J29" s="70"/>
    </row>
    <row r="30" spans="1:13">
      <c r="A30" s="8" t="s">
        <v>249</v>
      </c>
      <c r="B30" s="7" t="s">
        <v>866</v>
      </c>
      <c r="C30" s="7" t="s">
        <v>867</v>
      </c>
      <c r="D30" s="7" t="s">
        <v>868</v>
      </c>
      <c r="E30" s="7" t="s">
        <v>1435</v>
      </c>
      <c r="F30" s="7" t="s">
        <v>71</v>
      </c>
      <c r="G30" s="21" t="s">
        <v>120</v>
      </c>
      <c r="H30" s="21" t="s">
        <v>156</v>
      </c>
      <c r="I30" s="20" t="s">
        <v>869</v>
      </c>
      <c r="J30" s="8"/>
      <c r="K30" s="33" t="str">
        <f>"340,0"</f>
        <v>340,0</v>
      </c>
      <c r="L30" s="8" t="str">
        <f>"208,7260"</f>
        <v>208,7260</v>
      </c>
      <c r="M30" s="7"/>
    </row>
    <row r="31" spans="1:13">
      <c r="A31" s="14" t="s">
        <v>252</v>
      </c>
      <c r="B31" s="13" t="s">
        <v>870</v>
      </c>
      <c r="C31" s="13" t="s">
        <v>871</v>
      </c>
      <c r="D31" s="13" t="s">
        <v>178</v>
      </c>
      <c r="E31" s="13" t="s">
        <v>1435</v>
      </c>
      <c r="F31" s="13" t="s">
        <v>872</v>
      </c>
      <c r="G31" s="26" t="s">
        <v>67</v>
      </c>
      <c r="H31" s="26" t="s">
        <v>64</v>
      </c>
      <c r="I31" s="27" t="s">
        <v>93</v>
      </c>
      <c r="J31" s="14"/>
      <c r="K31" s="34" t="str">
        <f>"280,0"</f>
        <v>280,0</v>
      </c>
      <c r="L31" s="14" t="str">
        <f>"174,8320"</f>
        <v>174,8320</v>
      </c>
      <c r="M31" s="13" t="s">
        <v>811</v>
      </c>
    </row>
    <row r="32" spans="1:13">
      <c r="A32" s="14" t="s">
        <v>253</v>
      </c>
      <c r="B32" s="13" t="s">
        <v>873</v>
      </c>
      <c r="C32" s="13" t="s">
        <v>874</v>
      </c>
      <c r="D32" s="13" t="s">
        <v>841</v>
      </c>
      <c r="E32" s="13" t="s">
        <v>1435</v>
      </c>
      <c r="F32" s="13" t="s">
        <v>875</v>
      </c>
      <c r="G32" s="26" t="s">
        <v>110</v>
      </c>
      <c r="H32" s="27" t="s">
        <v>93</v>
      </c>
      <c r="I32" s="27" t="s">
        <v>93</v>
      </c>
      <c r="J32" s="14"/>
      <c r="K32" s="34" t="str">
        <f>"275,0"</f>
        <v>275,0</v>
      </c>
      <c r="L32" s="14" t="str">
        <f>"168,0525"</f>
        <v>168,0525</v>
      </c>
      <c r="M32" s="13"/>
    </row>
    <row r="33" spans="1:13">
      <c r="A33" s="14" t="s">
        <v>254</v>
      </c>
      <c r="B33" s="13" t="s">
        <v>876</v>
      </c>
      <c r="C33" s="13" t="s">
        <v>877</v>
      </c>
      <c r="D33" s="13" t="s">
        <v>878</v>
      </c>
      <c r="E33" s="13" t="s">
        <v>1435</v>
      </c>
      <c r="F33" s="13" t="s">
        <v>445</v>
      </c>
      <c r="G33" s="26" t="s">
        <v>66</v>
      </c>
      <c r="H33" s="26" t="s">
        <v>67</v>
      </c>
      <c r="I33" s="27" t="s">
        <v>110</v>
      </c>
      <c r="J33" s="14"/>
      <c r="K33" s="34" t="str">
        <f>"260,0"</f>
        <v>260,0</v>
      </c>
      <c r="L33" s="14" t="str">
        <f>"161,8760"</f>
        <v>161,8760</v>
      </c>
      <c r="M33" s="13" t="s">
        <v>879</v>
      </c>
    </row>
    <row r="34" spans="1:13">
      <c r="A34" s="10" t="s">
        <v>255</v>
      </c>
      <c r="B34" s="9" t="s">
        <v>533</v>
      </c>
      <c r="C34" s="9" t="s">
        <v>534</v>
      </c>
      <c r="D34" s="9" t="s">
        <v>535</v>
      </c>
      <c r="E34" s="9" t="s">
        <v>1435</v>
      </c>
      <c r="F34" s="9" t="s">
        <v>1262</v>
      </c>
      <c r="G34" s="22" t="s">
        <v>17</v>
      </c>
      <c r="H34" s="23" t="s">
        <v>85</v>
      </c>
      <c r="I34" s="10"/>
      <c r="J34" s="10"/>
      <c r="K34" s="35" t="str">
        <f>"100,0"</f>
        <v>100,0</v>
      </c>
      <c r="L34" s="10" t="str">
        <f>"61,2600"</f>
        <v>61,2600</v>
      </c>
      <c r="M34" s="9"/>
    </row>
    <row r="35" spans="1:13">
      <c r="B35" s="5" t="s">
        <v>250</v>
      </c>
    </row>
    <row r="36" spans="1:13" ht="16">
      <c r="A36" s="70" t="s">
        <v>192</v>
      </c>
      <c r="B36" s="70"/>
      <c r="C36" s="70"/>
      <c r="D36" s="70"/>
      <c r="E36" s="70"/>
      <c r="F36" s="70"/>
      <c r="G36" s="70"/>
      <c r="H36" s="70"/>
      <c r="I36" s="70"/>
      <c r="J36" s="70"/>
    </row>
    <row r="37" spans="1:13">
      <c r="A37" s="8" t="s">
        <v>249</v>
      </c>
      <c r="B37" s="7" t="s">
        <v>540</v>
      </c>
      <c r="C37" s="7" t="s">
        <v>136</v>
      </c>
      <c r="D37" s="7" t="s">
        <v>541</v>
      </c>
      <c r="E37" s="7" t="s">
        <v>1435</v>
      </c>
      <c r="F37" s="7" t="s">
        <v>542</v>
      </c>
      <c r="G37" s="21" t="s">
        <v>112</v>
      </c>
      <c r="H37" s="21" t="s">
        <v>504</v>
      </c>
      <c r="I37" s="21" t="s">
        <v>157</v>
      </c>
      <c r="J37" s="8"/>
      <c r="K37" s="33" t="str">
        <f>"350,0"</f>
        <v>350,0</v>
      </c>
      <c r="L37" s="8" t="str">
        <f>"209,7900"</f>
        <v>209,7900</v>
      </c>
      <c r="M37" s="7"/>
    </row>
    <row r="38" spans="1:13">
      <c r="A38" s="14" t="s">
        <v>252</v>
      </c>
      <c r="B38" s="13" t="s">
        <v>880</v>
      </c>
      <c r="C38" s="13" t="s">
        <v>881</v>
      </c>
      <c r="D38" s="13" t="s">
        <v>659</v>
      </c>
      <c r="E38" s="13" t="s">
        <v>1435</v>
      </c>
      <c r="F38" s="13" t="s">
        <v>872</v>
      </c>
      <c r="G38" s="26" t="s">
        <v>93</v>
      </c>
      <c r="H38" s="26" t="s">
        <v>203</v>
      </c>
      <c r="I38" s="14"/>
      <c r="J38" s="14"/>
      <c r="K38" s="34" t="str">
        <f>"305,0"</f>
        <v>305,0</v>
      </c>
      <c r="L38" s="14" t="str">
        <f>"180,9260"</f>
        <v>180,9260</v>
      </c>
      <c r="M38" s="13"/>
    </row>
    <row r="39" spans="1:13">
      <c r="A39" s="14" t="s">
        <v>253</v>
      </c>
      <c r="B39" s="13" t="s">
        <v>882</v>
      </c>
      <c r="C39" s="13" t="s">
        <v>883</v>
      </c>
      <c r="D39" s="13" t="s">
        <v>491</v>
      </c>
      <c r="E39" s="13" t="s">
        <v>1435</v>
      </c>
      <c r="F39" s="13" t="s">
        <v>445</v>
      </c>
      <c r="G39" s="26" t="s">
        <v>63</v>
      </c>
      <c r="H39" s="27" t="s">
        <v>64</v>
      </c>
      <c r="I39" s="27" t="s">
        <v>64</v>
      </c>
      <c r="J39" s="14"/>
      <c r="K39" s="34" t="str">
        <f>"270,0"</f>
        <v>270,0</v>
      </c>
      <c r="L39" s="14" t="str">
        <f>"162,7560"</f>
        <v>162,7560</v>
      </c>
      <c r="M39" s="13" t="s">
        <v>526</v>
      </c>
    </row>
    <row r="40" spans="1:13">
      <c r="A40" s="14" t="s">
        <v>254</v>
      </c>
      <c r="B40" s="13" t="s">
        <v>884</v>
      </c>
      <c r="C40" s="13" t="s">
        <v>885</v>
      </c>
      <c r="D40" s="13" t="s">
        <v>886</v>
      </c>
      <c r="E40" s="13" t="s">
        <v>1435</v>
      </c>
      <c r="F40" s="13" t="s">
        <v>1262</v>
      </c>
      <c r="G40" s="26" t="s">
        <v>98</v>
      </c>
      <c r="H40" s="26" t="s">
        <v>109</v>
      </c>
      <c r="I40" s="27" t="s">
        <v>64</v>
      </c>
      <c r="J40" s="14"/>
      <c r="K40" s="34" t="str">
        <f>"265,0"</f>
        <v>265,0</v>
      </c>
      <c r="L40" s="14" t="str">
        <f>"157,4365"</f>
        <v>157,4365</v>
      </c>
      <c r="M40" s="13" t="s">
        <v>887</v>
      </c>
    </row>
    <row r="41" spans="1:13">
      <c r="A41" s="14" t="s">
        <v>255</v>
      </c>
      <c r="B41" s="13" t="s">
        <v>888</v>
      </c>
      <c r="C41" s="13" t="s">
        <v>889</v>
      </c>
      <c r="D41" s="13" t="s">
        <v>890</v>
      </c>
      <c r="E41" s="13" t="s">
        <v>1435</v>
      </c>
      <c r="F41" s="13" t="s">
        <v>342</v>
      </c>
      <c r="G41" s="26" t="s">
        <v>891</v>
      </c>
      <c r="H41" s="26" t="s">
        <v>62</v>
      </c>
      <c r="I41" s="26" t="s">
        <v>67</v>
      </c>
      <c r="J41" s="14"/>
      <c r="K41" s="34" t="str">
        <f>"260,0"</f>
        <v>260,0</v>
      </c>
      <c r="L41" s="14" t="str">
        <f>"154,3620"</f>
        <v>154,3620</v>
      </c>
      <c r="M41" s="13"/>
    </row>
    <row r="42" spans="1:13">
      <c r="A42" s="14" t="s">
        <v>256</v>
      </c>
      <c r="B42" s="13" t="s">
        <v>892</v>
      </c>
      <c r="C42" s="13" t="s">
        <v>893</v>
      </c>
      <c r="D42" s="13" t="s">
        <v>894</v>
      </c>
      <c r="E42" s="13" t="s">
        <v>1435</v>
      </c>
      <c r="F42" s="13" t="s">
        <v>342</v>
      </c>
      <c r="G42" s="26" t="s">
        <v>67</v>
      </c>
      <c r="H42" s="27" t="s">
        <v>64</v>
      </c>
      <c r="I42" s="27" t="s">
        <v>64</v>
      </c>
      <c r="J42" s="14"/>
      <c r="K42" s="34" t="str">
        <f>"260,0"</f>
        <v>260,0</v>
      </c>
      <c r="L42" s="14" t="str">
        <f>"154,0240"</f>
        <v>154,0240</v>
      </c>
      <c r="M42" s="13" t="s">
        <v>895</v>
      </c>
    </row>
    <row r="43" spans="1:13">
      <c r="A43" s="10" t="s">
        <v>249</v>
      </c>
      <c r="B43" s="9" t="s">
        <v>547</v>
      </c>
      <c r="C43" s="9" t="s">
        <v>1357</v>
      </c>
      <c r="D43" s="9" t="s">
        <v>549</v>
      </c>
      <c r="E43" s="9" t="s">
        <v>1438</v>
      </c>
      <c r="F43" s="9" t="s">
        <v>154</v>
      </c>
      <c r="G43" s="22" t="s">
        <v>85</v>
      </c>
      <c r="H43" s="22" t="s">
        <v>133</v>
      </c>
      <c r="I43" s="23" t="s">
        <v>198</v>
      </c>
      <c r="J43" s="10"/>
      <c r="K43" s="35" t="str">
        <f>"230,0"</f>
        <v>230,0</v>
      </c>
      <c r="L43" s="10" t="str">
        <f>"148,3995"</f>
        <v>148,3995</v>
      </c>
      <c r="M43" s="9" t="s">
        <v>550</v>
      </c>
    </row>
    <row r="44" spans="1:13">
      <c r="B44" s="5" t="s">
        <v>250</v>
      </c>
    </row>
    <row r="45" spans="1:13" ht="16">
      <c r="A45" s="70" t="s">
        <v>212</v>
      </c>
      <c r="B45" s="70"/>
      <c r="C45" s="70"/>
      <c r="D45" s="70"/>
      <c r="E45" s="70"/>
      <c r="F45" s="70"/>
      <c r="G45" s="70"/>
      <c r="H45" s="70"/>
      <c r="I45" s="70"/>
      <c r="J45" s="70"/>
    </row>
    <row r="46" spans="1:13">
      <c r="A46" s="8" t="s">
        <v>249</v>
      </c>
      <c r="B46" s="7" t="s">
        <v>896</v>
      </c>
      <c r="C46" s="7" t="s">
        <v>897</v>
      </c>
      <c r="D46" s="7" t="s">
        <v>806</v>
      </c>
      <c r="E46" s="7" t="s">
        <v>1435</v>
      </c>
      <c r="F46" s="7" t="s">
        <v>898</v>
      </c>
      <c r="G46" s="21" t="s">
        <v>899</v>
      </c>
      <c r="H46" s="21" t="s">
        <v>900</v>
      </c>
      <c r="I46" s="20" t="s">
        <v>869</v>
      </c>
      <c r="J46" s="8"/>
      <c r="K46" s="33" t="str">
        <f>"345,0"</f>
        <v>345,0</v>
      </c>
      <c r="L46" s="8" t="str">
        <f>"197,3745"</f>
        <v>197,3745</v>
      </c>
      <c r="M46" s="7" t="s">
        <v>901</v>
      </c>
    </row>
    <row r="47" spans="1:13">
      <c r="A47" s="10" t="s">
        <v>249</v>
      </c>
      <c r="B47" s="9" t="s">
        <v>902</v>
      </c>
      <c r="C47" s="9" t="s">
        <v>1358</v>
      </c>
      <c r="D47" s="9" t="s">
        <v>903</v>
      </c>
      <c r="E47" s="9" t="s">
        <v>1438</v>
      </c>
      <c r="F47" s="9" t="s">
        <v>601</v>
      </c>
      <c r="G47" s="22" t="s">
        <v>64</v>
      </c>
      <c r="H47" s="23" t="s">
        <v>94</v>
      </c>
      <c r="I47" s="22" t="s">
        <v>94</v>
      </c>
      <c r="J47" s="10"/>
      <c r="K47" s="35" t="str">
        <f>"300,0"</f>
        <v>300,0</v>
      </c>
      <c r="L47" s="10" t="str">
        <f>"189,8820"</f>
        <v>189,8820</v>
      </c>
      <c r="M47" s="30" t="s">
        <v>1260</v>
      </c>
    </row>
    <row r="48" spans="1:13">
      <c r="B48" s="5" t="s">
        <v>250</v>
      </c>
    </row>
    <row r="51" spans="2:6" ht="18">
      <c r="B51" s="15" t="s">
        <v>227</v>
      </c>
      <c r="C51" s="15"/>
    </row>
    <row r="52" spans="2:6" ht="16">
      <c r="B52" s="16" t="s">
        <v>239</v>
      </c>
      <c r="C52" s="16"/>
    </row>
    <row r="53" spans="2:6" ht="14">
      <c r="B53" s="17"/>
      <c r="C53" s="18" t="s">
        <v>229</v>
      </c>
    </row>
    <row r="54" spans="2:6" ht="14">
      <c r="B54" s="19" t="s">
        <v>230</v>
      </c>
      <c r="C54" s="19" t="s">
        <v>231</v>
      </c>
      <c r="D54" s="19" t="s">
        <v>232</v>
      </c>
      <c r="E54" s="19" t="s">
        <v>685</v>
      </c>
      <c r="F54" s="19" t="s">
        <v>234</v>
      </c>
    </row>
    <row r="55" spans="2:6">
      <c r="B55" s="5" t="s">
        <v>58</v>
      </c>
      <c r="C55" s="5" t="s">
        <v>229</v>
      </c>
      <c r="D55" s="6" t="s">
        <v>246</v>
      </c>
      <c r="E55" s="6" t="s">
        <v>62</v>
      </c>
      <c r="F55" s="6" t="s">
        <v>905</v>
      </c>
    </row>
    <row r="56" spans="2:6">
      <c r="B56" s="5" t="s">
        <v>540</v>
      </c>
      <c r="C56" s="5" t="s">
        <v>229</v>
      </c>
      <c r="D56" s="6" t="s">
        <v>522</v>
      </c>
      <c r="E56" s="6" t="s">
        <v>157</v>
      </c>
      <c r="F56" s="6" t="s">
        <v>906</v>
      </c>
    </row>
    <row r="57" spans="2:6">
      <c r="B57" s="5" t="s">
        <v>866</v>
      </c>
      <c r="C57" s="5" t="s">
        <v>229</v>
      </c>
      <c r="D57" s="6" t="s">
        <v>240</v>
      </c>
      <c r="E57" s="6" t="s">
        <v>156</v>
      </c>
      <c r="F57" s="6" t="s">
        <v>907</v>
      </c>
    </row>
  </sheetData>
  <mergeCells count="21">
    <mergeCell ref="A29:J29"/>
    <mergeCell ref="A36:J36"/>
    <mergeCell ref="A45:J45"/>
    <mergeCell ref="B3:B4"/>
    <mergeCell ref="A9:J9"/>
    <mergeCell ref="A12:J12"/>
    <mergeCell ref="A16:J16"/>
    <mergeCell ref="A19:J19"/>
    <mergeCell ref="A22:J22"/>
    <mergeCell ref="A25:J25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Q10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0.1640625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30.5" style="5" bestFit="1" customWidth="1"/>
    <col min="7" max="14" width="5.5" style="6" customWidth="1"/>
    <col min="15" max="15" width="7.83203125" style="6" bestFit="1" customWidth="1"/>
    <col min="16" max="16" width="7.5" style="6" bestFit="1" customWidth="1"/>
    <col min="17" max="17" width="17.1640625" style="5" customWidth="1"/>
    <col min="18" max="16384" width="9.1640625" style="3"/>
  </cols>
  <sheetData>
    <row r="1" spans="1:17" s="2" customFormat="1" ht="29" customHeight="1">
      <c r="A1" s="57" t="s">
        <v>1417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1:17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4"/>
    </row>
    <row r="3" spans="1:17" s="1" customFormat="1" ht="12.75" customHeight="1">
      <c r="A3" s="65" t="s">
        <v>1430</v>
      </c>
      <c r="B3" s="77" t="s">
        <v>0</v>
      </c>
      <c r="C3" s="67" t="s">
        <v>1432</v>
      </c>
      <c r="D3" s="67" t="s">
        <v>8</v>
      </c>
      <c r="E3" s="69" t="s">
        <v>1433</v>
      </c>
      <c r="F3" s="69" t="s">
        <v>5</v>
      </c>
      <c r="G3" s="69" t="s">
        <v>1431</v>
      </c>
      <c r="H3" s="69"/>
      <c r="I3" s="69"/>
      <c r="J3" s="69"/>
      <c r="K3" s="69" t="s">
        <v>1207</v>
      </c>
      <c r="L3" s="69"/>
      <c r="M3" s="69"/>
      <c r="N3" s="69"/>
      <c r="O3" s="69" t="s">
        <v>1</v>
      </c>
      <c r="P3" s="69" t="s">
        <v>3</v>
      </c>
      <c r="Q3" s="73" t="s">
        <v>2</v>
      </c>
    </row>
    <row r="4" spans="1:17" s="1" customFormat="1" ht="21" customHeight="1" thickBot="1">
      <c r="A4" s="66"/>
      <c r="B4" s="78"/>
      <c r="C4" s="68"/>
      <c r="D4" s="68"/>
      <c r="E4" s="68"/>
      <c r="F4" s="6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8"/>
      <c r="P4" s="68"/>
      <c r="Q4" s="74"/>
    </row>
    <row r="5" spans="1:17" ht="16">
      <c r="A5" s="75" t="s">
        <v>289</v>
      </c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7">
      <c r="A6" s="12" t="s">
        <v>249</v>
      </c>
      <c r="B6" s="11" t="s">
        <v>1160</v>
      </c>
      <c r="C6" s="11" t="s">
        <v>1359</v>
      </c>
      <c r="D6" s="11" t="s">
        <v>1161</v>
      </c>
      <c r="E6" s="11" t="s">
        <v>1437</v>
      </c>
      <c r="F6" s="11" t="s">
        <v>263</v>
      </c>
      <c r="G6" s="24" t="s">
        <v>315</v>
      </c>
      <c r="H6" s="24" t="s">
        <v>1162</v>
      </c>
      <c r="I6" s="25" t="s">
        <v>1163</v>
      </c>
      <c r="J6" s="12"/>
      <c r="K6" s="24" t="s">
        <v>286</v>
      </c>
      <c r="L6" s="24" t="s">
        <v>1164</v>
      </c>
      <c r="M6" s="25" t="s">
        <v>1165</v>
      </c>
      <c r="N6" s="12"/>
      <c r="O6" s="12" t="str">
        <f>"67,5"</f>
        <v>67,5</v>
      </c>
      <c r="P6" s="12" t="str">
        <f>"76,0320"</f>
        <v>76,0320</v>
      </c>
      <c r="Q6" s="11" t="s">
        <v>269</v>
      </c>
    </row>
    <row r="7" spans="1:17">
      <c r="B7" s="5" t="s">
        <v>250</v>
      </c>
    </row>
    <row r="8" spans="1:17" ht="16">
      <c r="A8" s="70" t="s">
        <v>68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7">
      <c r="A9" s="12" t="s">
        <v>249</v>
      </c>
      <c r="B9" s="11" t="s">
        <v>1166</v>
      </c>
      <c r="C9" s="11" t="s">
        <v>1167</v>
      </c>
      <c r="D9" s="11" t="s">
        <v>1168</v>
      </c>
      <c r="E9" s="11" t="s">
        <v>1435</v>
      </c>
      <c r="F9" s="11" t="s">
        <v>263</v>
      </c>
      <c r="G9" s="24" t="s">
        <v>21</v>
      </c>
      <c r="H9" s="25" t="s">
        <v>293</v>
      </c>
      <c r="I9" s="25" t="s">
        <v>293</v>
      </c>
      <c r="J9" s="12"/>
      <c r="K9" s="24" t="s">
        <v>266</v>
      </c>
      <c r="L9" s="24" t="s">
        <v>309</v>
      </c>
      <c r="M9" s="24" t="s">
        <v>50</v>
      </c>
      <c r="N9" s="12"/>
      <c r="O9" s="12" t="str">
        <f>"142,5"</f>
        <v>142,5</v>
      </c>
      <c r="P9" s="12" t="str">
        <f>"99,4009"</f>
        <v>99,4009</v>
      </c>
      <c r="Q9" s="11" t="s">
        <v>269</v>
      </c>
    </row>
    <row r="10" spans="1:17">
      <c r="B10" s="5" t="s">
        <v>250</v>
      </c>
    </row>
  </sheetData>
  <mergeCells count="14">
    <mergeCell ref="A8:N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Q12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1.1640625" style="5" bestFit="1" customWidth="1"/>
    <col min="7" max="14" width="5.5" style="6" customWidth="1"/>
    <col min="15" max="15" width="7.83203125" style="6" bestFit="1" customWidth="1"/>
    <col min="16" max="16" width="8.5" style="6" bestFit="1" customWidth="1"/>
    <col min="17" max="17" width="21" style="5" customWidth="1"/>
    <col min="18" max="16384" width="9.1640625" style="3"/>
  </cols>
  <sheetData>
    <row r="1" spans="1:17" s="2" customFormat="1" ht="29" customHeight="1">
      <c r="A1" s="57" t="s">
        <v>1418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1:17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4"/>
    </row>
    <row r="3" spans="1:17" s="1" customFormat="1" ht="12.75" customHeight="1">
      <c r="A3" s="65" t="s">
        <v>1430</v>
      </c>
      <c r="B3" s="77" t="s">
        <v>0</v>
      </c>
      <c r="C3" s="67" t="s">
        <v>1432</v>
      </c>
      <c r="D3" s="67" t="s">
        <v>8</v>
      </c>
      <c r="E3" s="69" t="s">
        <v>1433</v>
      </c>
      <c r="F3" s="69" t="s">
        <v>5</v>
      </c>
      <c r="G3" s="69" t="s">
        <v>1431</v>
      </c>
      <c r="H3" s="69"/>
      <c r="I3" s="69"/>
      <c r="J3" s="69"/>
      <c r="K3" s="69" t="s">
        <v>1207</v>
      </c>
      <c r="L3" s="69"/>
      <c r="M3" s="69"/>
      <c r="N3" s="69"/>
      <c r="O3" s="69" t="s">
        <v>1</v>
      </c>
      <c r="P3" s="69" t="s">
        <v>3</v>
      </c>
      <c r="Q3" s="73" t="s">
        <v>2</v>
      </c>
    </row>
    <row r="4" spans="1:17" s="1" customFormat="1" ht="21" customHeight="1" thickBot="1">
      <c r="A4" s="66"/>
      <c r="B4" s="78"/>
      <c r="C4" s="68"/>
      <c r="D4" s="68"/>
      <c r="E4" s="68"/>
      <c r="F4" s="6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8"/>
      <c r="P4" s="68"/>
      <c r="Q4" s="74"/>
    </row>
    <row r="5" spans="1:17" ht="16">
      <c r="A5" s="75" t="s">
        <v>34</v>
      </c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7">
      <c r="A6" s="8" t="s">
        <v>249</v>
      </c>
      <c r="B6" s="7" t="s">
        <v>1134</v>
      </c>
      <c r="C6" s="7" t="s">
        <v>1135</v>
      </c>
      <c r="D6" s="7" t="s">
        <v>838</v>
      </c>
      <c r="E6" s="7" t="s">
        <v>1435</v>
      </c>
      <c r="F6" s="7" t="s">
        <v>1425</v>
      </c>
      <c r="G6" s="20" t="s">
        <v>18</v>
      </c>
      <c r="H6" s="21" t="s">
        <v>18</v>
      </c>
      <c r="I6" s="21" t="s">
        <v>19</v>
      </c>
      <c r="J6" s="8"/>
      <c r="K6" s="21" t="s">
        <v>42</v>
      </c>
      <c r="L6" s="21" t="s">
        <v>1136</v>
      </c>
      <c r="M6" s="21" t="s">
        <v>187</v>
      </c>
      <c r="N6" s="8"/>
      <c r="O6" s="8" t="str">
        <f>"205,0"</f>
        <v>205,0</v>
      </c>
      <c r="P6" s="8" t="str">
        <f>"135,8945"</f>
        <v>135,8945</v>
      </c>
      <c r="Q6" s="7"/>
    </row>
    <row r="7" spans="1:17">
      <c r="A7" s="14" t="s">
        <v>252</v>
      </c>
      <c r="B7" s="13" t="s">
        <v>1153</v>
      </c>
      <c r="C7" s="13" t="s">
        <v>1154</v>
      </c>
      <c r="D7" s="13" t="s">
        <v>1155</v>
      </c>
      <c r="E7" s="13" t="s">
        <v>1435</v>
      </c>
      <c r="F7" s="13" t="s">
        <v>16</v>
      </c>
      <c r="G7" s="26" t="s">
        <v>287</v>
      </c>
      <c r="H7" s="26" t="s">
        <v>21</v>
      </c>
      <c r="I7" s="26" t="s">
        <v>293</v>
      </c>
      <c r="J7" s="14"/>
      <c r="K7" s="26" t="s">
        <v>308</v>
      </c>
      <c r="L7" s="26" t="s">
        <v>1156</v>
      </c>
      <c r="M7" s="26" t="s">
        <v>698</v>
      </c>
      <c r="N7" s="26" t="s">
        <v>266</v>
      </c>
      <c r="O7" s="14" t="str">
        <f>"137,5"</f>
        <v>137,5</v>
      </c>
      <c r="P7" s="14" t="str">
        <f>"88,9144"</f>
        <v>88,9144</v>
      </c>
      <c r="Q7" s="13"/>
    </row>
    <row r="8" spans="1:17">
      <c r="A8" s="10" t="s">
        <v>249</v>
      </c>
      <c r="B8" s="9" t="s">
        <v>1153</v>
      </c>
      <c r="C8" s="9" t="s">
        <v>1360</v>
      </c>
      <c r="D8" s="9" t="s">
        <v>1155</v>
      </c>
      <c r="E8" s="9" t="s">
        <v>1434</v>
      </c>
      <c r="F8" s="9" t="s">
        <v>16</v>
      </c>
      <c r="G8" s="22" t="s">
        <v>287</v>
      </c>
      <c r="H8" s="22" t="s">
        <v>21</v>
      </c>
      <c r="I8" s="22" t="s">
        <v>293</v>
      </c>
      <c r="J8" s="10"/>
      <c r="K8" s="22" t="s">
        <v>308</v>
      </c>
      <c r="L8" s="22" t="s">
        <v>1156</v>
      </c>
      <c r="M8" s="22" t="s">
        <v>698</v>
      </c>
      <c r="N8" s="22" t="s">
        <v>266</v>
      </c>
      <c r="O8" s="10" t="str">
        <f>"137,5"</f>
        <v>137,5</v>
      </c>
      <c r="P8" s="10" t="str">
        <f>"98,9617"</f>
        <v>98,9617</v>
      </c>
      <c r="Q8" s="9"/>
    </row>
    <row r="9" spans="1:17">
      <c r="B9" s="5" t="s">
        <v>250</v>
      </c>
    </row>
    <row r="10" spans="1:17" ht="16">
      <c r="A10" s="70" t="s">
        <v>105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</row>
    <row r="11" spans="1:17">
      <c r="A11" s="12" t="s">
        <v>249</v>
      </c>
      <c r="B11" s="11" t="s">
        <v>1157</v>
      </c>
      <c r="C11" s="11" t="s">
        <v>1158</v>
      </c>
      <c r="D11" s="11" t="s">
        <v>1159</v>
      </c>
      <c r="E11" s="11" t="s">
        <v>1435</v>
      </c>
      <c r="F11" s="11" t="s">
        <v>342</v>
      </c>
      <c r="G11" s="24" t="s">
        <v>17</v>
      </c>
      <c r="H11" s="24" t="s">
        <v>19</v>
      </c>
      <c r="I11" s="25" t="s">
        <v>265</v>
      </c>
      <c r="J11" s="12"/>
      <c r="K11" s="24" t="s">
        <v>266</v>
      </c>
      <c r="L11" s="25" t="s">
        <v>31</v>
      </c>
      <c r="M11" s="25" t="s">
        <v>31</v>
      </c>
      <c r="N11" s="12"/>
      <c r="O11" s="12" t="str">
        <f>"170,0"</f>
        <v>170,0</v>
      </c>
      <c r="P11" s="12" t="str">
        <f>"106,2670"</f>
        <v>106,2670</v>
      </c>
      <c r="Q11" s="11"/>
    </row>
    <row r="12" spans="1:17">
      <c r="B12" s="5" t="s">
        <v>250</v>
      </c>
    </row>
  </sheetData>
  <mergeCells count="14">
    <mergeCell ref="A10:N10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20"/>
  <sheetViews>
    <sheetView workbookViewId="0">
      <selection activeCell="E20" sqref="E20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2.83203125" style="5" bestFit="1" customWidth="1"/>
    <col min="7" max="9" width="4.5" style="6" customWidth="1"/>
    <col min="10" max="10" width="4.83203125" style="6" customWidth="1"/>
    <col min="11" max="11" width="12.5" style="6" customWidth="1"/>
    <col min="12" max="12" width="7.5" style="6" bestFit="1" customWidth="1"/>
    <col min="13" max="13" width="21.5" style="5" customWidth="1"/>
    <col min="14" max="16384" width="9.1640625" style="3"/>
  </cols>
  <sheetData>
    <row r="1" spans="1:13" s="2" customFormat="1" ht="29" customHeight="1">
      <c r="A1" s="57" t="s">
        <v>1419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1430</v>
      </c>
      <c r="B3" s="77" t="s">
        <v>0</v>
      </c>
      <c r="C3" s="67" t="s">
        <v>1432</v>
      </c>
      <c r="D3" s="67" t="s">
        <v>8</v>
      </c>
      <c r="E3" s="69" t="s">
        <v>1433</v>
      </c>
      <c r="F3" s="69" t="s">
        <v>5</v>
      </c>
      <c r="G3" s="69" t="s">
        <v>1431</v>
      </c>
      <c r="H3" s="69"/>
      <c r="I3" s="69"/>
      <c r="J3" s="69"/>
      <c r="K3" s="69" t="s">
        <v>692</v>
      </c>
      <c r="L3" s="69" t="s">
        <v>3</v>
      </c>
      <c r="M3" s="73" t="s">
        <v>2</v>
      </c>
    </row>
    <row r="4" spans="1:13" s="1" customFormat="1" ht="21" customHeight="1" thickBot="1">
      <c r="A4" s="66"/>
      <c r="B4" s="78"/>
      <c r="C4" s="68"/>
      <c r="D4" s="68"/>
      <c r="E4" s="68"/>
      <c r="F4" s="68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74"/>
    </row>
    <row r="5" spans="1:13" ht="16">
      <c r="A5" s="75" t="s">
        <v>12</v>
      </c>
      <c r="B5" s="75"/>
      <c r="C5" s="76"/>
      <c r="D5" s="76"/>
      <c r="E5" s="76"/>
      <c r="F5" s="76"/>
      <c r="G5" s="76"/>
      <c r="H5" s="76"/>
      <c r="I5" s="76"/>
      <c r="J5" s="76"/>
    </row>
    <row r="6" spans="1:13">
      <c r="A6" s="12" t="s">
        <v>249</v>
      </c>
      <c r="B6" s="11" t="s">
        <v>707</v>
      </c>
      <c r="C6" s="11" t="s">
        <v>1361</v>
      </c>
      <c r="D6" s="11" t="s">
        <v>1140</v>
      </c>
      <c r="E6" s="11" t="s">
        <v>1438</v>
      </c>
      <c r="F6" s="11" t="s">
        <v>1262</v>
      </c>
      <c r="G6" s="24" t="s">
        <v>275</v>
      </c>
      <c r="H6" s="25" t="s">
        <v>277</v>
      </c>
      <c r="I6" s="25" t="s">
        <v>277</v>
      </c>
      <c r="J6" s="12"/>
      <c r="K6" s="12" t="str">
        <f>"40,0"</f>
        <v>40,0</v>
      </c>
      <c r="L6" s="12" t="str">
        <f>"44,1858"</f>
        <v>44,1858</v>
      </c>
      <c r="M6" s="11" t="s">
        <v>709</v>
      </c>
    </row>
    <row r="7" spans="1:13">
      <c r="B7" s="5" t="s">
        <v>250</v>
      </c>
    </row>
    <row r="8" spans="1:13" ht="16">
      <c r="A8" s="70" t="s">
        <v>68</v>
      </c>
      <c r="B8" s="70"/>
      <c r="C8" s="70"/>
      <c r="D8" s="70"/>
      <c r="E8" s="70"/>
      <c r="F8" s="70"/>
      <c r="G8" s="70"/>
      <c r="H8" s="70"/>
      <c r="I8" s="70"/>
      <c r="J8" s="70"/>
    </row>
    <row r="9" spans="1:13">
      <c r="A9" s="12" t="s">
        <v>249</v>
      </c>
      <c r="B9" s="11" t="s">
        <v>1141</v>
      </c>
      <c r="C9" s="11" t="s">
        <v>1142</v>
      </c>
      <c r="D9" s="11" t="s">
        <v>70</v>
      </c>
      <c r="E9" s="11" t="s">
        <v>1435</v>
      </c>
      <c r="F9" s="11" t="s">
        <v>1427</v>
      </c>
      <c r="G9" s="24" t="s">
        <v>1130</v>
      </c>
      <c r="H9" s="24" t="s">
        <v>315</v>
      </c>
      <c r="I9" s="25" t="s">
        <v>316</v>
      </c>
      <c r="J9" s="12"/>
      <c r="K9" s="12" t="str">
        <f>"35,0"</f>
        <v>35,0</v>
      </c>
      <c r="L9" s="12" t="str">
        <f>"29,2635"</f>
        <v>29,2635</v>
      </c>
      <c r="M9" s="11"/>
    </row>
    <row r="10" spans="1:13">
      <c r="B10" s="5" t="s">
        <v>250</v>
      </c>
    </row>
    <row r="11" spans="1:13" ht="16">
      <c r="A11" s="70" t="s">
        <v>12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3">
      <c r="A12" s="12" t="s">
        <v>249</v>
      </c>
      <c r="B12" s="11" t="s">
        <v>1143</v>
      </c>
      <c r="C12" s="11" t="s">
        <v>1362</v>
      </c>
      <c r="D12" s="11" t="s">
        <v>591</v>
      </c>
      <c r="E12" s="11" t="s">
        <v>1436</v>
      </c>
      <c r="F12" s="11" t="s">
        <v>387</v>
      </c>
      <c r="G12" s="24" t="s">
        <v>315</v>
      </c>
      <c r="H12" s="24" t="s">
        <v>277</v>
      </c>
      <c r="I12" s="24" t="s">
        <v>283</v>
      </c>
      <c r="J12" s="12"/>
      <c r="K12" s="12" t="str">
        <f>"50,0"</f>
        <v>50,0</v>
      </c>
      <c r="L12" s="12" t="str">
        <f>"37,6575"</f>
        <v>37,6575</v>
      </c>
      <c r="M12" s="11" t="s">
        <v>388</v>
      </c>
    </row>
    <row r="13" spans="1:13">
      <c r="B13" s="5" t="s">
        <v>250</v>
      </c>
    </row>
    <row r="14" spans="1:13" ht="16">
      <c r="A14" s="70" t="s">
        <v>68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1:13">
      <c r="A15" s="8" t="s">
        <v>249</v>
      </c>
      <c r="B15" s="7" t="s">
        <v>1144</v>
      </c>
      <c r="C15" s="7" t="s">
        <v>1145</v>
      </c>
      <c r="D15" s="7" t="s">
        <v>1146</v>
      </c>
      <c r="E15" s="7" t="s">
        <v>1435</v>
      </c>
      <c r="F15" s="7" t="s">
        <v>1262</v>
      </c>
      <c r="G15" s="21" t="s">
        <v>21</v>
      </c>
      <c r="H15" s="21" t="s">
        <v>41</v>
      </c>
      <c r="I15" s="20" t="s">
        <v>273</v>
      </c>
      <c r="J15" s="8"/>
      <c r="K15" s="8" t="str">
        <f>"82,5"</f>
        <v>82,5</v>
      </c>
      <c r="L15" s="8" t="str">
        <f>"57,9686"</f>
        <v>57,9686</v>
      </c>
      <c r="M15" s="7"/>
    </row>
    <row r="16" spans="1:13">
      <c r="A16" s="10" t="s">
        <v>252</v>
      </c>
      <c r="B16" s="9" t="s">
        <v>1147</v>
      </c>
      <c r="C16" s="9" t="s">
        <v>1148</v>
      </c>
      <c r="D16" s="9" t="s">
        <v>1034</v>
      </c>
      <c r="E16" s="9" t="s">
        <v>1435</v>
      </c>
      <c r="F16" s="9" t="s">
        <v>445</v>
      </c>
      <c r="G16" s="22" t="s">
        <v>283</v>
      </c>
      <c r="H16" s="22" t="s">
        <v>308</v>
      </c>
      <c r="I16" s="23" t="s">
        <v>266</v>
      </c>
      <c r="J16" s="10"/>
      <c r="K16" s="10" t="str">
        <f>"55,0"</f>
        <v>55,0</v>
      </c>
      <c r="L16" s="10" t="str">
        <f>"38,4065"</f>
        <v>38,4065</v>
      </c>
      <c r="M16" s="9" t="s">
        <v>1426</v>
      </c>
    </row>
    <row r="17" spans="1:13">
      <c r="B17" s="5" t="s">
        <v>250</v>
      </c>
    </row>
    <row r="18" spans="1:13" ht="16">
      <c r="A18" s="70" t="s">
        <v>105</v>
      </c>
      <c r="B18" s="70"/>
      <c r="C18" s="70"/>
      <c r="D18" s="70"/>
      <c r="E18" s="70"/>
      <c r="F18" s="70"/>
      <c r="G18" s="70"/>
      <c r="H18" s="70"/>
      <c r="I18" s="70"/>
      <c r="J18" s="70"/>
    </row>
    <row r="19" spans="1:13">
      <c r="A19" s="12" t="s">
        <v>249</v>
      </c>
      <c r="B19" s="11" t="s">
        <v>1149</v>
      </c>
      <c r="C19" s="11" t="s">
        <v>1150</v>
      </c>
      <c r="D19" s="11" t="s">
        <v>141</v>
      </c>
      <c r="E19" s="11" t="s">
        <v>1435</v>
      </c>
      <c r="F19" s="11" t="s">
        <v>1151</v>
      </c>
      <c r="G19" s="24" t="s">
        <v>287</v>
      </c>
      <c r="H19" s="25" t="s">
        <v>21</v>
      </c>
      <c r="I19" s="24" t="s">
        <v>21</v>
      </c>
      <c r="J19" s="12"/>
      <c r="K19" s="12" t="str">
        <f>"77,5"</f>
        <v>77,5</v>
      </c>
      <c r="L19" s="12" t="str">
        <f>"47,7439"</f>
        <v>47,7439</v>
      </c>
      <c r="M19" s="11"/>
    </row>
    <row r="20" spans="1:13">
      <c r="B20" s="5" t="s">
        <v>250</v>
      </c>
    </row>
  </sheetData>
  <mergeCells count="16">
    <mergeCell ref="A8:J8"/>
    <mergeCell ref="A11:J11"/>
    <mergeCell ref="A14:J14"/>
    <mergeCell ref="A18:J1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23"/>
  <sheetViews>
    <sheetView workbookViewId="0">
      <selection activeCell="E23" sqref="E23"/>
    </sheetView>
  </sheetViews>
  <sheetFormatPr baseColWidth="10" defaultColWidth="9.1640625" defaultRowHeight="13"/>
  <cols>
    <col min="1" max="1" width="7.5" style="5" bestFit="1" customWidth="1"/>
    <col min="2" max="2" width="17.8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1.33203125" style="5" bestFit="1" customWidth="1"/>
    <col min="7" max="10" width="5.5" style="6" customWidth="1"/>
    <col min="11" max="11" width="13.33203125" style="6" customWidth="1"/>
    <col min="12" max="12" width="9.83203125" style="6" customWidth="1"/>
    <col min="13" max="13" width="19.1640625" style="5" customWidth="1"/>
    <col min="14" max="16384" width="9.1640625" style="3"/>
  </cols>
  <sheetData>
    <row r="1" spans="1:13" s="2" customFormat="1" ht="29" customHeight="1">
      <c r="A1" s="57" t="s">
        <v>1420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1430</v>
      </c>
      <c r="B3" s="77" t="s">
        <v>0</v>
      </c>
      <c r="C3" s="67" t="s">
        <v>1432</v>
      </c>
      <c r="D3" s="67" t="s">
        <v>8</v>
      </c>
      <c r="E3" s="69" t="s">
        <v>1433</v>
      </c>
      <c r="F3" s="69" t="s">
        <v>5</v>
      </c>
      <c r="G3" s="69" t="s">
        <v>1431</v>
      </c>
      <c r="H3" s="69"/>
      <c r="I3" s="69"/>
      <c r="J3" s="69"/>
      <c r="K3" s="69" t="s">
        <v>692</v>
      </c>
      <c r="L3" s="69" t="s">
        <v>3</v>
      </c>
      <c r="M3" s="73" t="s">
        <v>2</v>
      </c>
    </row>
    <row r="4" spans="1:13" s="1" customFormat="1" ht="21" customHeight="1" thickBot="1">
      <c r="A4" s="66"/>
      <c r="B4" s="78"/>
      <c r="C4" s="68"/>
      <c r="D4" s="68"/>
      <c r="E4" s="68"/>
      <c r="F4" s="68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74"/>
    </row>
    <row r="5" spans="1:13" ht="16">
      <c r="A5" s="75" t="s">
        <v>12</v>
      </c>
      <c r="B5" s="75"/>
      <c r="C5" s="76"/>
      <c r="D5" s="76"/>
      <c r="E5" s="76"/>
      <c r="F5" s="76"/>
      <c r="G5" s="76"/>
      <c r="H5" s="76"/>
      <c r="I5" s="76"/>
      <c r="J5" s="76"/>
    </row>
    <row r="6" spans="1:13">
      <c r="A6" s="12" t="s">
        <v>249</v>
      </c>
      <c r="B6" s="11" t="s">
        <v>1126</v>
      </c>
      <c r="C6" s="11" t="s">
        <v>1127</v>
      </c>
      <c r="D6" s="11" t="s">
        <v>1128</v>
      </c>
      <c r="E6" s="11" t="s">
        <v>1435</v>
      </c>
      <c r="F6" s="11" t="s">
        <v>1129</v>
      </c>
      <c r="G6" s="24" t="s">
        <v>275</v>
      </c>
      <c r="H6" s="24" t="s">
        <v>276</v>
      </c>
      <c r="I6" s="25" t="s">
        <v>277</v>
      </c>
      <c r="J6" s="12"/>
      <c r="K6" s="12" t="str">
        <f>"42,5"</f>
        <v>42,5</v>
      </c>
      <c r="L6" s="12" t="str">
        <f>"39,0065"</f>
        <v>39,0065</v>
      </c>
      <c r="M6" s="11"/>
    </row>
    <row r="7" spans="1:13">
      <c r="B7" s="5" t="s">
        <v>250</v>
      </c>
    </row>
    <row r="8" spans="1:13" ht="16">
      <c r="A8" s="70" t="s">
        <v>68</v>
      </c>
      <c r="B8" s="70"/>
      <c r="C8" s="70"/>
      <c r="D8" s="70"/>
      <c r="E8" s="70"/>
      <c r="F8" s="70"/>
      <c r="G8" s="70"/>
      <c r="H8" s="70"/>
      <c r="I8" s="70"/>
      <c r="J8" s="70"/>
    </row>
    <row r="9" spans="1:13">
      <c r="A9" s="12" t="s">
        <v>249</v>
      </c>
      <c r="B9" s="11" t="s">
        <v>849</v>
      </c>
      <c r="C9" s="11" t="s">
        <v>1363</v>
      </c>
      <c r="D9" s="11" t="s">
        <v>850</v>
      </c>
      <c r="E9" s="11" t="s">
        <v>1434</v>
      </c>
      <c r="F9" s="11" t="s">
        <v>191</v>
      </c>
      <c r="G9" s="25" t="s">
        <v>1130</v>
      </c>
      <c r="H9" s="25" t="s">
        <v>1130</v>
      </c>
      <c r="I9" s="24" t="s">
        <v>1130</v>
      </c>
      <c r="J9" s="12"/>
      <c r="K9" s="12" t="str">
        <f>"32,5"</f>
        <v>32,5</v>
      </c>
      <c r="L9" s="12" t="str">
        <f>"31,6612"</f>
        <v>31,6612</v>
      </c>
      <c r="M9" s="11" t="s">
        <v>851</v>
      </c>
    </row>
    <row r="10" spans="1:13">
      <c r="B10" s="5" t="s">
        <v>250</v>
      </c>
    </row>
    <row r="11" spans="1:13" ht="16">
      <c r="A11" s="70" t="s">
        <v>12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3">
      <c r="A12" s="12" t="s">
        <v>249</v>
      </c>
      <c r="B12" s="11" t="s">
        <v>1131</v>
      </c>
      <c r="C12" s="11" t="s">
        <v>1132</v>
      </c>
      <c r="D12" s="11" t="s">
        <v>335</v>
      </c>
      <c r="E12" s="11" t="s">
        <v>1435</v>
      </c>
      <c r="F12" s="11" t="s">
        <v>387</v>
      </c>
      <c r="G12" s="24" t="s">
        <v>50</v>
      </c>
      <c r="H12" s="24" t="s">
        <v>30</v>
      </c>
      <c r="I12" s="24" t="s">
        <v>31</v>
      </c>
      <c r="J12" s="25" t="s">
        <v>1133</v>
      </c>
      <c r="K12" s="12" t="str">
        <f>"70,0"</f>
        <v>70,0</v>
      </c>
      <c r="L12" s="12" t="str">
        <f>"52,3880"</f>
        <v>52,3880</v>
      </c>
      <c r="M12" s="11"/>
    </row>
    <row r="13" spans="1:13">
      <c r="B13" s="5" t="s">
        <v>250</v>
      </c>
    </row>
    <row r="14" spans="1:13" ht="16">
      <c r="A14" s="70" t="s">
        <v>34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1:13">
      <c r="A15" s="8" t="s">
        <v>249</v>
      </c>
      <c r="B15" s="7" t="s">
        <v>1134</v>
      </c>
      <c r="C15" s="7" t="s">
        <v>1135</v>
      </c>
      <c r="D15" s="7" t="s">
        <v>838</v>
      </c>
      <c r="E15" s="7" t="s">
        <v>1435</v>
      </c>
      <c r="F15" s="7" t="s">
        <v>1425</v>
      </c>
      <c r="G15" s="21" t="s">
        <v>42</v>
      </c>
      <c r="H15" s="21" t="s">
        <v>1136</v>
      </c>
      <c r="I15" s="21" t="s">
        <v>187</v>
      </c>
      <c r="J15" s="8"/>
      <c r="K15" s="8" t="str">
        <f>"95,0"</f>
        <v>95,0</v>
      </c>
      <c r="L15" s="8" t="str">
        <f>"62,9755"</f>
        <v>62,9755</v>
      </c>
      <c r="M15" s="7"/>
    </row>
    <row r="16" spans="1:13">
      <c r="A16" s="10" t="s">
        <v>249</v>
      </c>
      <c r="B16" s="9" t="s">
        <v>602</v>
      </c>
      <c r="C16" s="9" t="s">
        <v>1364</v>
      </c>
      <c r="D16" s="9" t="s">
        <v>603</v>
      </c>
      <c r="E16" s="9" t="s">
        <v>1438</v>
      </c>
      <c r="F16" s="9" t="s">
        <v>604</v>
      </c>
      <c r="G16" s="22" t="s">
        <v>286</v>
      </c>
      <c r="H16" s="22" t="s">
        <v>275</v>
      </c>
      <c r="I16" s="22" t="s">
        <v>283</v>
      </c>
      <c r="J16" s="10"/>
      <c r="K16" s="10" t="str">
        <f>"50,0"</f>
        <v>50,0</v>
      </c>
      <c r="L16" s="10" t="str">
        <f>"41,1211"</f>
        <v>41,1211</v>
      </c>
      <c r="M16" s="9" t="s">
        <v>605</v>
      </c>
    </row>
    <row r="17" spans="1:13">
      <c r="B17" s="5" t="s">
        <v>250</v>
      </c>
    </row>
    <row r="18" spans="1:13" ht="16">
      <c r="A18" s="70" t="s">
        <v>105</v>
      </c>
      <c r="B18" s="70"/>
      <c r="C18" s="70"/>
      <c r="D18" s="70"/>
      <c r="E18" s="70"/>
      <c r="F18" s="70"/>
      <c r="G18" s="70"/>
      <c r="H18" s="70"/>
      <c r="I18" s="70"/>
      <c r="J18" s="70"/>
    </row>
    <row r="19" spans="1:13">
      <c r="A19" s="12" t="s">
        <v>249</v>
      </c>
      <c r="B19" s="11" t="s">
        <v>617</v>
      </c>
      <c r="C19" s="11" t="s">
        <v>618</v>
      </c>
      <c r="D19" s="11" t="s">
        <v>619</v>
      </c>
      <c r="E19" s="11" t="s">
        <v>1435</v>
      </c>
      <c r="F19" s="11" t="s">
        <v>601</v>
      </c>
      <c r="G19" s="24" t="s">
        <v>283</v>
      </c>
      <c r="H19" s="24" t="s">
        <v>698</v>
      </c>
      <c r="I19" s="24" t="s">
        <v>309</v>
      </c>
      <c r="J19" s="12"/>
      <c r="K19" s="12" t="str">
        <f>"62,5"</f>
        <v>62,5</v>
      </c>
      <c r="L19" s="12" t="str">
        <f>"39,1469"</f>
        <v>39,1469</v>
      </c>
      <c r="M19" s="11"/>
    </row>
    <row r="20" spans="1:13">
      <c r="B20" s="5" t="s">
        <v>250</v>
      </c>
    </row>
    <row r="21" spans="1:13" ht="16">
      <c r="A21" s="70" t="s">
        <v>192</v>
      </c>
      <c r="B21" s="70"/>
      <c r="C21" s="70"/>
      <c r="D21" s="70"/>
      <c r="E21" s="70"/>
      <c r="F21" s="70"/>
      <c r="G21" s="70"/>
      <c r="H21" s="70"/>
      <c r="I21" s="70"/>
      <c r="J21" s="70"/>
    </row>
    <row r="22" spans="1:13">
      <c r="A22" s="12" t="s">
        <v>249</v>
      </c>
      <c r="B22" s="11" t="s">
        <v>1137</v>
      </c>
      <c r="C22" s="11" t="s">
        <v>1138</v>
      </c>
      <c r="D22" s="11" t="s">
        <v>1139</v>
      </c>
      <c r="E22" s="11" t="s">
        <v>1435</v>
      </c>
      <c r="F22" s="11" t="s">
        <v>1428</v>
      </c>
      <c r="G22" s="24" t="s">
        <v>50</v>
      </c>
      <c r="H22" s="24" t="s">
        <v>287</v>
      </c>
      <c r="I22" s="24" t="s">
        <v>293</v>
      </c>
      <c r="J22" s="12"/>
      <c r="K22" s="12" t="str">
        <f>"80,0"</f>
        <v>80,0</v>
      </c>
      <c r="L22" s="12" t="str">
        <f>"46,2080"</f>
        <v>46,2080</v>
      </c>
      <c r="M22" s="11"/>
    </row>
    <row r="23" spans="1:13">
      <c r="B23" s="5" t="s">
        <v>250</v>
      </c>
    </row>
  </sheetData>
  <mergeCells count="17">
    <mergeCell ref="A21:J21"/>
    <mergeCell ref="A5:J5"/>
    <mergeCell ref="A8:J8"/>
    <mergeCell ref="A11:J11"/>
    <mergeCell ref="A14:J14"/>
    <mergeCell ref="A18:J18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O19"/>
  <sheetViews>
    <sheetView workbookViewId="0">
      <selection sqref="A1:O2"/>
    </sheetView>
  </sheetViews>
  <sheetFormatPr baseColWidth="10" defaultColWidth="9.1640625" defaultRowHeight="13"/>
  <cols>
    <col min="1" max="1" width="7.5" style="5" bestFit="1" customWidth="1"/>
    <col min="2" max="2" width="19.33203125" style="5" bestFit="1" customWidth="1"/>
    <col min="3" max="3" width="28.5" style="5" bestFit="1" customWidth="1"/>
    <col min="4" max="4" width="21.5" style="5" bestFit="1" customWidth="1"/>
    <col min="5" max="5" width="16.5" style="5" customWidth="1"/>
    <col min="6" max="6" width="33" style="5" bestFit="1" customWidth="1"/>
    <col min="7" max="10" width="5.5" style="6" customWidth="1"/>
    <col min="11" max="11" width="12.1640625" style="6" customWidth="1"/>
    <col min="12" max="12" width="14.33203125" style="41" customWidth="1"/>
    <col min="13" max="13" width="12.6640625" style="6" customWidth="1"/>
    <col min="14" max="14" width="10.5" style="6" bestFit="1" customWidth="1"/>
    <col min="15" max="15" width="19.6640625" style="5" customWidth="1"/>
    <col min="16" max="16384" width="9.1640625" style="3"/>
  </cols>
  <sheetData>
    <row r="1" spans="1:15" s="2" customFormat="1" ht="29" customHeight="1">
      <c r="A1" s="57" t="s">
        <v>1264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1:15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</row>
    <row r="3" spans="1:15" s="1" customFormat="1" ht="12.75" customHeight="1">
      <c r="A3" s="65" t="s">
        <v>1430</v>
      </c>
      <c r="B3" s="77" t="s">
        <v>0</v>
      </c>
      <c r="C3" s="67" t="s">
        <v>1432</v>
      </c>
      <c r="D3" s="67" t="s">
        <v>8</v>
      </c>
      <c r="E3" s="69" t="s">
        <v>1433</v>
      </c>
      <c r="F3" s="69" t="s">
        <v>5</v>
      </c>
      <c r="G3" s="69" t="s">
        <v>10</v>
      </c>
      <c r="H3" s="69"/>
      <c r="I3" s="69"/>
      <c r="J3" s="69"/>
      <c r="K3" s="69" t="s">
        <v>1429</v>
      </c>
      <c r="L3" s="69"/>
      <c r="M3" s="69" t="s">
        <v>692</v>
      </c>
      <c r="N3" s="69" t="s">
        <v>3</v>
      </c>
      <c r="O3" s="73" t="s">
        <v>2</v>
      </c>
    </row>
    <row r="4" spans="1:15" s="1" customFormat="1" ht="21" customHeight="1" thickBot="1">
      <c r="A4" s="66"/>
      <c r="B4" s="78"/>
      <c r="C4" s="68"/>
      <c r="D4" s="68"/>
      <c r="E4" s="68"/>
      <c r="F4" s="68"/>
      <c r="G4" s="4">
        <v>1</v>
      </c>
      <c r="H4" s="4">
        <v>2</v>
      </c>
      <c r="I4" s="4">
        <v>3</v>
      </c>
      <c r="J4" s="4" t="s">
        <v>4</v>
      </c>
      <c r="K4" s="4" t="s">
        <v>6</v>
      </c>
      <c r="L4" s="38" t="s">
        <v>7</v>
      </c>
      <c r="M4" s="68"/>
      <c r="N4" s="68"/>
      <c r="O4" s="74"/>
    </row>
    <row r="5" spans="1:15" ht="16">
      <c r="A5" s="75" t="s">
        <v>1173</v>
      </c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5">
      <c r="A6" s="12" t="s">
        <v>249</v>
      </c>
      <c r="B6" s="11" t="s">
        <v>1025</v>
      </c>
      <c r="C6" s="11" t="s">
        <v>1026</v>
      </c>
      <c r="D6" s="11" t="s">
        <v>15</v>
      </c>
      <c r="E6" s="11" t="s">
        <v>1435</v>
      </c>
      <c r="F6" s="11" t="s">
        <v>1027</v>
      </c>
      <c r="G6" s="24" t="s">
        <v>38</v>
      </c>
      <c r="H6" s="24" t="s">
        <v>40</v>
      </c>
      <c r="I6" s="24" t="s">
        <v>43</v>
      </c>
      <c r="J6" s="24" t="s">
        <v>73</v>
      </c>
      <c r="K6" s="12" t="s">
        <v>31</v>
      </c>
      <c r="L6" s="42">
        <v>47</v>
      </c>
      <c r="M6" s="12" t="str">
        <f>"232,0"</f>
        <v>232,0</v>
      </c>
      <c r="N6" s="12" t="str">
        <f>"13253,3346"</f>
        <v>13253,3346</v>
      </c>
      <c r="O6" s="11" t="s">
        <v>1028</v>
      </c>
    </row>
    <row r="7" spans="1:15">
      <c r="B7" s="5" t="s">
        <v>250</v>
      </c>
    </row>
    <row r="8" spans="1:15" ht="16">
      <c r="A8" s="70" t="s">
        <v>105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5">
      <c r="A9" s="12" t="s">
        <v>249</v>
      </c>
      <c r="B9" s="11" t="s">
        <v>1187</v>
      </c>
      <c r="C9" s="11" t="s">
        <v>1188</v>
      </c>
      <c r="D9" s="11" t="s">
        <v>1189</v>
      </c>
      <c r="E9" s="11" t="s">
        <v>1435</v>
      </c>
      <c r="F9" s="11" t="s">
        <v>342</v>
      </c>
      <c r="G9" s="24" t="s">
        <v>52</v>
      </c>
      <c r="H9" s="25" t="s">
        <v>72</v>
      </c>
      <c r="I9" s="25" t="s">
        <v>72</v>
      </c>
      <c r="J9" s="12"/>
      <c r="K9" s="12" t="s">
        <v>42</v>
      </c>
      <c r="L9" s="42">
        <v>36</v>
      </c>
      <c r="M9" s="12" t="str">
        <f>"206,0"</f>
        <v>206,0</v>
      </c>
      <c r="N9" s="12" t="str">
        <f>"7805,0786"</f>
        <v>7805,0786</v>
      </c>
      <c r="O9" s="11" t="s">
        <v>1190</v>
      </c>
    </row>
    <row r="10" spans="1:15">
      <c r="B10" s="5" t="s">
        <v>250</v>
      </c>
    </row>
    <row r="11" spans="1:15" ht="16">
      <c r="A11" s="70" t="s">
        <v>151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1:15">
      <c r="A12" s="8" t="s">
        <v>249</v>
      </c>
      <c r="B12" s="7" t="s">
        <v>1047</v>
      </c>
      <c r="C12" s="7" t="s">
        <v>1048</v>
      </c>
      <c r="D12" s="7" t="s">
        <v>1049</v>
      </c>
      <c r="E12" s="7" t="s">
        <v>1435</v>
      </c>
      <c r="F12" s="7" t="s">
        <v>1050</v>
      </c>
      <c r="G12" s="21" t="s">
        <v>161</v>
      </c>
      <c r="H12" s="21" t="s">
        <v>203</v>
      </c>
      <c r="I12" s="20" t="s">
        <v>155</v>
      </c>
      <c r="J12" s="8"/>
      <c r="K12" s="8" t="s">
        <v>17</v>
      </c>
      <c r="L12" s="39">
        <v>100</v>
      </c>
      <c r="M12" s="8" t="str">
        <f>"405,0"</f>
        <v>405,0</v>
      </c>
      <c r="N12" s="8" t="str">
        <f>"17058,4996"</f>
        <v>17058,4996</v>
      </c>
      <c r="O12" s="7"/>
    </row>
    <row r="13" spans="1:15">
      <c r="A13" s="14" t="s">
        <v>251</v>
      </c>
      <c r="B13" s="13" t="s">
        <v>1191</v>
      </c>
      <c r="C13" s="13" t="s">
        <v>1365</v>
      </c>
      <c r="D13" s="13" t="s">
        <v>784</v>
      </c>
      <c r="E13" s="13" t="s">
        <v>1438</v>
      </c>
      <c r="F13" s="13" t="s">
        <v>342</v>
      </c>
      <c r="G13" s="27" t="s">
        <v>91</v>
      </c>
      <c r="H13" s="27" t="s">
        <v>91</v>
      </c>
      <c r="I13" s="27" t="s">
        <v>91</v>
      </c>
      <c r="J13" s="14"/>
      <c r="K13" s="14"/>
      <c r="L13" s="56"/>
      <c r="M13" s="14" t="str">
        <f>"0.00"</f>
        <v>0.00</v>
      </c>
      <c r="N13" s="14" t="str">
        <f>"0,0000"</f>
        <v>0,0000</v>
      </c>
      <c r="O13" s="13" t="s">
        <v>1190</v>
      </c>
    </row>
    <row r="14" spans="1:15">
      <c r="A14" s="10" t="s">
        <v>249</v>
      </c>
      <c r="B14" s="9" t="s">
        <v>1192</v>
      </c>
      <c r="C14" s="9" t="s">
        <v>1366</v>
      </c>
      <c r="D14" s="9" t="s">
        <v>1193</v>
      </c>
      <c r="E14" s="9" t="s">
        <v>1439</v>
      </c>
      <c r="F14" s="9" t="s">
        <v>342</v>
      </c>
      <c r="G14" s="22" t="s">
        <v>78</v>
      </c>
      <c r="H14" s="22" t="s">
        <v>104</v>
      </c>
      <c r="I14" s="22" t="s">
        <v>132</v>
      </c>
      <c r="J14" s="10"/>
      <c r="K14" s="10" t="s">
        <v>17</v>
      </c>
      <c r="L14" s="40">
        <v>35</v>
      </c>
      <c r="M14" s="10" t="str">
        <f>"250,0"</f>
        <v>250,0</v>
      </c>
      <c r="N14" s="10" t="str">
        <f>"9106,0448"</f>
        <v>9106,0448</v>
      </c>
      <c r="O14" s="9"/>
    </row>
    <row r="15" spans="1:15">
      <c r="B15" s="5" t="s">
        <v>250</v>
      </c>
    </row>
    <row r="16" spans="1:15" ht="16">
      <c r="A16" s="70" t="s">
        <v>1194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1:15">
      <c r="A17" s="12" t="s">
        <v>251</v>
      </c>
      <c r="B17" s="11" t="s">
        <v>1195</v>
      </c>
      <c r="C17" s="11" t="s">
        <v>1367</v>
      </c>
      <c r="D17" s="11" t="s">
        <v>1196</v>
      </c>
      <c r="E17" s="11" t="s">
        <v>1438</v>
      </c>
      <c r="F17" s="11" t="s">
        <v>342</v>
      </c>
      <c r="G17" s="25" t="s">
        <v>64</v>
      </c>
      <c r="H17" s="25" t="s">
        <v>64</v>
      </c>
      <c r="I17" s="25" t="s">
        <v>64</v>
      </c>
      <c r="J17" s="12"/>
      <c r="K17" s="12"/>
      <c r="L17" s="42"/>
      <c r="M17" s="12" t="str">
        <f>"0.00"</f>
        <v>0.00</v>
      </c>
      <c r="N17" s="12" t="str">
        <f>"0,0000"</f>
        <v>0,0000</v>
      </c>
      <c r="O17" s="11" t="s">
        <v>1190</v>
      </c>
    </row>
    <row r="18" spans="1:15">
      <c r="B18" s="5" t="s">
        <v>250</v>
      </c>
    </row>
    <row r="19" spans="1:15">
      <c r="B19" s="5" t="s">
        <v>250</v>
      </c>
    </row>
  </sheetData>
  <mergeCells count="16">
    <mergeCell ref="A8:L8"/>
    <mergeCell ref="A11:L11"/>
    <mergeCell ref="A16:L16"/>
    <mergeCell ref="B3:B4"/>
    <mergeCell ref="K3:L3"/>
    <mergeCell ref="M3:M4"/>
    <mergeCell ref="N3:N4"/>
    <mergeCell ref="O3:O4"/>
    <mergeCell ref="A5:L5"/>
    <mergeCell ref="A1:O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16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5" style="5" bestFit="1" customWidth="1"/>
    <col min="3" max="3" width="26.5" style="5" bestFit="1" customWidth="1"/>
    <col min="4" max="4" width="21.5" style="5" bestFit="1" customWidth="1"/>
    <col min="5" max="5" width="10.5" style="5" bestFit="1" customWidth="1"/>
    <col min="6" max="6" width="29.8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4.1640625" style="5" customWidth="1"/>
    <col min="14" max="16384" width="9.1640625" style="3"/>
  </cols>
  <sheetData>
    <row r="1" spans="1:13" s="2" customFormat="1" ht="29" customHeight="1">
      <c r="A1" s="57" t="s">
        <v>1265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1430</v>
      </c>
      <c r="B3" s="77" t="s">
        <v>0</v>
      </c>
      <c r="C3" s="67" t="s">
        <v>1432</v>
      </c>
      <c r="D3" s="67" t="s">
        <v>8</v>
      </c>
      <c r="E3" s="69" t="s">
        <v>1433</v>
      </c>
      <c r="F3" s="69" t="s">
        <v>5</v>
      </c>
      <c r="G3" s="69" t="s">
        <v>10</v>
      </c>
      <c r="H3" s="69"/>
      <c r="I3" s="69"/>
      <c r="J3" s="69"/>
      <c r="K3" s="69" t="s">
        <v>692</v>
      </c>
      <c r="L3" s="69" t="s">
        <v>3</v>
      </c>
      <c r="M3" s="73" t="s">
        <v>2</v>
      </c>
    </row>
    <row r="4" spans="1:13" s="1" customFormat="1" ht="21" customHeight="1" thickBot="1">
      <c r="A4" s="66"/>
      <c r="B4" s="78"/>
      <c r="C4" s="68"/>
      <c r="D4" s="68"/>
      <c r="E4" s="68"/>
      <c r="F4" s="68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74"/>
    </row>
    <row r="5" spans="1:13" ht="16">
      <c r="A5" s="75" t="s">
        <v>1173</v>
      </c>
      <c r="B5" s="75"/>
      <c r="C5" s="76"/>
      <c r="D5" s="76"/>
      <c r="E5" s="76"/>
      <c r="F5" s="76"/>
      <c r="G5" s="76"/>
      <c r="H5" s="76"/>
      <c r="I5" s="76"/>
      <c r="J5" s="76"/>
    </row>
    <row r="6" spans="1:13">
      <c r="A6" s="12" t="s">
        <v>249</v>
      </c>
      <c r="B6" s="11" t="s">
        <v>1174</v>
      </c>
      <c r="C6" s="11" t="s">
        <v>1175</v>
      </c>
      <c r="D6" s="11" t="s">
        <v>1176</v>
      </c>
      <c r="E6" s="11" t="s">
        <v>1436</v>
      </c>
      <c r="F6" s="11" t="s">
        <v>191</v>
      </c>
      <c r="G6" s="24" t="s">
        <v>50</v>
      </c>
      <c r="H6" s="24" t="s">
        <v>31</v>
      </c>
      <c r="I6" s="25" t="s">
        <v>287</v>
      </c>
      <c r="J6" s="12"/>
      <c r="K6" s="12" t="str">
        <f>"70,0"</f>
        <v>70,0</v>
      </c>
      <c r="L6" s="12" t="str">
        <f>"55,2370"</f>
        <v>55,2370</v>
      </c>
      <c r="M6" s="28" t="s">
        <v>1259</v>
      </c>
    </row>
    <row r="7" spans="1:13">
      <c r="B7" s="5" t="s">
        <v>250</v>
      </c>
    </row>
    <row r="8" spans="1:13" ht="16">
      <c r="A8" s="70" t="s">
        <v>1177</v>
      </c>
      <c r="B8" s="70"/>
      <c r="C8" s="70"/>
      <c r="D8" s="70"/>
      <c r="E8" s="70"/>
      <c r="F8" s="70"/>
      <c r="G8" s="70"/>
      <c r="H8" s="70"/>
      <c r="I8" s="70"/>
      <c r="J8" s="70"/>
    </row>
    <row r="9" spans="1:13">
      <c r="A9" s="12" t="s">
        <v>249</v>
      </c>
      <c r="B9" s="11" t="s">
        <v>1178</v>
      </c>
      <c r="C9" s="11" t="s">
        <v>1179</v>
      </c>
      <c r="D9" s="11" t="s">
        <v>386</v>
      </c>
      <c r="E9" s="11" t="s">
        <v>1436</v>
      </c>
      <c r="F9" s="11" t="s">
        <v>191</v>
      </c>
      <c r="G9" s="24" t="s">
        <v>41</v>
      </c>
      <c r="H9" s="25" t="s">
        <v>298</v>
      </c>
      <c r="I9" s="25" t="s">
        <v>298</v>
      </c>
      <c r="J9" s="12"/>
      <c r="K9" s="12" t="str">
        <f>"82,5"</f>
        <v>82,5</v>
      </c>
      <c r="L9" s="12" t="str">
        <f>"59,0618"</f>
        <v>59,0618</v>
      </c>
      <c r="M9" s="11" t="s">
        <v>1259</v>
      </c>
    </row>
    <row r="10" spans="1:13">
      <c r="B10" s="5" t="s">
        <v>250</v>
      </c>
    </row>
    <row r="11" spans="1:13" ht="16">
      <c r="A11" s="70" t="s">
        <v>105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3">
      <c r="A12" s="12" t="s">
        <v>249</v>
      </c>
      <c r="B12" s="11" t="s">
        <v>1180</v>
      </c>
      <c r="C12" s="11" t="s">
        <v>1181</v>
      </c>
      <c r="D12" s="11" t="s">
        <v>1182</v>
      </c>
      <c r="E12" s="11" t="s">
        <v>1436</v>
      </c>
      <c r="F12" s="11" t="s">
        <v>191</v>
      </c>
      <c r="G12" s="24" t="s">
        <v>50</v>
      </c>
      <c r="H12" s="24" t="s">
        <v>31</v>
      </c>
      <c r="I12" s="25" t="s">
        <v>287</v>
      </c>
      <c r="J12" s="12"/>
      <c r="K12" s="12" t="str">
        <f>"70,0"</f>
        <v>70,0</v>
      </c>
      <c r="L12" s="12" t="str">
        <f>"44,8140"</f>
        <v>44,8140</v>
      </c>
      <c r="M12" s="11" t="s">
        <v>1259</v>
      </c>
    </row>
    <row r="13" spans="1:13">
      <c r="B13" s="5" t="s">
        <v>250</v>
      </c>
    </row>
    <row r="14" spans="1:13" ht="16">
      <c r="A14" s="70" t="s">
        <v>1183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1:13">
      <c r="A15" s="12" t="s">
        <v>249</v>
      </c>
      <c r="B15" s="11" t="s">
        <v>1184</v>
      </c>
      <c r="C15" s="11" t="s">
        <v>1185</v>
      </c>
      <c r="D15" s="11" t="s">
        <v>1186</v>
      </c>
      <c r="E15" s="11" t="s">
        <v>1437</v>
      </c>
      <c r="F15" s="11" t="s">
        <v>191</v>
      </c>
      <c r="G15" s="24" t="s">
        <v>27</v>
      </c>
      <c r="H15" s="24" t="s">
        <v>22</v>
      </c>
      <c r="I15" s="24" t="s">
        <v>23</v>
      </c>
      <c r="J15" s="12"/>
      <c r="K15" s="12" t="str">
        <f>"125,0"</f>
        <v>125,0</v>
      </c>
      <c r="L15" s="12" t="str">
        <f>"70,4875"</f>
        <v>70,4875</v>
      </c>
      <c r="M15" s="11" t="s">
        <v>1259</v>
      </c>
    </row>
    <row r="16" spans="1:13">
      <c r="B16" s="5" t="s">
        <v>250</v>
      </c>
    </row>
  </sheetData>
  <mergeCells count="15">
    <mergeCell ref="A8:J8"/>
    <mergeCell ref="A11:J11"/>
    <mergeCell ref="A14:J14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U18"/>
  <sheetViews>
    <sheetView workbookViewId="0">
      <selection activeCell="E18" sqref="E18"/>
    </sheetView>
  </sheetViews>
  <sheetFormatPr baseColWidth="10" defaultColWidth="9.1640625" defaultRowHeight="13"/>
  <cols>
    <col min="1" max="1" width="7.5" style="5" bestFit="1" customWidth="1"/>
    <col min="2" max="2" width="19.6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40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32" bestFit="1" customWidth="1"/>
    <col min="20" max="20" width="8.5" style="6" bestFit="1" customWidth="1"/>
    <col min="21" max="21" width="15.6640625" style="5" bestFit="1" customWidth="1"/>
    <col min="22" max="16384" width="9.1640625" style="3"/>
  </cols>
  <sheetData>
    <row r="1" spans="1:21" s="2" customFormat="1" ht="29" customHeight="1">
      <c r="A1" s="57" t="s">
        <v>1373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</row>
    <row r="2" spans="1:21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4"/>
    </row>
    <row r="3" spans="1:21" s="1" customFormat="1" ht="12.75" customHeight="1">
      <c r="A3" s="65" t="s">
        <v>1430</v>
      </c>
      <c r="B3" s="77" t="s">
        <v>0</v>
      </c>
      <c r="C3" s="67" t="s">
        <v>1432</v>
      </c>
      <c r="D3" s="67" t="s">
        <v>8</v>
      </c>
      <c r="E3" s="69" t="s">
        <v>1433</v>
      </c>
      <c r="F3" s="69" t="s">
        <v>5</v>
      </c>
      <c r="G3" s="69" t="s">
        <v>9</v>
      </c>
      <c r="H3" s="69"/>
      <c r="I3" s="69"/>
      <c r="J3" s="69"/>
      <c r="K3" s="69" t="s">
        <v>10</v>
      </c>
      <c r="L3" s="69"/>
      <c r="M3" s="69"/>
      <c r="N3" s="69"/>
      <c r="O3" s="69" t="s">
        <v>11</v>
      </c>
      <c r="P3" s="69"/>
      <c r="Q3" s="69"/>
      <c r="R3" s="69"/>
      <c r="S3" s="71" t="s">
        <v>1</v>
      </c>
      <c r="T3" s="69" t="s">
        <v>3</v>
      </c>
      <c r="U3" s="73" t="s">
        <v>2</v>
      </c>
    </row>
    <row r="4" spans="1:21" s="1" customFormat="1" ht="21" customHeight="1" thickBot="1">
      <c r="A4" s="66"/>
      <c r="B4" s="78"/>
      <c r="C4" s="68"/>
      <c r="D4" s="68"/>
      <c r="E4" s="68"/>
      <c r="F4" s="6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72"/>
      <c r="T4" s="68"/>
      <c r="U4" s="74"/>
    </row>
    <row r="5" spans="1:21" ht="16">
      <c r="A5" s="75" t="s">
        <v>68</v>
      </c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1:21">
      <c r="A6" s="12" t="s">
        <v>249</v>
      </c>
      <c r="B6" s="11" t="s">
        <v>557</v>
      </c>
      <c r="C6" s="11" t="s">
        <v>558</v>
      </c>
      <c r="D6" s="11" t="s">
        <v>70</v>
      </c>
      <c r="E6" s="11" t="s">
        <v>1435</v>
      </c>
      <c r="F6" s="11" t="s">
        <v>559</v>
      </c>
      <c r="G6" s="24" t="s">
        <v>187</v>
      </c>
      <c r="H6" s="25" t="s">
        <v>18</v>
      </c>
      <c r="I6" s="24" t="s">
        <v>19</v>
      </c>
      <c r="J6" s="12"/>
      <c r="K6" s="24" t="s">
        <v>283</v>
      </c>
      <c r="L6" s="24" t="s">
        <v>308</v>
      </c>
      <c r="M6" s="24" t="s">
        <v>266</v>
      </c>
      <c r="N6" s="12"/>
      <c r="O6" s="24" t="s">
        <v>187</v>
      </c>
      <c r="P6" s="25" t="s">
        <v>18</v>
      </c>
      <c r="Q6" s="25" t="s">
        <v>18</v>
      </c>
      <c r="R6" s="12"/>
      <c r="S6" s="36" t="str">
        <f>"265,0"</f>
        <v>265,0</v>
      </c>
      <c r="T6" s="12" t="str">
        <f>"251,9090"</f>
        <v>251,9090</v>
      </c>
      <c r="U6" s="11" t="s">
        <v>460</v>
      </c>
    </row>
    <row r="7" spans="1:21">
      <c r="B7" s="5" t="s">
        <v>250</v>
      </c>
    </row>
    <row r="8" spans="1:21" ht="16">
      <c r="A8" s="70" t="s">
        <v>105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</row>
    <row r="9" spans="1:21">
      <c r="A9" s="8" t="s">
        <v>249</v>
      </c>
      <c r="B9" s="7" t="s">
        <v>560</v>
      </c>
      <c r="C9" s="7" t="s">
        <v>561</v>
      </c>
      <c r="D9" s="7" t="s">
        <v>562</v>
      </c>
      <c r="E9" s="7" t="s">
        <v>1435</v>
      </c>
      <c r="F9" s="7" t="s">
        <v>427</v>
      </c>
      <c r="G9" s="21" t="s">
        <v>98</v>
      </c>
      <c r="H9" s="21" t="s">
        <v>171</v>
      </c>
      <c r="I9" s="20" t="s">
        <v>63</v>
      </c>
      <c r="J9" s="8"/>
      <c r="K9" s="21" t="s">
        <v>77</v>
      </c>
      <c r="L9" s="21" t="s">
        <v>38</v>
      </c>
      <c r="M9" s="20" t="s">
        <v>52</v>
      </c>
      <c r="N9" s="8"/>
      <c r="O9" s="21" t="s">
        <v>67</v>
      </c>
      <c r="P9" s="21" t="s">
        <v>63</v>
      </c>
      <c r="Q9" s="20" t="s">
        <v>64</v>
      </c>
      <c r="R9" s="8"/>
      <c r="S9" s="33" t="str">
        <f>"697,5"</f>
        <v>697,5</v>
      </c>
      <c r="T9" s="8" t="str">
        <f>"447,3068"</f>
        <v>447,3068</v>
      </c>
      <c r="U9" s="7"/>
    </row>
    <row r="10" spans="1:21">
      <c r="A10" s="14" t="s">
        <v>252</v>
      </c>
      <c r="B10" s="13" t="s">
        <v>563</v>
      </c>
      <c r="C10" s="13" t="s">
        <v>564</v>
      </c>
      <c r="D10" s="13" t="s">
        <v>565</v>
      </c>
      <c r="E10" s="13" t="s">
        <v>1435</v>
      </c>
      <c r="F10" s="13" t="s">
        <v>138</v>
      </c>
      <c r="G10" s="26" t="s">
        <v>56</v>
      </c>
      <c r="H10" s="26" t="s">
        <v>78</v>
      </c>
      <c r="I10" s="26" t="s">
        <v>74</v>
      </c>
      <c r="J10" s="14"/>
      <c r="K10" s="26" t="s">
        <v>27</v>
      </c>
      <c r="L10" s="27" t="s">
        <v>22</v>
      </c>
      <c r="M10" s="27" t="s">
        <v>22</v>
      </c>
      <c r="N10" s="14"/>
      <c r="O10" s="26" t="s">
        <v>56</v>
      </c>
      <c r="P10" s="26" t="s">
        <v>78</v>
      </c>
      <c r="Q10" s="27" t="s">
        <v>74</v>
      </c>
      <c r="R10" s="14"/>
      <c r="S10" s="34" t="str">
        <f>"507,5"</f>
        <v>507,5</v>
      </c>
      <c r="T10" s="14" t="str">
        <f>"329,4183"</f>
        <v>329,4183</v>
      </c>
      <c r="U10" s="13"/>
    </row>
    <row r="11" spans="1:21">
      <c r="A11" s="10" t="s">
        <v>253</v>
      </c>
      <c r="B11" s="9" t="s">
        <v>566</v>
      </c>
      <c r="C11" s="9" t="s">
        <v>567</v>
      </c>
      <c r="D11" s="9" t="s">
        <v>568</v>
      </c>
      <c r="E11" s="9" t="s">
        <v>1435</v>
      </c>
      <c r="F11" s="9" t="s">
        <v>445</v>
      </c>
      <c r="G11" s="22" t="s">
        <v>52</v>
      </c>
      <c r="H11" s="22" t="s">
        <v>43</v>
      </c>
      <c r="I11" s="23" t="s">
        <v>78</v>
      </c>
      <c r="J11" s="10"/>
      <c r="K11" s="22" t="s">
        <v>19</v>
      </c>
      <c r="L11" s="22" t="s">
        <v>27</v>
      </c>
      <c r="M11" s="22" t="s">
        <v>22</v>
      </c>
      <c r="N11" s="10"/>
      <c r="O11" s="22" t="s">
        <v>52</v>
      </c>
      <c r="P11" s="23" t="s">
        <v>43</v>
      </c>
      <c r="Q11" s="22" t="s">
        <v>43</v>
      </c>
      <c r="R11" s="10"/>
      <c r="S11" s="35" t="str">
        <f>"490,0"</f>
        <v>490,0</v>
      </c>
      <c r="T11" s="10" t="str">
        <f>"321,0970"</f>
        <v>321,0970</v>
      </c>
      <c r="U11" s="9"/>
    </row>
    <row r="12" spans="1:21">
      <c r="B12" s="5" t="s">
        <v>250</v>
      </c>
    </row>
    <row r="13" spans="1:21" ht="16">
      <c r="A13" s="70" t="s">
        <v>151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4" spans="1:21">
      <c r="A14" s="12" t="s">
        <v>249</v>
      </c>
      <c r="B14" s="11" t="s">
        <v>569</v>
      </c>
      <c r="C14" s="11" t="s">
        <v>570</v>
      </c>
      <c r="D14" s="11" t="s">
        <v>571</v>
      </c>
      <c r="E14" s="11" t="s">
        <v>1435</v>
      </c>
      <c r="F14" s="11" t="s">
        <v>572</v>
      </c>
      <c r="G14" s="24" t="s">
        <v>132</v>
      </c>
      <c r="H14" s="25" t="s">
        <v>133</v>
      </c>
      <c r="I14" s="25" t="s">
        <v>133</v>
      </c>
      <c r="J14" s="12"/>
      <c r="K14" s="24" t="s">
        <v>77</v>
      </c>
      <c r="L14" s="25" t="s">
        <v>379</v>
      </c>
      <c r="M14" s="25" t="s">
        <v>379</v>
      </c>
      <c r="N14" s="12"/>
      <c r="O14" s="24" t="s">
        <v>79</v>
      </c>
      <c r="P14" s="24" t="s">
        <v>91</v>
      </c>
      <c r="Q14" s="24" t="s">
        <v>133</v>
      </c>
      <c r="R14" s="12"/>
      <c r="S14" s="36" t="str">
        <f>"600,0"</f>
        <v>600,0</v>
      </c>
      <c r="T14" s="12" t="str">
        <f>"367,8600"</f>
        <v>367,8600</v>
      </c>
      <c r="U14" s="11" t="s">
        <v>573</v>
      </c>
    </row>
    <row r="15" spans="1:21">
      <c r="B15" s="5" t="s">
        <v>250</v>
      </c>
    </row>
    <row r="16" spans="1:21" ht="16">
      <c r="A16" s="70" t="s">
        <v>212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</row>
    <row r="17" spans="1:21">
      <c r="A17" s="12" t="s">
        <v>249</v>
      </c>
      <c r="B17" s="11" t="s">
        <v>574</v>
      </c>
      <c r="C17" s="11" t="s">
        <v>575</v>
      </c>
      <c r="D17" s="11" t="s">
        <v>576</v>
      </c>
      <c r="E17" s="11" t="s">
        <v>1435</v>
      </c>
      <c r="F17" s="11" t="s">
        <v>459</v>
      </c>
      <c r="G17" s="24" t="s">
        <v>72</v>
      </c>
      <c r="H17" s="24" t="s">
        <v>85</v>
      </c>
      <c r="I17" s="25" t="s">
        <v>119</v>
      </c>
      <c r="J17" s="12"/>
      <c r="K17" s="24" t="s">
        <v>32</v>
      </c>
      <c r="L17" s="24" t="s">
        <v>33</v>
      </c>
      <c r="M17" s="24" t="s">
        <v>77</v>
      </c>
      <c r="N17" s="12"/>
      <c r="O17" s="24" t="s">
        <v>79</v>
      </c>
      <c r="P17" s="24" t="s">
        <v>91</v>
      </c>
      <c r="Q17" s="25" t="s">
        <v>133</v>
      </c>
      <c r="R17" s="12"/>
      <c r="S17" s="36" t="str">
        <f>"580,0"</f>
        <v>580,0</v>
      </c>
      <c r="T17" s="12" t="str">
        <f>"332,3400"</f>
        <v>332,3400</v>
      </c>
      <c r="U17" s="11" t="s">
        <v>460</v>
      </c>
    </row>
    <row r="18" spans="1:21">
      <c r="B18" s="5" t="s">
        <v>250</v>
      </c>
    </row>
  </sheetData>
  <mergeCells count="17">
    <mergeCell ref="A8:R8"/>
    <mergeCell ref="A13:R13"/>
    <mergeCell ref="A16:R16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10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0.33203125" style="5" bestFit="1" customWidth="1"/>
    <col min="3" max="3" width="26.5" style="5" bestFit="1" customWidth="1"/>
    <col min="4" max="4" width="21.5" style="5" bestFit="1" customWidth="1"/>
    <col min="5" max="5" width="10.5" style="5" bestFit="1" customWidth="1"/>
    <col min="6" max="6" width="29.83203125" style="5" bestFit="1" customWidth="1"/>
    <col min="7" max="9" width="5.5" style="6" customWidth="1"/>
    <col min="10" max="10" width="4.83203125" style="6" customWidth="1"/>
    <col min="11" max="11" width="12.5" style="6" customWidth="1"/>
    <col min="12" max="12" width="8.5" style="6" bestFit="1" customWidth="1"/>
    <col min="13" max="13" width="20.33203125" style="5" customWidth="1"/>
    <col min="14" max="16384" width="9.1640625" style="3"/>
  </cols>
  <sheetData>
    <row r="1" spans="1:13" s="2" customFormat="1" ht="29" customHeight="1">
      <c r="A1" s="57" t="s">
        <v>1266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1430</v>
      </c>
      <c r="B3" s="77" t="s">
        <v>0</v>
      </c>
      <c r="C3" s="67" t="s">
        <v>1432</v>
      </c>
      <c r="D3" s="67" t="s">
        <v>8</v>
      </c>
      <c r="E3" s="69" t="s">
        <v>1433</v>
      </c>
      <c r="F3" s="69" t="s">
        <v>5</v>
      </c>
      <c r="G3" s="69" t="s">
        <v>10</v>
      </c>
      <c r="H3" s="69"/>
      <c r="I3" s="69"/>
      <c r="J3" s="69"/>
      <c r="K3" s="69" t="s">
        <v>692</v>
      </c>
      <c r="L3" s="69" t="s">
        <v>3</v>
      </c>
      <c r="M3" s="73" t="s">
        <v>2</v>
      </c>
    </row>
    <row r="4" spans="1:13" s="1" customFormat="1" ht="21" customHeight="1" thickBot="1">
      <c r="A4" s="66"/>
      <c r="B4" s="78"/>
      <c r="C4" s="68"/>
      <c r="D4" s="68"/>
      <c r="E4" s="68"/>
      <c r="F4" s="68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74"/>
    </row>
    <row r="5" spans="1:13" ht="16">
      <c r="A5" s="75" t="s">
        <v>57</v>
      </c>
      <c r="B5" s="75"/>
      <c r="C5" s="76"/>
      <c r="D5" s="76"/>
      <c r="E5" s="76"/>
      <c r="F5" s="76"/>
      <c r="G5" s="76"/>
      <c r="H5" s="76"/>
      <c r="I5" s="76"/>
      <c r="J5" s="76"/>
    </row>
    <row r="6" spans="1:13">
      <c r="A6" s="12" t="s">
        <v>249</v>
      </c>
      <c r="B6" s="11" t="s">
        <v>1169</v>
      </c>
      <c r="C6" s="11" t="s">
        <v>1170</v>
      </c>
      <c r="D6" s="11" t="s">
        <v>1171</v>
      </c>
      <c r="E6" s="11" t="s">
        <v>1436</v>
      </c>
      <c r="F6" s="11" t="s">
        <v>1068</v>
      </c>
      <c r="G6" s="24" t="s">
        <v>308</v>
      </c>
      <c r="H6" s="24" t="s">
        <v>266</v>
      </c>
      <c r="I6" s="25" t="s">
        <v>50</v>
      </c>
      <c r="J6" s="12"/>
      <c r="K6" s="12" t="str">
        <f>"60,0"</f>
        <v>60,0</v>
      </c>
      <c r="L6" s="12" t="str">
        <f>"51,1740"</f>
        <v>51,1740</v>
      </c>
      <c r="M6" s="11" t="s">
        <v>1172</v>
      </c>
    </row>
    <row r="7" spans="1:13">
      <c r="B7" s="5" t="s">
        <v>250</v>
      </c>
    </row>
    <row r="8" spans="1:13" ht="16">
      <c r="A8" s="70" t="s">
        <v>151</v>
      </c>
      <c r="B8" s="70"/>
      <c r="C8" s="70"/>
      <c r="D8" s="70"/>
      <c r="E8" s="70"/>
      <c r="F8" s="70"/>
      <c r="G8" s="70"/>
      <c r="H8" s="70"/>
      <c r="I8" s="70"/>
      <c r="J8" s="70"/>
    </row>
    <row r="9" spans="1:13">
      <c r="A9" s="12" t="s">
        <v>249</v>
      </c>
      <c r="B9" s="11" t="s">
        <v>640</v>
      </c>
      <c r="C9" s="11" t="s">
        <v>641</v>
      </c>
      <c r="D9" s="11" t="s">
        <v>571</v>
      </c>
      <c r="E9" s="11" t="s">
        <v>1435</v>
      </c>
      <c r="F9" s="11" t="s">
        <v>191</v>
      </c>
      <c r="G9" s="24" t="s">
        <v>72</v>
      </c>
      <c r="H9" s="25" t="s">
        <v>56</v>
      </c>
      <c r="I9" s="12"/>
      <c r="J9" s="12"/>
      <c r="K9" s="12" t="str">
        <f>"180,0"</f>
        <v>180,0</v>
      </c>
      <c r="L9" s="12" t="str">
        <f>"110,3580"</f>
        <v>110,3580</v>
      </c>
      <c r="M9" s="11"/>
    </row>
    <row r="10" spans="1:13">
      <c r="B10" s="5" t="s">
        <v>250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13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8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1.33203125" style="5" customWidth="1"/>
    <col min="14" max="16384" width="9.1640625" style="3"/>
  </cols>
  <sheetData>
    <row r="1" spans="1:13" s="2" customFormat="1" ht="29" customHeight="1">
      <c r="A1" s="57" t="s">
        <v>1267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1430</v>
      </c>
      <c r="B3" s="77" t="s">
        <v>0</v>
      </c>
      <c r="C3" s="67" t="s">
        <v>1432</v>
      </c>
      <c r="D3" s="67" t="s">
        <v>8</v>
      </c>
      <c r="E3" s="69" t="s">
        <v>1433</v>
      </c>
      <c r="F3" s="69" t="s">
        <v>5</v>
      </c>
      <c r="G3" s="69" t="s">
        <v>10</v>
      </c>
      <c r="H3" s="69"/>
      <c r="I3" s="69"/>
      <c r="J3" s="69"/>
      <c r="K3" s="69" t="s">
        <v>692</v>
      </c>
      <c r="L3" s="69" t="s">
        <v>3</v>
      </c>
      <c r="M3" s="73" t="s">
        <v>2</v>
      </c>
    </row>
    <row r="4" spans="1:13" s="1" customFormat="1" ht="21" customHeight="1" thickBot="1">
      <c r="A4" s="66"/>
      <c r="B4" s="78"/>
      <c r="C4" s="68"/>
      <c r="D4" s="68"/>
      <c r="E4" s="68"/>
      <c r="F4" s="68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74"/>
    </row>
    <row r="5" spans="1:13" ht="16">
      <c r="A5" s="75" t="s">
        <v>1197</v>
      </c>
      <c r="B5" s="75"/>
      <c r="C5" s="76"/>
      <c r="D5" s="76"/>
      <c r="E5" s="76"/>
      <c r="F5" s="76"/>
      <c r="G5" s="76"/>
      <c r="H5" s="76"/>
      <c r="I5" s="76"/>
      <c r="J5" s="76"/>
    </row>
    <row r="6" spans="1:13">
      <c r="A6" s="12" t="s">
        <v>249</v>
      </c>
      <c r="B6" s="11" t="s">
        <v>1017</v>
      </c>
      <c r="C6" s="11" t="s">
        <v>1018</v>
      </c>
      <c r="D6" s="11" t="s">
        <v>1019</v>
      </c>
      <c r="E6" s="11" t="s">
        <v>1435</v>
      </c>
      <c r="F6" s="11" t="s">
        <v>1262</v>
      </c>
      <c r="G6" s="24" t="s">
        <v>273</v>
      </c>
      <c r="H6" s="24" t="s">
        <v>319</v>
      </c>
      <c r="I6" s="12"/>
      <c r="J6" s="12"/>
      <c r="K6" s="12" t="str">
        <f>"97,5"</f>
        <v>97,5</v>
      </c>
      <c r="L6" s="12" t="str">
        <f>"130,7280"</f>
        <v>130,7280</v>
      </c>
      <c r="M6" s="28" t="s">
        <v>1258</v>
      </c>
    </row>
    <row r="7" spans="1:13">
      <c r="B7" s="5" t="s">
        <v>250</v>
      </c>
    </row>
    <row r="8" spans="1:13" ht="16">
      <c r="A8" s="70" t="s">
        <v>105</v>
      </c>
      <c r="B8" s="70"/>
      <c r="C8" s="70"/>
      <c r="D8" s="70"/>
      <c r="E8" s="70"/>
      <c r="F8" s="70"/>
      <c r="G8" s="70"/>
      <c r="H8" s="70"/>
      <c r="I8" s="70"/>
      <c r="J8" s="70"/>
    </row>
    <row r="9" spans="1:13">
      <c r="A9" s="12" t="s">
        <v>249</v>
      </c>
      <c r="B9" s="11" t="s">
        <v>1198</v>
      </c>
      <c r="C9" s="11" t="s">
        <v>1199</v>
      </c>
      <c r="D9" s="11" t="s">
        <v>954</v>
      </c>
      <c r="E9" s="11" t="s">
        <v>1435</v>
      </c>
      <c r="F9" s="11" t="s">
        <v>1035</v>
      </c>
      <c r="G9" s="24" t="s">
        <v>72</v>
      </c>
      <c r="H9" s="24" t="s">
        <v>85</v>
      </c>
      <c r="I9" s="25" t="s">
        <v>79</v>
      </c>
      <c r="J9" s="12"/>
      <c r="K9" s="12" t="str">
        <f>"200,0"</f>
        <v>200,0</v>
      </c>
      <c r="L9" s="12" t="str">
        <f>"129,5800"</f>
        <v>129,5800</v>
      </c>
      <c r="M9" s="11"/>
    </row>
    <row r="10" spans="1:13">
      <c r="B10" s="5" t="s">
        <v>250</v>
      </c>
    </row>
    <row r="11" spans="1:13" ht="16">
      <c r="A11" s="70" t="s">
        <v>192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3">
      <c r="A12" s="12" t="s">
        <v>249</v>
      </c>
      <c r="B12" s="11" t="s">
        <v>1200</v>
      </c>
      <c r="C12" s="11" t="s">
        <v>1201</v>
      </c>
      <c r="D12" s="11" t="s">
        <v>998</v>
      </c>
      <c r="E12" s="11" t="s">
        <v>1435</v>
      </c>
      <c r="F12" s="11" t="s">
        <v>1262</v>
      </c>
      <c r="G12" s="24" t="s">
        <v>92</v>
      </c>
      <c r="H12" s="24" t="s">
        <v>127</v>
      </c>
      <c r="I12" s="12"/>
      <c r="J12" s="12"/>
      <c r="K12" s="12" t="str">
        <f>"245,0"</f>
        <v>245,0</v>
      </c>
      <c r="L12" s="12" t="str">
        <f>"144,7950"</f>
        <v>144,7950</v>
      </c>
      <c r="M12" s="11"/>
    </row>
    <row r="13" spans="1:13">
      <c r="B13" s="5" t="s">
        <v>250</v>
      </c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1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832031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7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2.6640625" style="5" customWidth="1"/>
    <col min="14" max="16384" width="9.1640625" style="3"/>
  </cols>
  <sheetData>
    <row r="1" spans="1:15" s="2" customFormat="1" ht="29" customHeight="1">
      <c r="A1" s="57" t="s">
        <v>1268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5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5" s="1" customFormat="1" ht="12.75" customHeight="1">
      <c r="A3" s="65" t="s">
        <v>1430</v>
      </c>
      <c r="B3" s="77" t="s">
        <v>0</v>
      </c>
      <c r="C3" s="67" t="s">
        <v>1432</v>
      </c>
      <c r="D3" s="67" t="s">
        <v>8</v>
      </c>
      <c r="E3" s="69" t="s">
        <v>1433</v>
      </c>
      <c r="F3" s="69" t="s">
        <v>5</v>
      </c>
      <c r="G3" s="69" t="s">
        <v>10</v>
      </c>
      <c r="H3" s="69"/>
      <c r="I3" s="69"/>
      <c r="J3" s="69"/>
      <c r="K3" s="69" t="s">
        <v>692</v>
      </c>
      <c r="L3" s="69" t="s">
        <v>3</v>
      </c>
      <c r="M3" s="73" t="s">
        <v>2</v>
      </c>
    </row>
    <row r="4" spans="1:15" s="1" customFormat="1" ht="21" customHeight="1" thickBot="1">
      <c r="A4" s="66"/>
      <c r="B4" s="78"/>
      <c r="C4" s="68"/>
      <c r="D4" s="68"/>
      <c r="E4" s="68"/>
      <c r="F4" s="68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74"/>
    </row>
    <row r="5" spans="1:15" ht="16">
      <c r="A5" s="75" t="s">
        <v>192</v>
      </c>
      <c r="B5" s="75"/>
      <c r="C5" s="76"/>
      <c r="D5" s="76"/>
      <c r="E5" s="76"/>
      <c r="F5" s="76"/>
      <c r="G5" s="76"/>
      <c r="H5" s="76"/>
      <c r="I5" s="76"/>
      <c r="J5" s="76"/>
    </row>
    <row r="6" spans="1:15" ht="14" thickBot="1">
      <c r="A6" s="12" t="s">
        <v>249</v>
      </c>
      <c r="B6" s="11" t="s">
        <v>1200</v>
      </c>
      <c r="C6" s="11" t="s">
        <v>1201</v>
      </c>
      <c r="D6" s="11" t="s">
        <v>998</v>
      </c>
      <c r="E6" s="11" t="s">
        <v>1435</v>
      </c>
      <c r="F6" s="11" t="s">
        <v>1262</v>
      </c>
      <c r="G6" s="24" t="s">
        <v>98</v>
      </c>
      <c r="H6" s="24" t="s">
        <v>63</v>
      </c>
      <c r="I6" s="25" t="s">
        <v>221</v>
      </c>
      <c r="J6" s="12"/>
      <c r="K6" s="12" t="str">
        <f>"270,0"</f>
        <v>270,0</v>
      </c>
      <c r="L6" s="12" t="str">
        <f>"159,5700"</f>
        <v>159,5700</v>
      </c>
      <c r="M6" s="11"/>
    </row>
    <row r="7" spans="1:15" ht="16">
      <c r="A7" s="75" t="s">
        <v>151</v>
      </c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6"/>
      <c r="N7" s="6"/>
      <c r="O7" s="5"/>
    </row>
    <row r="8" spans="1:15">
      <c r="A8" s="12" t="s">
        <v>249</v>
      </c>
      <c r="B8" s="11" t="s">
        <v>1051</v>
      </c>
      <c r="C8" s="11" t="s">
        <v>1052</v>
      </c>
      <c r="D8" s="11" t="s">
        <v>174</v>
      </c>
      <c r="E8" s="11" t="s">
        <v>1435</v>
      </c>
      <c r="F8" s="11" t="s">
        <v>1053</v>
      </c>
      <c r="G8" s="24" t="s">
        <v>504</v>
      </c>
      <c r="H8" s="25" t="s">
        <v>1104</v>
      </c>
      <c r="I8" s="24" t="s">
        <v>1104</v>
      </c>
      <c r="J8" s="12"/>
      <c r="K8" s="12" t="s">
        <v>49</v>
      </c>
      <c r="L8" s="42">
        <v>24</v>
      </c>
      <c r="M8" s="12" t="str">
        <f>"376,5"</f>
        <v>376,5</v>
      </c>
      <c r="N8" s="12"/>
      <c r="O8" s="11"/>
    </row>
    <row r="9" spans="1:15">
      <c r="B9" s="5" t="s">
        <v>250</v>
      </c>
    </row>
    <row r="10" spans="1:15">
      <c r="B10" s="5" t="s">
        <v>250</v>
      </c>
    </row>
  </sheetData>
  <mergeCells count="13">
    <mergeCell ref="A5:J5"/>
    <mergeCell ref="B3:B4"/>
    <mergeCell ref="A7:L7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1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8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6.5" style="5" bestFit="1" customWidth="1"/>
    <col min="7" max="9" width="5.5" style="6" customWidth="1"/>
    <col min="10" max="10" width="4.83203125" style="6" customWidth="1"/>
    <col min="11" max="11" width="12" style="6" customWidth="1"/>
    <col min="12" max="12" width="7.5" style="6" bestFit="1" customWidth="1"/>
    <col min="13" max="13" width="20.33203125" style="5" customWidth="1"/>
    <col min="14" max="16384" width="9.1640625" style="3"/>
  </cols>
  <sheetData>
    <row r="1" spans="1:15" s="2" customFormat="1" ht="29" customHeight="1">
      <c r="A1" s="57" t="s">
        <v>1269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5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5" s="1" customFormat="1" ht="12.75" customHeight="1">
      <c r="A3" s="65" t="s">
        <v>1430</v>
      </c>
      <c r="B3" s="77" t="s">
        <v>0</v>
      </c>
      <c r="C3" s="67" t="s">
        <v>1432</v>
      </c>
      <c r="D3" s="67" t="s">
        <v>8</v>
      </c>
      <c r="E3" s="69" t="s">
        <v>1433</v>
      </c>
      <c r="F3" s="69" t="s">
        <v>5</v>
      </c>
      <c r="G3" s="69" t="s">
        <v>1152</v>
      </c>
      <c r="H3" s="69"/>
      <c r="I3" s="69"/>
      <c r="J3" s="69"/>
      <c r="K3" s="69" t="s">
        <v>692</v>
      </c>
      <c r="L3" s="69" t="s">
        <v>3</v>
      </c>
      <c r="M3" s="73" t="s">
        <v>2</v>
      </c>
    </row>
    <row r="4" spans="1:15" s="1" customFormat="1" ht="21" customHeight="1" thickBot="1">
      <c r="A4" s="66"/>
      <c r="B4" s="78"/>
      <c r="C4" s="68"/>
      <c r="D4" s="68"/>
      <c r="E4" s="68"/>
      <c r="F4" s="68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74"/>
    </row>
    <row r="5" spans="1:15" ht="16">
      <c r="A5" s="75" t="s">
        <v>151</v>
      </c>
      <c r="B5" s="75"/>
      <c r="C5" s="76"/>
      <c r="D5" s="76"/>
      <c r="E5" s="76"/>
      <c r="F5" s="76"/>
      <c r="G5" s="76"/>
      <c r="H5" s="76"/>
      <c r="I5" s="76"/>
      <c r="J5" s="76"/>
    </row>
    <row r="6" spans="1:15" ht="14" thickBot="1">
      <c r="A6" s="12" t="s">
        <v>249</v>
      </c>
      <c r="B6" s="11" t="s">
        <v>1205</v>
      </c>
      <c r="C6" s="11" t="s">
        <v>1368</v>
      </c>
      <c r="D6" s="11" t="s">
        <v>960</v>
      </c>
      <c r="E6" s="11" t="s">
        <v>1434</v>
      </c>
      <c r="F6" s="11" t="s">
        <v>1068</v>
      </c>
      <c r="G6" s="24" t="s">
        <v>18</v>
      </c>
      <c r="H6" s="24" t="s">
        <v>27</v>
      </c>
      <c r="I6" s="24" t="s">
        <v>22</v>
      </c>
      <c r="J6" s="12"/>
      <c r="K6" s="12" t="str">
        <f>"120,0"</f>
        <v>120,0</v>
      </c>
      <c r="L6" s="12" t="str">
        <f>"74,2370"</f>
        <v>74,2370</v>
      </c>
      <c r="M6" s="11"/>
    </row>
    <row r="7" spans="1:15" ht="16">
      <c r="A7" s="75" t="s">
        <v>192</v>
      </c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6"/>
      <c r="N7" s="6"/>
      <c r="O7" s="5"/>
    </row>
    <row r="8" spans="1:15">
      <c r="A8" s="12" t="s">
        <v>249</v>
      </c>
      <c r="B8" s="11" t="s">
        <v>1202</v>
      </c>
      <c r="C8" s="11" t="s">
        <v>1203</v>
      </c>
      <c r="D8" s="11" t="s">
        <v>1204</v>
      </c>
      <c r="E8" s="11" t="s">
        <v>1435</v>
      </c>
      <c r="F8" s="11" t="s">
        <v>175</v>
      </c>
      <c r="G8" s="24" t="s">
        <v>18</v>
      </c>
      <c r="H8" s="25" t="s">
        <v>264</v>
      </c>
      <c r="I8" s="24" t="s">
        <v>264</v>
      </c>
      <c r="J8" s="12"/>
      <c r="K8" s="12" t="s">
        <v>308</v>
      </c>
      <c r="L8" s="42">
        <v>29</v>
      </c>
      <c r="M8" s="12"/>
      <c r="N8" s="12"/>
      <c r="O8" s="11"/>
    </row>
    <row r="9" spans="1:15">
      <c r="B9" s="5" t="s">
        <v>250</v>
      </c>
      <c r="L9" s="41"/>
      <c r="M9" s="6"/>
      <c r="N9" s="6"/>
      <c r="O9" s="5"/>
    </row>
    <row r="10" spans="1:15">
      <c r="B10" s="5" t="s">
        <v>250</v>
      </c>
    </row>
  </sheetData>
  <mergeCells count="13">
    <mergeCell ref="A5:J5"/>
    <mergeCell ref="B3:B4"/>
    <mergeCell ref="A7:L7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U26"/>
  <sheetViews>
    <sheetView workbookViewId="0">
      <selection activeCell="E26" sqref="E26"/>
    </sheetView>
  </sheetViews>
  <sheetFormatPr baseColWidth="10" defaultColWidth="9.1640625" defaultRowHeight="13"/>
  <cols>
    <col min="1" max="1" width="7.5" style="5" bestFit="1" customWidth="1"/>
    <col min="2" max="2" width="20.1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3.5" style="5" bestFit="1" customWidth="1"/>
    <col min="7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32" bestFit="1" customWidth="1"/>
    <col min="20" max="20" width="8.5" style="6" bestFit="1" customWidth="1"/>
    <col min="21" max="21" width="20" style="5" customWidth="1"/>
    <col min="22" max="16384" width="9.1640625" style="3"/>
  </cols>
  <sheetData>
    <row r="1" spans="1:21" s="2" customFormat="1" ht="29" customHeight="1">
      <c r="A1" s="57" t="s">
        <v>1374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</row>
    <row r="2" spans="1:21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4"/>
    </row>
    <row r="3" spans="1:21" s="1" customFormat="1" ht="12.75" customHeight="1">
      <c r="A3" s="65" t="s">
        <v>1430</v>
      </c>
      <c r="B3" s="77" t="s">
        <v>0</v>
      </c>
      <c r="C3" s="67" t="s">
        <v>1432</v>
      </c>
      <c r="D3" s="67" t="s">
        <v>8</v>
      </c>
      <c r="E3" s="69" t="s">
        <v>1433</v>
      </c>
      <c r="F3" s="69" t="s">
        <v>5</v>
      </c>
      <c r="G3" s="69" t="s">
        <v>9</v>
      </c>
      <c r="H3" s="69"/>
      <c r="I3" s="69"/>
      <c r="J3" s="69"/>
      <c r="K3" s="69" t="s">
        <v>10</v>
      </c>
      <c r="L3" s="69"/>
      <c r="M3" s="69"/>
      <c r="N3" s="69"/>
      <c r="O3" s="69" t="s">
        <v>11</v>
      </c>
      <c r="P3" s="69"/>
      <c r="Q3" s="69"/>
      <c r="R3" s="69"/>
      <c r="S3" s="71" t="s">
        <v>1</v>
      </c>
      <c r="T3" s="69" t="s">
        <v>3</v>
      </c>
      <c r="U3" s="73" t="s">
        <v>2</v>
      </c>
    </row>
    <row r="4" spans="1:21" s="1" customFormat="1" ht="21" customHeight="1" thickBot="1">
      <c r="A4" s="66"/>
      <c r="B4" s="78"/>
      <c r="C4" s="68"/>
      <c r="D4" s="68"/>
      <c r="E4" s="68"/>
      <c r="F4" s="6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72"/>
      <c r="T4" s="68"/>
      <c r="U4" s="74"/>
    </row>
    <row r="5" spans="1:21" ht="16">
      <c r="A5" s="75" t="s">
        <v>34</v>
      </c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1:21">
      <c r="A6" s="12" t="s">
        <v>251</v>
      </c>
      <c r="B6" s="11" t="s">
        <v>523</v>
      </c>
      <c r="C6" s="11" t="s">
        <v>524</v>
      </c>
      <c r="D6" s="11" t="s">
        <v>396</v>
      </c>
      <c r="E6" s="11" t="s">
        <v>1435</v>
      </c>
      <c r="F6" s="11" t="s">
        <v>525</v>
      </c>
      <c r="G6" s="25" t="s">
        <v>79</v>
      </c>
      <c r="H6" s="25" t="s">
        <v>79</v>
      </c>
      <c r="I6" s="25" t="s">
        <v>79</v>
      </c>
      <c r="J6" s="12"/>
      <c r="K6" s="25"/>
      <c r="L6" s="12"/>
      <c r="M6" s="12"/>
      <c r="N6" s="12"/>
      <c r="O6" s="25"/>
      <c r="P6" s="12"/>
      <c r="Q6" s="12"/>
      <c r="R6" s="12"/>
      <c r="S6" s="36">
        <v>0</v>
      </c>
      <c r="T6" s="12" t="str">
        <f>"0,0000"</f>
        <v>0,0000</v>
      </c>
      <c r="U6" s="11" t="s">
        <v>526</v>
      </c>
    </row>
    <row r="7" spans="1:21">
      <c r="B7" s="5" t="s">
        <v>250</v>
      </c>
    </row>
    <row r="8" spans="1:21" ht="16">
      <c r="A8" s="70" t="s">
        <v>57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</row>
    <row r="9" spans="1:21">
      <c r="A9" s="12" t="s">
        <v>249</v>
      </c>
      <c r="B9" s="11" t="s">
        <v>58</v>
      </c>
      <c r="C9" s="11" t="s">
        <v>59</v>
      </c>
      <c r="D9" s="11" t="s">
        <v>60</v>
      </c>
      <c r="E9" s="11" t="s">
        <v>1435</v>
      </c>
      <c r="F9" s="11" t="s">
        <v>61</v>
      </c>
      <c r="G9" s="25" t="s">
        <v>62</v>
      </c>
      <c r="H9" s="24" t="s">
        <v>62</v>
      </c>
      <c r="I9" s="24" t="s">
        <v>63</v>
      </c>
      <c r="J9" s="25" t="s">
        <v>64</v>
      </c>
      <c r="K9" s="24" t="s">
        <v>22</v>
      </c>
      <c r="L9" s="24" t="s">
        <v>23</v>
      </c>
      <c r="M9" s="25" t="s">
        <v>65</v>
      </c>
      <c r="N9" s="12"/>
      <c r="O9" s="24" t="s">
        <v>66</v>
      </c>
      <c r="P9" s="24" t="s">
        <v>62</v>
      </c>
      <c r="Q9" s="25" t="s">
        <v>67</v>
      </c>
      <c r="R9" s="12"/>
      <c r="S9" s="36" t="str">
        <f>"650,0"</f>
        <v>650,0</v>
      </c>
      <c r="T9" s="12" t="str">
        <f>"575,8350"</f>
        <v>575,8350</v>
      </c>
      <c r="U9" s="11" t="s">
        <v>527</v>
      </c>
    </row>
    <row r="10" spans="1:21">
      <c r="B10" s="5" t="s">
        <v>250</v>
      </c>
    </row>
    <row r="11" spans="1:21" ht="16">
      <c r="A11" s="70" t="s">
        <v>105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</row>
    <row r="12" spans="1:21">
      <c r="A12" s="12" t="s">
        <v>249</v>
      </c>
      <c r="B12" s="11" t="s">
        <v>528</v>
      </c>
      <c r="C12" s="11" t="s">
        <v>529</v>
      </c>
      <c r="D12" s="11" t="s">
        <v>530</v>
      </c>
      <c r="E12" s="11" t="s">
        <v>1435</v>
      </c>
      <c r="F12" s="11" t="s">
        <v>445</v>
      </c>
      <c r="G12" s="24" t="s">
        <v>66</v>
      </c>
      <c r="H12" s="25" t="s">
        <v>67</v>
      </c>
      <c r="I12" s="24" t="s">
        <v>67</v>
      </c>
      <c r="J12" s="12"/>
      <c r="K12" s="24" t="s">
        <v>33</v>
      </c>
      <c r="L12" s="25" t="s">
        <v>51</v>
      </c>
      <c r="M12" s="25" t="s">
        <v>51</v>
      </c>
      <c r="N12" s="12"/>
      <c r="O12" s="24" t="s">
        <v>119</v>
      </c>
      <c r="P12" s="24" t="s">
        <v>98</v>
      </c>
      <c r="Q12" s="24" t="s">
        <v>109</v>
      </c>
      <c r="R12" s="12"/>
      <c r="S12" s="36" t="str">
        <f>"670,0"</f>
        <v>670,0</v>
      </c>
      <c r="T12" s="12" t="str">
        <f>"433,8250"</f>
        <v>433,8250</v>
      </c>
      <c r="U12" s="11"/>
    </row>
    <row r="13" spans="1:21">
      <c r="B13" s="5" t="s">
        <v>250</v>
      </c>
    </row>
    <row r="14" spans="1:21" ht="16">
      <c r="A14" s="70" t="s">
        <v>151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</row>
    <row r="15" spans="1:21">
      <c r="A15" s="8" t="s">
        <v>249</v>
      </c>
      <c r="B15" s="7" t="s">
        <v>531</v>
      </c>
      <c r="C15" s="7" t="s">
        <v>532</v>
      </c>
      <c r="D15" s="7" t="s">
        <v>153</v>
      </c>
      <c r="E15" s="7" t="s">
        <v>1435</v>
      </c>
      <c r="F15" s="7" t="s">
        <v>1262</v>
      </c>
      <c r="G15" s="21" t="s">
        <v>66</v>
      </c>
      <c r="H15" s="20" t="s">
        <v>67</v>
      </c>
      <c r="I15" s="21" t="s">
        <v>67</v>
      </c>
      <c r="J15" s="8"/>
      <c r="K15" s="21" t="s">
        <v>77</v>
      </c>
      <c r="L15" s="21" t="s">
        <v>38</v>
      </c>
      <c r="M15" s="21" t="s">
        <v>39</v>
      </c>
      <c r="N15" s="8"/>
      <c r="O15" s="21" t="s">
        <v>66</v>
      </c>
      <c r="P15" s="21" t="s">
        <v>67</v>
      </c>
      <c r="Q15" s="20" t="s">
        <v>63</v>
      </c>
      <c r="R15" s="8"/>
      <c r="S15" s="33" t="str">
        <f>"692,5"</f>
        <v>692,5</v>
      </c>
      <c r="T15" s="8" t="str">
        <f>"421,9403"</f>
        <v>421,9403</v>
      </c>
      <c r="U15" s="7"/>
    </row>
    <row r="16" spans="1:21">
      <c r="A16" s="14" t="s">
        <v>252</v>
      </c>
      <c r="B16" s="13" t="s">
        <v>533</v>
      </c>
      <c r="C16" s="13" t="s">
        <v>534</v>
      </c>
      <c r="D16" s="13" t="s">
        <v>535</v>
      </c>
      <c r="E16" s="13" t="s">
        <v>1435</v>
      </c>
      <c r="F16" s="13" t="s">
        <v>1262</v>
      </c>
      <c r="G16" s="26" t="s">
        <v>110</v>
      </c>
      <c r="H16" s="27" t="s">
        <v>161</v>
      </c>
      <c r="I16" s="26" t="s">
        <v>161</v>
      </c>
      <c r="J16" s="14"/>
      <c r="K16" s="26" t="s">
        <v>72</v>
      </c>
      <c r="L16" s="26" t="s">
        <v>56</v>
      </c>
      <c r="M16" s="27" t="s">
        <v>78</v>
      </c>
      <c r="N16" s="14"/>
      <c r="O16" s="26" t="s">
        <v>17</v>
      </c>
      <c r="P16" s="27" t="s">
        <v>85</v>
      </c>
      <c r="Q16" s="14"/>
      <c r="R16" s="14"/>
      <c r="S16" s="34" t="str">
        <f>"585,0"</f>
        <v>585,0</v>
      </c>
      <c r="T16" s="14" t="str">
        <f>"358,3710"</f>
        <v>358,3710</v>
      </c>
      <c r="U16" s="13"/>
    </row>
    <row r="17" spans="1:21">
      <c r="A17" s="10" t="s">
        <v>249</v>
      </c>
      <c r="B17" s="9" t="s">
        <v>536</v>
      </c>
      <c r="C17" s="9" t="s">
        <v>1294</v>
      </c>
      <c r="D17" s="9" t="s">
        <v>537</v>
      </c>
      <c r="E17" s="9" t="s">
        <v>1438</v>
      </c>
      <c r="F17" s="9" t="s">
        <v>538</v>
      </c>
      <c r="G17" s="23" t="s">
        <v>56</v>
      </c>
      <c r="H17" s="22" t="s">
        <v>56</v>
      </c>
      <c r="I17" s="22" t="s">
        <v>85</v>
      </c>
      <c r="J17" s="10"/>
      <c r="K17" s="22" t="s">
        <v>75</v>
      </c>
      <c r="L17" s="22" t="s">
        <v>49</v>
      </c>
      <c r="M17" s="22" t="s">
        <v>51</v>
      </c>
      <c r="N17" s="10"/>
      <c r="O17" s="23" t="s">
        <v>72</v>
      </c>
      <c r="P17" s="23" t="s">
        <v>56</v>
      </c>
      <c r="Q17" s="22" t="s">
        <v>56</v>
      </c>
      <c r="R17" s="10"/>
      <c r="S17" s="35" t="str">
        <f>"550,0"</f>
        <v>550,0</v>
      </c>
      <c r="T17" s="10" t="str">
        <f>"373,0118"</f>
        <v>373,0118</v>
      </c>
      <c r="U17" s="9" t="s">
        <v>539</v>
      </c>
    </row>
    <row r="18" spans="1:21">
      <c r="B18" s="5" t="s">
        <v>250</v>
      </c>
    </row>
    <row r="19" spans="1:21" ht="16">
      <c r="A19" s="70" t="s">
        <v>192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</row>
    <row r="20" spans="1:21">
      <c r="A20" s="8" t="s">
        <v>249</v>
      </c>
      <c r="B20" s="7" t="s">
        <v>540</v>
      </c>
      <c r="C20" s="7" t="s">
        <v>136</v>
      </c>
      <c r="D20" s="7" t="s">
        <v>541</v>
      </c>
      <c r="E20" s="7" t="s">
        <v>1435</v>
      </c>
      <c r="F20" s="7" t="s">
        <v>542</v>
      </c>
      <c r="G20" s="21" t="s">
        <v>94</v>
      </c>
      <c r="H20" s="21" t="s">
        <v>120</v>
      </c>
      <c r="I20" s="21" t="s">
        <v>112</v>
      </c>
      <c r="J20" s="8"/>
      <c r="K20" s="21" t="s">
        <v>56</v>
      </c>
      <c r="L20" s="21" t="s">
        <v>85</v>
      </c>
      <c r="M20" s="20" t="s">
        <v>111</v>
      </c>
      <c r="N20" s="8"/>
      <c r="O20" s="21" t="s">
        <v>112</v>
      </c>
      <c r="P20" s="21" t="s">
        <v>504</v>
      </c>
      <c r="Q20" s="21" t="s">
        <v>157</v>
      </c>
      <c r="R20" s="8"/>
      <c r="S20" s="33" t="str">
        <f>"870,0"</f>
        <v>870,0</v>
      </c>
      <c r="T20" s="8" t="str">
        <f>"521,4780"</f>
        <v>521,4780</v>
      </c>
      <c r="U20" s="7"/>
    </row>
    <row r="21" spans="1:21">
      <c r="A21" s="14" t="s">
        <v>251</v>
      </c>
      <c r="B21" s="13" t="s">
        <v>543</v>
      </c>
      <c r="C21" s="13" t="s">
        <v>544</v>
      </c>
      <c r="D21" s="13" t="s">
        <v>545</v>
      </c>
      <c r="E21" s="13" t="s">
        <v>1435</v>
      </c>
      <c r="F21" s="13" t="s">
        <v>445</v>
      </c>
      <c r="G21" s="27" t="s">
        <v>93</v>
      </c>
      <c r="H21" s="27" t="s">
        <v>94</v>
      </c>
      <c r="I21" s="27" t="s">
        <v>94</v>
      </c>
      <c r="J21" s="14"/>
      <c r="K21" s="27"/>
      <c r="L21" s="14"/>
      <c r="M21" s="14"/>
      <c r="N21" s="14"/>
      <c r="O21" s="27"/>
      <c r="P21" s="14"/>
      <c r="Q21" s="14"/>
      <c r="R21" s="14"/>
      <c r="S21" s="34">
        <v>0</v>
      </c>
      <c r="T21" s="14" t="str">
        <f>"0,0000"</f>
        <v>0,0000</v>
      </c>
      <c r="U21" s="13" t="s">
        <v>546</v>
      </c>
    </row>
    <row r="22" spans="1:21">
      <c r="A22" s="10" t="s">
        <v>251</v>
      </c>
      <c r="B22" s="9" t="s">
        <v>547</v>
      </c>
      <c r="C22" s="9" t="s">
        <v>548</v>
      </c>
      <c r="D22" s="9" t="s">
        <v>549</v>
      </c>
      <c r="E22" s="9" t="s">
        <v>1435</v>
      </c>
      <c r="F22" s="9" t="s">
        <v>154</v>
      </c>
      <c r="G22" s="23" t="s">
        <v>94</v>
      </c>
      <c r="H22" s="23" t="s">
        <v>94</v>
      </c>
      <c r="I22" s="23" t="s">
        <v>94</v>
      </c>
      <c r="J22" s="10"/>
      <c r="K22" s="23"/>
      <c r="L22" s="10"/>
      <c r="M22" s="10"/>
      <c r="N22" s="10"/>
      <c r="O22" s="23"/>
      <c r="P22" s="10"/>
      <c r="Q22" s="10"/>
      <c r="R22" s="10"/>
      <c r="S22" s="35">
        <v>0</v>
      </c>
      <c r="T22" s="10" t="str">
        <f>"0,0000"</f>
        <v>0,0000</v>
      </c>
      <c r="U22" s="9" t="s">
        <v>550</v>
      </c>
    </row>
    <row r="23" spans="1:21">
      <c r="B23" s="5" t="s">
        <v>250</v>
      </c>
    </row>
    <row r="24" spans="1:21" ht="16">
      <c r="A24" s="70" t="s">
        <v>212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</row>
    <row r="25" spans="1:21">
      <c r="A25" s="12" t="s">
        <v>249</v>
      </c>
      <c r="B25" s="11" t="s">
        <v>551</v>
      </c>
      <c r="C25" s="11" t="s">
        <v>552</v>
      </c>
      <c r="D25" s="11" t="s">
        <v>553</v>
      </c>
      <c r="E25" s="11" t="s">
        <v>1435</v>
      </c>
      <c r="F25" s="11" t="s">
        <v>554</v>
      </c>
      <c r="G25" s="25" t="s">
        <v>203</v>
      </c>
      <c r="H25" s="24" t="s">
        <v>203</v>
      </c>
      <c r="I25" s="12"/>
      <c r="J25" s="12"/>
      <c r="K25" s="24" t="s">
        <v>79</v>
      </c>
      <c r="L25" s="24" t="s">
        <v>119</v>
      </c>
      <c r="M25" s="25" t="s">
        <v>91</v>
      </c>
      <c r="N25" s="12"/>
      <c r="O25" s="24" t="s">
        <v>203</v>
      </c>
      <c r="P25" s="12"/>
      <c r="Q25" s="12"/>
      <c r="R25" s="12"/>
      <c r="S25" s="36" t="str">
        <f>"830,0"</f>
        <v>830,0</v>
      </c>
      <c r="T25" s="12" t="str">
        <f>"473,9300"</f>
        <v>473,9300</v>
      </c>
      <c r="U25" s="11" t="s">
        <v>555</v>
      </c>
    </row>
    <row r="26" spans="1:21">
      <c r="B26" s="5" t="s">
        <v>250</v>
      </c>
    </row>
  </sheetData>
  <mergeCells count="19">
    <mergeCell ref="A24:R24"/>
    <mergeCell ref="A5:R5"/>
    <mergeCell ref="A8:R8"/>
    <mergeCell ref="A11:R11"/>
    <mergeCell ref="A14:R14"/>
    <mergeCell ref="A19:R19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B3:B4"/>
    <mergeCell ref="S3:S4"/>
    <mergeCell ref="T3:T4"/>
    <mergeCell ref="U3:U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Q48"/>
  <sheetViews>
    <sheetView topLeftCell="A16" workbookViewId="0">
      <selection activeCell="E38" sqref="E38"/>
    </sheetView>
  </sheetViews>
  <sheetFormatPr baseColWidth="10" defaultColWidth="9.1640625" defaultRowHeight="13"/>
  <cols>
    <col min="1" max="1" width="7.5" style="5" bestFit="1" customWidth="1"/>
    <col min="2" max="2" width="19.1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9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21.83203125" style="5" customWidth="1"/>
    <col min="18" max="16384" width="9.1640625" style="3"/>
  </cols>
  <sheetData>
    <row r="1" spans="1:17" s="2" customFormat="1" ht="29" customHeight="1">
      <c r="A1" s="57" t="s">
        <v>1376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1:17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4"/>
    </row>
    <row r="3" spans="1:17" s="1" customFormat="1" ht="12.75" customHeight="1">
      <c r="A3" s="65" t="s">
        <v>1430</v>
      </c>
      <c r="B3" s="77" t="s">
        <v>0</v>
      </c>
      <c r="C3" s="67" t="s">
        <v>1432</v>
      </c>
      <c r="D3" s="67" t="s">
        <v>8</v>
      </c>
      <c r="E3" s="69" t="s">
        <v>1433</v>
      </c>
      <c r="F3" s="69" t="s">
        <v>5</v>
      </c>
      <c r="G3" s="69" t="s">
        <v>10</v>
      </c>
      <c r="H3" s="69"/>
      <c r="I3" s="69"/>
      <c r="J3" s="69"/>
      <c r="K3" s="69" t="s">
        <v>11</v>
      </c>
      <c r="L3" s="69"/>
      <c r="M3" s="69"/>
      <c r="N3" s="69"/>
      <c r="O3" s="69" t="s">
        <v>1</v>
      </c>
      <c r="P3" s="69" t="s">
        <v>3</v>
      </c>
      <c r="Q3" s="73" t="s">
        <v>2</v>
      </c>
    </row>
    <row r="4" spans="1:17" s="1" customFormat="1" ht="21" customHeight="1" thickBot="1">
      <c r="A4" s="66"/>
      <c r="B4" s="78"/>
      <c r="C4" s="68"/>
      <c r="D4" s="68"/>
      <c r="E4" s="68"/>
      <c r="F4" s="6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8"/>
      <c r="P4" s="68"/>
      <c r="Q4" s="74"/>
    </row>
    <row r="5" spans="1:17" ht="16">
      <c r="A5" s="75" t="s">
        <v>259</v>
      </c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7">
      <c r="A6" s="12" t="s">
        <v>249</v>
      </c>
      <c r="B6" s="11" t="s">
        <v>260</v>
      </c>
      <c r="C6" s="11" t="s">
        <v>261</v>
      </c>
      <c r="D6" s="11" t="s">
        <v>262</v>
      </c>
      <c r="E6" s="11" t="s">
        <v>1435</v>
      </c>
      <c r="F6" s="11" t="s">
        <v>263</v>
      </c>
      <c r="G6" s="24" t="s">
        <v>266</v>
      </c>
      <c r="H6" s="24" t="s">
        <v>50</v>
      </c>
      <c r="I6" s="25" t="s">
        <v>30</v>
      </c>
      <c r="J6" s="12"/>
      <c r="K6" s="24" t="s">
        <v>76</v>
      </c>
      <c r="L6" s="24" t="s">
        <v>267</v>
      </c>
      <c r="M6" s="25" t="s">
        <v>268</v>
      </c>
      <c r="N6" s="12"/>
      <c r="O6" s="12" t="str">
        <f>"217,5"</f>
        <v>217,5</v>
      </c>
      <c r="P6" s="12" t="str">
        <f>"291,1673"</f>
        <v>291,1673</v>
      </c>
      <c r="Q6" s="11" t="s">
        <v>269</v>
      </c>
    </row>
    <row r="7" spans="1:17">
      <c r="B7" s="5" t="s">
        <v>250</v>
      </c>
    </row>
    <row r="8" spans="1:17" ht="16">
      <c r="A8" s="70" t="s">
        <v>57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7">
      <c r="A9" s="12" t="s">
        <v>249</v>
      </c>
      <c r="B9" s="11" t="s">
        <v>981</v>
      </c>
      <c r="C9" s="11" t="s">
        <v>982</v>
      </c>
      <c r="D9" s="11" t="s">
        <v>983</v>
      </c>
      <c r="E9" s="11" t="s">
        <v>1435</v>
      </c>
      <c r="F9" s="11" t="s">
        <v>1262</v>
      </c>
      <c r="G9" s="24" t="s">
        <v>303</v>
      </c>
      <c r="H9" s="25" t="s">
        <v>308</v>
      </c>
      <c r="I9" s="24" t="s">
        <v>308</v>
      </c>
      <c r="J9" s="12"/>
      <c r="K9" s="24" t="s">
        <v>19</v>
      </c>
      <c r="L9" s="25" t="s">
        <v>27</v>
      </c>
      <c r="M9" s="25" t="s">
        <v>27</v>
      </c>
      <c r="N9" s="12"/>
      <c r="O9" s="12" t="str">
        <f>"165,0"</f>
        <v>165,0</v>
      </c>
      <c r="P9" s="12" t="str">
        <f>"190,1625"</f>
        <v>190,1625</v>
      </c>
      <c r="Q9" s="11" t="s">
        <v>699</v>
      </c>
    </row>
    <row r="10" spans="1:17">
      <c r="B10" s="5" t="s">
        <v>250</v>
      </c>
    </row>
    <row r="11" spans="1:17" ht="16">
      <c r="A11" s="70" t="s">
        <v>12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</row>
    <row r="12" spans="1:17">
      <c r="A12" s="8" t="s">
        <v>249</v>
      </c>
      <c r="B12" s="7" t="s">
        <v>340</v>
      </c>
      <c r="C12" s="7" t="s">
        <v>984</v>
      </c>
      <c r="D12" s="7" t="s">
        <v>341</v>
      </c>
      <c r="E12" s="7" t="s">
        <v>1435</v>
      </c>
      <c r="F12" s="7" t="s">
        <v>342</v>
      </c>
      <c r="G12" s="21" t="s">
        <v>287</v>
      </c>
      <c r="H12" s="21" t="s">
        <v>21</v>
      </c>
      <c r="I12" s="20" t="s">
        <v>293</v>
      </c>
      <c r="J12" s="8"/>
      <c r="K12" s="21" t="s">
        <v>65</v>
      </c>
      <c r="L12" s="21" t="s">
        <v>343</v>
      </c>
      <c r="M12" s="20" t="s">
        <v>49</v>
      </c>
      <c r="N12" s="8"/>
      <c r="O12" s="8" t="str">
        <f>"220,0"</f>
        <v>220,0</v>
      </c>
      <c r="P12" s="8" t="str">
        <f>"225,9840"</f>
        <v>225,9840</v>
      </c>
      <c r="Q12" s="7" t="s">
        <v>344</v>
      </c>
    </row>
    <row r="13" spans="1:17">
      <c r="A13" s="10" t="s">
        <v>249</v>
      </c>
      <c r="B13" s="9" t="s">
        <v>340</v>
      </c>
      <c r="C13" s="9" t="s">
        <v>1274</v>
      </c>
      <c r="D13" s="9" t="s">
        <v>341</v>
      </c>
      <c r="E13" s="9" t="s">
        <v>1434</v>
      </c>
      <c r="F13" s="9" t="s">
        <v>342</v>
      </c>
      <c r="G13" s="22" t="s">
        <v>287</v>
      </c>
      <c r="H13" s="22" t="s">
        <v>21</v>
      </c>
      <c r="I13" s="23" t="s">
        <v>293</v>
      </c>
      <c r="J13" s="10"/>
      <c r="K13" s="22" t="s">
        <v>65</v>
      </c>
      <c r="L13" s="22" t="s">
        <v>343</v>
      </c>
      <c r="M13" s="23" t="s">
        <v>49</v>
      </c>
      <c r="N13" s="10"/>
      <c r="O13" s="10" t="str">
        <f>"220,0"</f>
        <v>220,0</v>
      </c>
      <c r="P13" s="10" t="str">
        <f>"229,1478"</f>
        <v>229,1478</v>
      </c>
      <c r="Q13" s="9" t="s">
        <v>344</v>
      </c>
    </row>
    <row r="14" spans="1:17">
      <c r="B14" s="5" t="s">
        <v>250</v>
      </c>
    </row>
    <row r="15" spans="1:17" ht="16">
      <c r="A15" s="70" t="s">
        <v>68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</row>
    <row r="16" spans="1:17">
      <c r="A16" s="8" t="s">
        <v>249</v>
      </c>
      <c r="B16" s="7" t="s">
        <v>384</v>
      </c>
      <c r="C16" s="7" t="s">
        <v>385</v>
      </c>
      <c r="D16" s="7" t="s">
        <v>386</v>
      </c>
      <c r="E16" s="7" t="s">
        <v>1436</v>
      </c>
      <c r="F16" s="7" t="s">
        <v>387</v>
      </c>
      <c r="G16" s="21" t="s">
        <v>42</v>
      </c>
      <c r="H16" s="21" t="s">
        <v>17</v>
      </c>
      <c r="I16" s="20" t="s">
        <v>18</v>
      </c>
      <c r="J16" s="8"/>
      <c r="K16" s="21" t="s">
        <v>51</v>
      </c>
      <c r="L16" s="21" t="s">
        <v>126</v>
      </c>
      <c r="M16" s="21" t="s">
        <v>40</v>
      </c>
      <c r="N16" s="8"/>
      <c r="O16" s="8" t="str">
        <f>"275,0"</f>
        <v>275,0</v>
      </c>
      <c r="P16" s="8" t="str">
        <f>"196,8725"</f>
        <v>196,8725</v>
      </c>
      <c r="Q16" s="7" t="s">
        <v>388</v>
      </c>
    </row>
    <row r="17" spans="1:17">
      <c r="A17" s="10" t="s">
        <v>249</v>
      </c>
      <c r="B17" s="9" t="s">
        <v>985</v>
      </c>
      <c r="C17" s="9" t="s">
        <v>1295</v>
      </c>
      <c r="D17" s="9" t="s">
        <v>986</v>
      </c>
      <c r="E17" s="9" t="s">
        <v>1440</v>
      </c>
      <c r="F17" s="9" t="s">
        <v>572</v>
      </c>
      <c r="G17" s="22" t="s">
        <v>22</v>
      </c>
      <c r="H17" s="22" t="s">
        <v>23</v>
      </c>
      <c r="I17" s="22" t="s">
        <v>83</v>
      </c>
      <c r="J17" s="10"/>
      <c r="K17" s="22" t="s">
        <v>43</v>
      </c>
      <c r="L17" s="22" t="s">
        <v>78</v>
      </c>
      <c r="M17" s="22" t="s">
        <v>104</v>
      </c>
      <c r="N17" s="10"/>
      <c r="O17" s="10" t="str">
        <f>"332,5"</f>
        <v>332,5</v>
      </c>
      <c r="P17" s="10" t="str">
        <f>"275,3100"</f>
        <v>275,3100</v>
      </c>
      <c r="Q17" s="9" t="s">
        <v>987</v>
      </c>
    </row>
    <row r="18" spans="1:17">
      <c r="B18" s="5" t="s">
        <v>250</v>
      </c>
    </row>
    <row r="19" spans="1:17" ht="16">
      <c r="A19" s="70" t="s">
        <v>34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0" spans="1:17">
      <c r="A20" s="12" t="s">
        <v>249</v>
      </c>
      <c r="B20" s="11" t="s">
        <v>988</v>
      </c>
      <c r="C20" s="11" t="s">
        <v>989</v>
      </c>
      <c r="D20" s="11" t="s">
        <v>990</v>
      </c>
      <c r="E20" s="11" t="s">
        <v>1435</v>
      </c>
      <c r="F20" s="11" t="s">
        <v>459</v>
      </c>
      <c r="G20" s="24" t="s">
        <v>42</v>
      </c>
      <c r="H20" s="24" t="s">
        <v>18</v>
      </c>
      <c r="I20" s="25" t="s">
        <v>19</v>
      </c>
      <c r="J20" s="12"/>
      <c r="K20" s="24" t="s">
        <v>49</v>
      </c>
      <c r="L20" s="24" t="s">
        <v>40</v>
      </c>
      <c r="M20" s="25" t="s">
        <v>56</v>
      </c>
      <c r="N20" s="12"/>
      <c r="O20" s="12" t="str">
        <f>"280,0"</f>
        <v>280,0</v>
      </c>
      <c r="P20" s="12" t="str">
        <f>"187,8520"</f>
        <v>187,8520</v>
      </c>
      <c r="Q20" s="11" t="s">
        <v>460</v>
      </c>
    </row>
    <row r="21" spans="1:17">
      <c r="B21" s="5" t="s">
        <v>250</v>
      </c>
    </row>
    <row r="22" spans="1:17" ht="16">
      <c r="A22" s="70" t="s">
        <v>105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</row>
    <row r="23" spans="1:17">
      <c r="A23" s="8" t="s">
        <v>249</v>
      </c>
      <c r="B23" s="7" t="s">
        <v>429</v>
      </c>
      <c r="C23" s="7" t="s">
        <v>430</v>
      </c>
      <c r="D23" s="7" t="s">
        <v>431</v>
      </c>
      <c r="E23" s="7" t="s">
        <v>1435</v>
      </c>
      <c r="F23" s="7" t="s">
        <v>432</v>
      </c>
      <c r="G23" s="21" t="s">
        <v>33</v>
      </c>
      <c r="H23" s="21" t="s">
        <v>49</v>
      </c>
      <c r="I23" s="21" t="s">
        <v>267</v>
      </c>
      <c r="J23" s="8"/>
      <c r="K23" s="21" t="s">
        <v>62</v>
      </c>
      <c r="L23" s="21" t="s">
        <v>110</v>
      </c>
      <c r="M23" s="21" t="s">
        <v>434</v>
      </c>
      <c r="N23" s="8"/>
      <c r="O23" s="8" t="str">
        <f>"430,0"</f>
        <v>430,0</v>
      </c>
      <c r="P23" s="8" t="str">
        <f>"276,9200"</f>
        <v>276,9200</v>
      </c>
      <c r="Q23" s="7"/>
    </row>
    <row r="24" spans="1:17">
      <c r="A24" s="10" t="s">
        <v>252</v>
      </c>
      <c r="B24" s="9" t="s">
        <v>449</v>
      </c>
      <c r="C24" s="9" t="s">
        <v>450</v>
      </c>
      <c r="D24" s="9" t="s">
        <v>426</v>
      </c>
      <c r="E24" s="9" t="s">
        <v>1435</v>
      </c>
      <c r="F24" s="9" t="s">
        <v>347</v>
      </c>
      <c r="G24" s="22" t="s">
        <v>23</v>
      </c>
      <c r="H24" s="23" t="s">
        <v>65</v>
      </c>
      <c r="I24" s="23" t="s">
        <v>65</v>
      </c>
      <c r="J24" s="10"/>
      <c r="K24" s="22" t="s">
        <v>79</v>
      </c>
      <c r="L24" s="23" t="s">
        <v>133</v>
      </c>
      <c r="M24" s="23" t="s">
        <v>133</v>
      </c>
      <c r="N24" s="10"/>
      <c r="O24" s="10" t="str">
        <f>"335,0"</f>
        <v>335,0</v>
      </c>
      <c r="P24" s="10" t="str">
        <f>"218,6880"</f>
        <v>218,6880</v>
      </c>
      <c r="Q24" s="9" t="s">
        <v>451</v>
      </c>
    </row>
    <row r="25" spans="1:17">
      <c r="B25" s="5" t="s">
        <v>250</v>
      </c>
    </row>
    <row r="26" spans="1:17" ht="16">
      <c r="A26" s="70" t="s">
        <v>151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</row>
    <row r="27" spans="1:17">
      <c r="A27" s="8" t="s">
        <v>249</v>
      </c>
      <c r="B27" s="7" t="s">
        <v>991</v>
      </c>
      <c r="C27" s="7" t="s">
        <v>992</v>
      </c>
      <c r="D27" s="7" t="s">
        <v>993</v>
      </c>
      <c r="E27" s="7" t="s">
        <v>1435</v>
      </c>
      <c r="F27" s="7" t="s">
        <v>347</v>
      </c>
      <c r="G27" s="21" t="s">
        <v>33</v>
      </c>
      <c r="H27" s="21" t="s">
        <v>77</v>
      </c>
      <c r="I27" s="20" t="s">
        <v>51</v>
      </c>
      <c r="J27" s="8"/>
      <c r="K27" s="21" t="s">
        <v>92</v>
      </c>
      <c r="L27" s="21" t="s">
        <v>66</v>
      </c>
      <c r="M27" s="20" t="s">
        <v>127</v>
      </c>
      <c r="N27" s="8"/>
      <c r="O27" s="8" t="str">
        <f>"395,0"</f>
        <v>395,0</v>
      </c>
      <c r="P27" s="8" t="str">
        <f>"246,4010"</f>
        <v>246,4010</v>
      </c>
      <c r="Q27" s="7"/>
    </row>
    <row r="28" spans="1:17">
      <c r="A28" s="10" t="s">
        <v>252</v>
      </c>
      <c r="B28" s="9" t="s">
        <v>569</v>
      </c>
      <c r="C28" s="9" t="s">
        <v>570</v>
      </c>
      <c r="D28" s="9" t="s">
        <v>571</v>
      </c>
      <c r="E28" s="9" t="s">
        <v>1435</v>
      </c>
      <c r="F28" s="9" t="s">
        <v>572</v>
      </c>
      <c r="G28" s="22" t="s">
        <v>77</v>
      </c>
      <c r="H28" s="23" t="s">
        <v>379</v>
      </c>
      <c r="I28" s="23" t="s">
        <v>379</v>
      </c>
      <c r="J28" s="10"/>
      <c r="K28" s="22" t="s">
        <v>79</v>
      </c>
      <c r="L28" s="22" t="s">
        <v>91</v>
      </c>
      <c r="M28" s="22" t="s">
        <v>133</v>
      </c>
      <c r="N28" s="10"/>
      <c r="O28" s="10" t="str">
        <f>"385,0"</f>
        <v>385,0</v>
      </c>
      <c r="P28" s="10" t="str">
        <f>"236,0435"</f>
        <v>236,0435</v>
      </c>
      <c r="Q28" s="9" t="s">
        <v>573</v>
      </c>
    </row>
    <row r="29" spans="1:17">
      <c r="B29" s="5" t="s">
        <v>250</v>
      </c>
    </row>
    <row r="30" spans="1:17" ht="16">
      <c r="A30" s="70" t="s">
        <v>192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</row>
    <row r="31" spans="1:17">
      <c r="A31" s="8" t="s">
        <v>249</v>
      </c>
      <c r="B31" s="7" t="s">
        <v>994</v>
      </c>
      <c r="C31" s="7" t="s">
        <v>995</v>
      </c>
      <c r="D31" s="7" t="s">
        <v>996</v>
      </c>
      <c r="E31" s="7" t="s">
        <v>1435</v>
      </c>
      <c r="F31" s="7" t="s">
        <v>175</v>
      </c>
      <c r="G31" s="21" t="s">
        <v>126</v>
      </c>
      <c r="H31" s="21" t="s">
        <v>52</v>
      </c>
      <c r="I31" s="20" t="s">
        <v>39</v>
      </c>
      <c r="J31" s="8"/>
      <c r="K31" s="21" t="s">
        <v>79</v>
      </c>
      <c r="L31" s="21" t="s">
        <v>119</v>
      </c>
      <c r="M31" s="21" t="s">
        <v>133</v>
      </c>
      <c r="N31" s="8"/>
      <c r="O31" s="8" t="str">
        <f>"400,0"</f>
        <v>400,0</v>
      </c>
      <c r="P31" s="8" t="str">
        <f>"237,8000"</f>
        <v>237,8000</v>
      </c>
      <c r="Q31" s="7" t="s">
        <v>747</v>
      </c>
    </row>
    <row r="32" spans="1:17">
      <c r="A32" s="10" t="s">
        <v>249</v>
      </c>
      <c r="B32" s="9" t="s">
        <v>997</v>
      </c>
      <c r="C32" s="9" t="s">
        <v>1296</v>
      </c>
      <c r="D32" s="9" t="s">
        <v>998</v>
      </c>
      <c r="E32" s="9" t="s">
        <v>1438</v>
      </c>
      <c r="F32" s="9" t="s">
        <v>445</v>
      </c>
      <c r="G32" s="22" t="s">
        <v>32</v>
      </c>
      <c r="H32" s="22" t="s">
        <v>75</v>
      </c>
      <c r="I32" s="23" t="s">
        <v>343</v>
      </c>
      <c r="J32" s="10"/>
      <c r="K32" s="22" t="s">
        <v>410</v>
      </c>
      <c r="L32" s="22" t="s">
        <v>163</v>
      </c>
      <c r="M32" s="22" t="s">
        <v>133</v>
      </c>
      <c r="N32" s="10"/>
      <c r="O32" s="10" t="str">
        <f>"370,0"</f>
        <v>370,0</v>
      </c>
      <c r="P32" s="10" t="str">
        <f>"243,5984"</f>
        <v>243,5984</v>
      </c>
      <c r="Q32" s="9" t="s">
        <v>738</v>
      </c>
    </row>
    <row r="33" spans="1:17">
      <c r="B33" s="5" t="s">
        <v>250</v>
      </c>
    </row>
    <row r="34" spans="1:17" ht="16">
      <c r="A34" s="70" t="s">
        <v>212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</row>
    <row r="35" spans="1:17">
      <c r="A35" s="8" t="s">
        <v>249</v>
      </c>
      <c r="B35" s="7" t="s">
        <v>801</v>
      </c>
      <c r="C35" s="7" t="s">
        <v>802</v>
      </c>
      <c r="D35" s="7" t="s">
        <v>803</v>
      </c>
      <c r="E35" s="7" t="s">
        <v>1435</v>
      </c>
      <c r="F35" s="7" t="s">
        <v>347</v>
      </c>
      <c r="G35" s="21" t="s">
        <v>183</v>
      </c>
      <c r="H35" s="21" t="s">
        <v>410</v>
      </c>
      <c r="I35" s="21" t="s">
        <v>475</v>
      </c>
      <c r="J35" s="8"/>
      <c r="K35" s="21" t="s">
        <v>109</v>
      </c>
      <c r="L35" s="21" t="s">
        <v>198</v>
      </c>
      <c r="M35" s="21" t="s">
        <v>94</v>
      </c>
      <c r="N35" s="8"/>
      <c r="O35" s="8" t="str">
        <f>"517,5"</f>
        <v>517,5</v>
      </c>
      <c r="P35" s="8" t="str">
        <f>"295,4408"</f>
        <v>295,4408</v>
      </c>
      <c r="Q35" s="7"/>
    </row>
    <row r="36" spans="1:17">
      <c r="A36" s="14" t="s">
        <v>252</v>
      </c>
      <c r="B36" s="13" t="s">
        <v>999</v>
      </c>
      <c r="C36" s="13" t="s">
        <v>1000</v>
      </c>
      <c r="D36" s="13" t="s">
        <v>1001</v>
      </c>
      <c r="E36" s="13" t="s">
        <v>1435</v>
      </c>
      <c r="F36" s="13" t="s">
        <v>835</v>
      </c>
      <c r="G36" s="26" t="s">
        <v>43</v>
      </c>
      <c r="H36" s="27" t="s">
        <v>78</v>
      </c>
      <c r="I36" s="27" t="s">
        <v>78</v>
      </c>
      <c r="J36" s="14"/>
      <c r="K36" s="26" t="s">
        <v>66</v>
      </c>
      <c r="L36" s="26" t="s">
        <v>98</v>
      </c>
      <c r="M36" s="27" t="s">
        <v>67</v>
      </c>
      <c r="N36" s="14"/>
      <c r="O36" s="14" t="str">
        <f>"435,0"</f>
        <v>435,0</v>
      </c>
      <c r="P36" s="14" t="str">
        <f>"248,4720"</f>
        <v>248,4720</v>
      </c>
      <c r="Q36" s="13" t="s">
        <v>1402</v>
      </c>
    </row>
    <row r="37" spans="1:17">
      <c r="A37" s="10" t="s">
        <v>249</v>
      </c>
      <c r="B37" s="9" t="s">
        <v>1002</v>
      </c>
      <c r="C37" s="9" t="s">
        <v>1297</v>
      </c>
      <c r="D37" s="9" t="s">
        <v>1003</v>
      </c>
      <c r="E37" s="9" t="s">
        <v>1434</v>
      </c>
      <c r="F37" s="9" t="s">
        <v>445</v>
      </c>
      <c r="G37" s="22" t="s">
        <v>268</v>
      </c>
      <c r="H37" s="22" t="s">
        <v>38</v>
      </c>
      <c r="I37" s="22" t="s">
        <v>52</v>
      </c>
      <c r="J37" s="10"/>
      <c r="K37" s="22" t="s">
        <v>52</v>
      </c>
      <c r="L37" s="10"/>
      <c r="M37" s="10"/>
      <c r="N37" s="10"/>
      <c r="O37" s="10" t="str">
        <f>"340,0"</f>
        <v>340,0</v>
      </c>
      <c r="P37" s="10" t="str">
        <f>"203,0016"</f>
        <v>203,0016</v>
      </c>
      <c r="Q37" s="9" t="s">
        <v>498</v>
      </c>
    </row>
    <row r="38" spans="1:17">
      <c r="B38" s="5" t="s">
        <v>250</v>
      </c>
    </row>
    <row r="41" spans="1:17" ht="18">
      <c r="B41" s="15" t="s">
        <v>227</v>
      </c>
      <c r="C41" s="15"/>
    </row>
    <row r="42" spans="1:17" ht="16">
      <c r="B42" s="16" t="s">
        <v>239</v>
      </c>
      <c r="C42" s="16"/>
    </row>
    <row r="43" spans="1:17" ht="14">
      <c r="B43" s="17"/>
      <c r="C43" s="18" t="s">
        <v>229</v>
      </c>
    </row>
    <row r="44" spans="1:17" ht="14">
      <c r="B44" s="19" t="s">
        <v>230</v>
      </c>
      <c r="C44" s="19" t="s">
        <v>231</v>
      </c>
      <c r="D44" s="19" t="s">
        <v>1370</v>
      </c>
      <c r="E44" s="19" t="s">
        <v>233</v>
      </c>
      <c r="F44" s="19" t="s">
        <v>234</v>
      </c>
    </row>
    <row r="45" spans="1:17">
      <c r="B45" s="5" t="s">
        <v>801</v>
      </c>
      <c r="C45" s="5" t="s">
        <v>229</v>
      </c>
      <c r="D45" s="6" t="s">
        <v>556</v>
      </c>
      <c r="E45" s="6" t="s">
        <v>1004</v>
      </c>
      <c r="F45" s="6" t="s">
        <v>1005</v>
      </c>
    </row>
    <row r="46" spans="1:17">
      <c r="B46" s="5" t="s">
        <v>429</v>
      </c>
      <c r="C46" s="5" t="s">
        <v>229</v>
      </c>
      <c r="D46" s="6" t="s">
        <v>513</v>
      </c>
      <c r="E46" s="6" t="s">
        <v>1006</v>
      </c>
      <c r="F46" s="6" t="s">
        <v>1007</v>
      </c>
    </row>
    <row r="47" spans="1:17">
      <c r="B47" s="5" t="s">
        <v>999</v>
      </c>
      <c r="C47" s="5" t="s">
        <v>229</v>
      </c>
      <c r="D47" s="6" t="s">
        <v>556</v>
      </c>
      <c r="E47" s="6" t="s">
        <v>1008</v>
      </c>
      <c r="F47" s="6" t="s">
        <v>1009</v>
      </c>
    </row>
    <row r="48" spans="1:17">
      <c r="B48" s="5" t="s">
        <v>250</v>
      </c>
    </row>
  </sheetData>
  <mergeCells count="21">
    <mergeCell ref="A30:N30"/>
    <mergeCell ref="A34:N34"/>
    <mergeCell ref="B3:B4"/>
    <mergeCell ref="A8:N8"/>
    <mergeCell ref="A11:N11"/>
    <mergeCell ref="A15:N15"/>
    <mergeCell ref="A19:N19"/>
    <mergeCell ref="A22:N22"/>
    <mergeCell ref="A26:N26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Q24"/>
  <sheetViews>
    <sheetView workbookViewId="0">
      <selection activeCell="E24" sqref="E24"/>
    </sheetView>
  </sheetViews>
  <sheetFormatPr baseColWidth="10" defaultColWidth="9.1640625" defaultRowHeight="13"/>
  <cols>
    <col min="1" max="1" width="7.5" style="5" bestFit="1" customWidth="1"/>
    <col min="2" max="2" width="18.6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4.5" style="5" bestFit="1" customWidth="1"/>
    <col min="7" max="9" width="5.5" style="6" customWidth="1"/>
    <col min="10" max="10" width="4.83203125" style="6" customWidth="1"/>
    <col min="11" max="14" width="5.5" style="6" customWidth="1"/>
    <col min="15" max="15" width="7.83203125" style="6" bestFit="1" customWidth="1"/>
    <col min="16" max="16" width="8.5" style="6" bestFit="1" customWidth="1"/>
    <col min="17" max="17" width="18.83203125" style="5" bestFit="1" customWidth="1"/>
    <col min="18" max="16384" width="9.1640625" style="3"/>
  </cols>
  <sheetData>
    <row r="1" spans="1:17" s="2" customFormat="1" ht="29" customHeight="1">
      <c r="A1" s="57" t="s">
        <v>1377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1:17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4"/>
    </row>
    <row r="3" spans="1:17" s="1" customFormat="1" ht="12.75" customHeight="1">
      <c r="A3" s="65" t="s">
        <v>1430</v>
      </c>
      <c r="B3" s="77" t="s">
        <v>0</v>
      </c>
      <c r="C3" s="67" t="s">
        <v>1432</v>
      </c>
      <c r="D3" s="67" t="s">
        <v>8</v>
      </c>
      <c r="E3" s="69" t="s">
        <v>1433</v>
      </c>
      <c r="F3" s="69" t="s">
        <v>5</v>
      </c>
      <c r="G3" s="69" t="s">
        <v>10</v>
      </c>
      <c r="H3" s="69"/>
      <c r="I3" s="69"/>
      <c r="J3" s="69"/>
      <c r="K3" s="69" t="s">
        <v>11</v>
      </c>
      <c r="L3" s="69"/>
      <c r="M3" s="69"/>
      <c r="N3" s="69"/>
      <c r="O3" s="69" t="s">
        <v>1</v>
      </c>
      <c r="P3" s="69" t="s">
        <v>3</v>
      </c>
      <c r="Q3" s="73" t="s">
        <v>2</v>
      </c>
    </row>
    <row r="4" spans="1:17" s="1" customFormat="1" ht="21" customHeight="1" thickBot="1">
      <c r="A4" s="66"/>
      <c r="B4" s="78"/>
      <c r="C4" s="68"/>
      <c r="D4" s="68"/>
      <c r="E4" s="68"/>
      <c r="F4" s="6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8"/>
      <c r="P4" s="68"/>
      <c r="Q4" s="74"/>
    </row>
    <row r="5" spans="1:17" ht="16">
      <c r="A5" s="75" t="s">
        <v>311</v>
      </c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7">
      <c r="A6" s="12" t="s">
        <v>249</v>
      </c>
      <c r="B6" s="11" t="s">
        <v>847</v>
      </c>
      <c r="C6" s="11" t="s">
        <v>1298</v>
      </c>
      <c r="D6" s="11" t="s">
        <v>318</v>
      </c>
      <c r="E6" s="11" t="s">
        <v>1434</v>
      </c>
      <c r="F6" s="28" t="s">
        <v>1262</v>
      </c>
      <c r="G6" s="25" t="s">
        <v>21</v>
      </c>
      <c r="H6" s="24" t="s">
        <v>293</v>
      </c>
      <c r="I6" s="25" t="s">
        <v>273</v>
      </c>
      <c r="J6" s="12"/>
      <c r="K6" s="25" t="s">
        <v>40</v>
      </c>
      <c r="L6" s="25" t="s">
        <v>40</v>
      </c>
      <c r="M6" s="24" t="s">
        <v>72</v>
      </c>
      <c r="N6" s="12"/>
      <c r="O6" s="12" t="str">
        <f>"260,0"</f>
        <v>260,0</v>
      </c>
      <c r="P6" s="12" t="str">
        <f>"315,8180"</f>
        <v>315,8180</v>
      </c>
      <c r="Q6" s="11" t="s">
        <v>975</v>
      </c>
    </row>
    <row r="7" spans="1:17">
      <c r="B7" s="5" t="s">
        <v>250</v>
      </c>
    </row>
    <row r="8" spans="1:17" ht="16">
      <c r="A8" s="70" t="s">
        <v>34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7">
      <c r="A9" s="8" t="s">
        <v>249</v>
      </c>
      <c r="B9" s="7" t="s">
        <v>523</v>
      </c>
      <c r="C9" s="7" t="s">
        <v>524</v>
      </c>
      <c r="D9" s="7" t="s">
        <v>396</v>
      </c>
      <c r="E9" s="7" t="s">
        <v>1435</v>
      </c>
      <c r="F9" s="7" t="s">
        <v>525</v>
      </c>
      <c r="G9" s="20" t="s">
        <v>23</v>
      </c>
      <c r="H9" s="21" t="s">
        <v>23</v>
      </c>
      <c r="I9" s="21" t="s">
        <v>65</v>
      </c>
      <c r="J9" s="8"/>
      <c r="K9" s="20" t="s">
        <v>104</v>
      </c>
      <c r="L9" s="20" t="s">
        <v>104</v>
      </c>
      <c r="M9" s="21" t="s">
        <v>104</v>
      </c>
      <c r="N9" s="8"/>
      <c r="O9" s="8" t="str">
        <f>"335,0"</f>
        <v>335,0</v>
      </c>
      <c r="P9" s="8" t="str">
        <f>"301,5000"</f>
        <v>301,5000</v>
      </c>
      <c r="Q9" s="7" t="s">
        <v>526</v>
      </c>
    </row>
    <row r="10" spans="1:17">
      <c r="A10" s="10" t="s">
        <v>252</v>
      </c>
      <c r="B10" s="9" t="s">
        <v>35</v>
      </c>
      <c r="C10" s="9" t="s">
        <v>36</v>
      </c>
      <c r="D10" s="9" t="s">
        <v>37</v>
      </c>
      <c r="E10" s="9" t="s">
        <v>1435</v>
      </c>
      <c r="F10" s="9" t="s">
        <v>1262</v>
      </c>
      <c r="G10" s="22" t="s">
        <v>41</v>
      </c>
      <c r="H10" s="23" t="s">
        <v>42</v>
      </c>
      <c r="I10" s="23" t="s">
        <v>42</v>
      </c>
      <c r="J10" s="10"/>
      <c r="K10" s="22" t="s">
        <v>40</v>
      </c>
      <c r="L10" s="23" t="s">
        <v>43</v>
      </c>
      <c r="M10" s="23" t="s">
        <v>43</v>
      </c>
      <c r="N10" s="10"/>
      <c r="O10" s="10" t="str">
        <f>"257,5"</f>
        <v>257,5</v>
      </c>
      <c r="P10" s="10" t="str">
        <f>"232,4710"</f>
        <v>232,4710</v>
      </c>
      <c r="Q10" s="9" t="s">
        <v>44</v>
      </c>
    </row>
    <row r="11" spans="1:17">
      <c r="B11" s="5" t="s">
        <v>250</v>
      </c>
    </row>
    <row r="12" spans="1:17" ht="16">
      <c r="A12" s="70" t="s">
        <v>57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</row>
    <row r="13" spans="1:17">
      <c r="A13" s="12" t="s">
        <v>249</v>
      </c>
      <c r="B13" s="11" t="s">
        <v>58</v>
      </c>
      <c r="C13" s="11" t="s">
        <v>59</v>
      </c>
      <c r="D13" s="11" t="s">
        <v>60</v>
      </c>
      <c r="E13" s="11" t="s">
        <v>1435</v>
      </c>
      <c r="F13" s="11" t="s">
        <v>61</v>
      </c>
      <c r="G13" s="24" t="s">
        <v>22</v>
      </c>
      <c r="H13" s="24" t="s">
        <v>23</v>
      </c>
      <c r="I13" s="25" t="s">
        <v>65</v>
      </c>
      <c r="J13" s="12"/>
      <c r="K13" s="24" t="s">
        <v>66</v>
      </c>
      <c r="L13" s="24" t="s">
        <v>62</v>
      </c>
      <c r="M13" s="25" t="s">
        <v>67</v>
      </c>
      <c r="N13" s="12"/>
      <c r="O13" s="12" t="str">
        <f>"380,0"</f>
        <v>380,0</v>
      </c>
      <c r="P13" s="12" t="str">
        <f>"336,6420"</f>
        <v>336,6420</v>
      </c>
      <c r="Q13" s="11" t="s">
        <v>527</v>
      </c>
    </row>
    <row r="14" spans="1:17">
      <c r="B14" s="5" t="s">
        <v>250</v>
      </c>
    </row>
    <row r="15" spans="1:17" ht="16">
      <c r="A15" s="70" t="s">
        <v>151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</row>
    <row r="16" spans="1:17">
      <c r="A16" s="8" t="s">
        <v>249</v>
      </c>
      <c r="B16" s="7" t="s">
        <v>188</v>
      </c>
      <c r="C16" s="7" t="s">
        <v>189</v>
      </c>
      <c r="D16" s="7" t="s">
        <v>153</v>
      </c>
      <c r="E16" s="7" t="s">
        <v>1435</v>
      </c>
      <c r="F16" s="7" t="s">
        <v>1262</v>
      </c>
      <c r="G16" s="21" t="s">
        <v>43</v>
      </c>
      <c r="H16" s="20" t="s">
        <v>84</v>
      </c>
      <c r="I16" s="20" t="s">
        <v>84</v>
      </c>
      <c r="J16" s="8"/>
      <c r="K16" s="21" t="s">
        <v>63</v>
      </c>
      <c r="L16" s="20" t="s">
        <v>64</v>
      </c>
      <c r="M16" s="21" t="s">
        <v>64</v>
      </c>
      <c r="N16" s="8"/>
      <c r="O16" s="8" t="str">
        <f>"465,0"</f>
        <v>465,0</v>
      </c>
      <c r="P16" s="8" t="str">
        <f>"283,3245"</f>
        <v>283,3245</v>
      </c>
      <c r="Q16" s="7"/>
    </row>
    <row r="17" spans="1:17">
      <c r="A17" s="14" t="s">
        <v>252</v>
      </c>
      <c r="B17" s="13" t="s">
        <v>976</v>
      </c>
      <c r="C17" s="13" t="s">
        <v>977</v>
      </c>
      <c r="D17" s="13" t="s">
        <v>978</v>
      </c>
      <c r="E17" s="13" t="s">
        <v>1435</v>
      </c>
      <c r="F17" s="13" t="s">
        <v>182</v>
      </c>
      <c r="G17" s="26" t="s">
        <v>51</v>
      </c>
      <c r="H17" s="26" t="s">
        <v>52</v>
      </c>
      <c r="I17" s="27" t="s">
        <v>464</v>
      </c>
      <c r="J17" s="14"/>
      <c r="K17" s="26" t="s">
        <v>66</v>
      </c>
      <c r="L17" s="26" t="s">
        <v>62</v>
      </c>
      <c r="M17" s="26" t="s">
        <v>109</v>
      </c>
      <c r="N17" s="14"/>
      <c r="O17" s="14" t="str">
        <f>"435,0"</f>
        <v>435,0</v>
      </c>
      <c r="P17" s="14" t="str">
        <f>"266,9160"</f>
        <v>266,9160</v>
      </c>
      <c r="Q17" s="13" t="s">
        <v>526</v>
      </c>
    </row>
    <row r="18" spans="1:17">
      <c r="A18" s="10" t="s">
        <v>249</v>
      </c>
      <c r="B18" s="9" t="s">
        <v>979</v>
      </c>
      <c r="C18" s="9" t="s">
        <v>1299</v>
      </c>
      <c r="D18" s="9" t="s">
        <v>980</v>
      </c>
      <c r="E18" s="9" t="s">
        <v>1443</v>
      </c>
      <c r="F18" s="9" t="s">
        <v>767</v>
      </c>
      <c r="G18" s="22" t="s">
        <v>293</v>
      </c>
      <c r="H18" s="22" t="s">
        <v>273</v>
      </c>
      <c r="I18" s="22" t="s">
        <v>42</v>
      </c>
      <c r="J18" s="23" t="s">
        <v>274</v>
      </c>
      <c r="K18" s="22" t="s">
        <v>49</v>
      </c>
      <c r="L18" s="22" t="s">
        <v>77</v>
      </c>
      <c r="M18" s="22" t="s">
        <v>51</v>
      </c>
      <c r="N18" s="22" t="s">
        <v>38</v>
      </c>
      <c r="O18" s="10" t="str">
        <f>"250,0"</f>
        <v>250,0</v>
      </c>
      <c r="P18" s="10" t="str">
        <f>"291,3690"</f>
        <v>291,3690</v>
      </c>
      <c r="Q18" s="9"/>
    </row>
    <row r="19" spans="1:17">
      <c r="B19" s="5" t="s">
        <v>250</v>
      </c>
    </row>
    <row r="20" spans="1:17" ht="16">
      <c r="A20" s="70" t="s">
        <v>192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</row>
    <row r="21" spans="1:17">
      <c r="A21" s="8" t="s">
        <v>249</v>
      </c>
      <c r="B21" s="7" t="s">
        <v>540</v>
      </c>
      <c r="C21" s="7" t="s">
        <v>136</v>
      </c>
      <c r="D21" s="7" t="s">
        <v>541</v>
      </c>
      <c r="E21" s="7" t="s">
        <v>1435</v>
      </c>
      <c r="F21" s="7" t="s">
        <v>542</v>
      </c>
      <c r="G21" s="21" t="s">
        <v>56</v>
      </c>
      <c r="H21" s="21" t="s">
        <v>85</v>
      </c>
      <c r="I21" s="20" t="s">
        <v>111</v>
      </c>
      <c r="J21" s="8"/>
      <c r="K21" s="21" t="s">
        <v>112</v>
      </c>
      <c r="L21" s="21" t="s">
        <v>504</v>
      </c>
      <c r="M21" s="21" t="s">
        <v>157</v>
      </c>
      <c r="N21" s="8"/>
      <c r="O21" s="8" t="str">
        <f>"550,0"</f>
        <v>550,0</v>
      </c>
      <c r="P21" s="8" t="str">
        <f>"329,6700"</f>
        <v>329,6700</v>
      </c>
      <c r="Q21" s="7"/>
    </row>
    <row r="22" spans="1:17">
      <c r="A22" s="14" t="s">
        <v>252</v>
      </c>
      <c r="B22" s="13" t="s">
        <v>208</v>
      </c>
      <c r="C22" s="13" t="s">
        <v>209</v>
      </c>
      <c r="D22" s="13" t="s">
        <v>210</v>
      </c>
      <c r="E22" s="13" t="s">
        <v>1435</v>
      </c>
      <c r="F22" s="13" t="s">
        <v>211</v>
      </c>
      <c r="G22" s="26" t="s">
        <v>56</v>
      </c>
      <c r="H22" s="27" t="s">
        <v>74</v>
      </c>
      <c r="I22" s="27" t="s">
        <v>74</v>
      </c>
      <c r="J22" s="14"/>
      <c r="K22" s="26" t="s">
        <v>67</v>
      </c>
      <c r="L22" s="26" t="s">
        <v>197</v>
      </c>
      <c r="M22" s="26" t="s">
        <v>64</v>
      </c>
      <c r="N22" s="14"/>
      <c r="O22" s="14" t="str">
        <f>"470,0"</f>
        <v>470,0</v>
      </c>
      <c r="P22" s="14" t="str">
        <f>"277,6290"</f>
        <v>277,6290</v>
      </c>
      <c r="Q22" s="13" t="s">
        <v>1399</v>
      </c>
    </row>
    <row r="23" spans="1:17">
      <c r="A23" s="10" t="s">
        <v>253</v>
      </c>
      <c r="B23" s="9" t="s">
        <v>543</v>
      </c>
      <c r="C23" s="9" t="s">
        <v>544</v>
      </c>
      <c r="D23" s="9" t="s">
        <v>545</v>
      </c>
      <c r="E23" s="9" t="s">
        <v>1435</v>
      </c>
      <c r="F23" s="9" t="s">
        <v>445</v>
      </c>
      <c r="G23" s="22" t="s">
        <v>51</v>
      </c>
      <c r="H23" s="22" t="s">
        <v>40</v>
      </c>
      <c r="I23" s="22" t="s">
        <v>43</v>
      </c>
      <c r="J23" s="10"/>
      <c r="K23" s="22" t="s">
        <v>98</v>
      </c>
      <c r="L23" s="22" t="s">
        <v>109</v>
      </c>
      <c r="M23" s="22" t="s">
        <v>110</v>
      </c>
      <c r="N23" s="10"/>
      <c r="O23" s="10" t="str">
        <f>"460,0"</f>
        <v>460,0</v>
      </c>
      <c r="P23" s="10" t="str">
        <f>"273,7000"</f>
        <v>273,7000</v>
      </c>
      <c r="Q23" s="9" t="s">
        <v>546</v>
      </c>
    </row>
    <row r="24" spans="1:17">
      <c r="B24" s="5" t="s">
        <v>250</v>
      </c>
    </row>
  </sheetData>
  <mergeCells count="17">
    <mergeCell ref="A8:N8"/>
    <mergeCell ref="A12:N12"/>
    <mergeCell ref="A15:N15"/>
    <mergeCell ref="A20:N20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Q7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8.6640625" style="5" bestFit="1" customWidth="1"/>
    <col min="3" max="3" width="26.33203125" style="5" bestFit="1" customWidth="1"/>
    <col min="4" max="4" width="15.5" style="5" bestFit="1" customWidth="1"/>
    <col min="5" max="5" width="10.1640625" style="5" customWidth="1"/>
    <col min="6" max="6" width="29.1640625" style="5" bestFit="1" customWidth="1"/>
    <col min="7" max="9" width="5.5" style="6" customWidth="1"/>
    <col min="10" max="10" width="4.83203125" style="6" customWidth="1"/>
    <col min="11" max="14" width="5.5" style="6" customWidth="1"/>
    <col min="15" max="15" width="7.83203125" style="32" bestFit="1" customWidth="1"/>
    <col min="16" max="16" width="10.1640625" style="6" customWidth="1"/>
    <col min="17" max="17" width="18.6640625" style="5" customWidth="1"/>
    <col min="18" max="16384" width="9.1640625" style="3"/>
  </cols>
  <sheetData>
    <row r="1" spans="1:17" s="2" customFormat="1" ht="29" customHeight="1">
      <c r="A1" s="57" t="s">
        <v>1375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1:17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4"/>
    </row>
    <row r="3" spans="1:17" s="1" customFormat="1" ht="12.75" customHeight="1">
      <c r="A3" s="65" t="s">
        <v>1430</v>
      </c>
      <c r="B3" s="77" t="s">
        <v>0</v>
      </c>
      <c r="C3" s="67" t="s">
        <v>1432</v>
      </c>
      <c r="D3" s="67" t="s">
        <v>8</v>
      </c>
      <c r="E3" s="69" t="s">
        <v>1433</v>
      </c>
      <c r="F3" s="69" t="s">
        <v>5</v>
      </c>
      <c r="G3" s="69" t="s">
        <v>10</v>
      </c>
      <c r="H3" s="69"/>
      <c r="I3" s="69"/>
      <c r="J3" s="69"/>
      <c r="K3" s="69" t="s">
        <v>11</v>
      </c>
      <c r="L3" s="69"/>
      <c r="M3" s="69"/>
      <c r="N3" s="69"/>
      <c r="O3" s="71" t="s">
        <v>1</v>
      </c>
      <c r="P3" s="69" t="s">
        <v>3</v>
      </c>
      <c r="Q3" s="73" t="s">
        <v>2</v>
      </c>
    </row>
    <row r="4" spans="1:17" s="1" customFormat="1" ht="21" customHeight="1" thickBot="1">
      <c r="A4" s="66"/>
      <c r="B4" s="78"/>
      <c r="C4" s="68"/>
      <c r="D4" s="68"/>
      <c r="E4" s="68"/>
      <c r="F4" s="6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72"/>
      <c r="P4" s="68"/>
      <c r="Q4" s="74"/>
    </row>
    <row r="5" spans="1:17" ht="16">
      <c r="A5" s="75" t="s">
        <v>68</v>
      </c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7">
      <c r="A6" s="12" t="s">
        <v>251</v>
      </c>
      <c r="B6" s="11" t="s">
        <v>1012</v>
      </c>
      <c r="C6" s="11" t="s">
        <v>1013</v>
      </c>
      <c r="D6" s="11" t="s">
        <v>1014</v>
      </c>
      <c r="E6" s="11" t="s">
        <v>1435</v>
      </c>
      <c r="F6" s="11" t="s">
        <v>1015</v>
      </c>
      <c r="G6" s="25" t="s">
        <v>65</v>
      </c>
      <c r="H6" s="25" t="s">
        <v>65</v>
      </c>
      <c r="I6" s="25" t="s">
        <v>65</v>
      </c>
      <c r="J6" s="12"/>
      <c r="K6" s="12"/>
      <c r="L6" s="12"/>
      <c r="M6" s="12"/>
      <c r="N6" s="12"/>
      <c r="O6" s="36">
        <v>0</v>
      </c>
      <c r="P6" s="12" t="str">
        <f>"0,0000"</f>
        <v>0,0000</v>
      </c>
      <c r="Q6" s="11" t="s">
        <v>1016</v>
      </c>
    </row>
    <row r="7" spans="1:17">
      <c r="B7" s="5" t="s">
        <v>250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14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332031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0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83203125" style="5" customWidth="1"/>
    <col min="14" max="16384" width="9.1640625" style="3"/>
  </cols>
  <sheetData>
    <row r="1" spans="1:13" s="2" customFormat="1" ht="29" customHeight="1">
      <c r="A1" s="57" t="s">
        <v>1378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1430</v>
      </c>
      <c r="B3" s="77" t="s">
        <v>0</v>
      </c>
      <c r="C3" s="67" t="s">
        <v>1432</v>
      </c>
      <c r="D3" s="67" t="s">
        <v>8</v>
      </c>
      <c r="E3" s="69" t="s">
        <v>1433</v>
      </c>
      <c r="F3" s="69" t="s">
        <v>5</v>
      </c>
      <c r="G3" s="69" t="s">
        <v>9</v>
      </c>
      <c r="H3" s="69"/>
      <c r="I3" s="69"/>
      <c r="J3" s="69"/>
      <c r="K3" s="69" t="s">
        <v>692</v>
      </c>
      <c r="L3" s="69" t="s">
        <v>3</v>
      </c>
      <c r="M3" s="73" t="s">
        <v>2</v>
      </c>
    </row>
    <row r="4" spans="1:13" s="1" customFormat="1" ht="21" customHeight="1" thickBot="1">
      <c r="A4" s="66"/>
      <c r="B4" s="78"/>
      <c r="C4" s="68"/>
      <c r="D4" s="68"/>
      <c r="E4" s="68"/>
      <c r="F4" s="68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74"/>
    </row>
    <row r="5" spans="1:13" ht="16">
      <c r="A5" s="75" t="s">
        <v>259</v>
      </c>
      <c r="B5" s="75"/>
      <c r="C5" s="76"/>
      <c r="D5" s="76"/>
      <c r="E5" s="76"/>
      <c r="F5" s="76"/>
      <c r="G5" s="76"/>
      <c r="H5" s="76"/>
      <c r="I5" s="76"/>
      <c r="J5" s="76"/>
    </row>
    <row r="6" spans="1:13">
      <c r="A6" s="12" t="s">
        <v>249</v>
      </c>
      <c r="B6" s="11" t="s">
        <v>260</v>
      </c>
      <c r="C6" s="11" t="s">
        <v>261</v>
      </c>
      <c r="D6" s="11" t="s">
        <v>262</v>
      </c>
      <c r="E6" s="11" t="s">
        <v>1435</v>
      </c>
      <c r="F6" s="11" t="s">
        <v>263</v>
      </c>
      <c r="G6" s="25" t="s">
        <v>264</v>
      </c>
      <c r="H6" s="24" t="s">
        <v>264</v>
      </c>
      <c r="I6" s="24" t="s">
        <v>265</v>
      </c>
      <c r="J6" s="12"/>
      <c r="K6" s="12" t="str">
        <f>"117,5"</f>
        <v>117,5</v>
      </c>
      <c r="L6" s="12" t="str">
        <f>"157,2973"</f>
        <v>157,2973</v>
      </c>
      <c r="M6" s="11" t="s">
        <v>269</v>
      </c>
    </row>
    <row r="7" spans="1:13">
      <c r="B7" s="5" t="s">
        <v>250</v>
      </c>
    </row>
    <row r="8" spans="1:13" ht="16">
      <c r="A8" s="70" t="s">
        <v>311</v>
      </c>
      <c r="B8" s="70"/>
      <c r="C8" s="70"/>
      <c r="D8" s="70"/>
      <c r="E8" s="70"/>
      <c r="F8" s="70"/>
      <c r="G8" s="70"/>
      <c r="H8" s="70"/>
      <c r="I8" s="70"/>
      <c r="J8" s="70"/>
    </row>
    <row r="9" spans="1:13">
      <c r="A9" s="12" t="s">
        <v>249</v>
      </c>
      <c r="B9" s="11" t="s">
        <v>312</v>
      </c>
      <c r="C9" s="11" t="s">
        <v>313</v>
      </c>
      <c r="D9" s="11" t="s">
        <v>314</v>
      </c>
      <c r="E9" s="11" t="s">
        <v>1435</v>
      </c>
      <c r="F9" s="11" t="s">
        <v>282</v>
      </c>
      <c r="G9" s="24" t="s">
        <v>42</v>
      </c>
      <c r="H9" s="25" t="s">
        <v>187</v>
      </c>
      <c r="I9" s="25" t="s">
        <v>187</v>
      </c>
      <c r="J9" s="12"/>
      <c r="K9" s="12" t="str">
        <f>"90,0"</f>
        <v>90,0</v>
      </c>
      <c r="L9" s="12" t="str">
        <f>"106,7940"</f>
        <v>106,7940</v>
      </c>
      <c r="M9" s="11" t="s">
        <v>288</v>
      </c>
    </row>
    <row r="10" spans="1:13">
      <c r="B10" s="5" t="s">
        <v>250</v>
      </c>
    </row>
    <row r="11" spans="1:13" ht="16">
      <c r="A11" s="70" t="s">
        <v>192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3">
      <c r="A12" s="8" t="s">
        <v>249</v>
      </c>
      <c r="B12" s="7" t="s">
        <v>487</v>
      </c>
      <c r="C12" s="7" t="s">
        <v>488</v>
      </c>
      <c r="D12" s="7" t="s">
        <v>489</v>
      </c>
      <c r="E12" s="7" t="s">
        <v>1435</v>
      </c>
      <c r="F12" s="7" t="s">
        <v>1262</v>
      </c>
      <c r="G12" s="21" t="s">
        <v>75</v>
      </c>
      <c r="H12" s="20" t="s">
        <v>77</v>
      </c>
      <c r="I12" s="21" t="s">
        <v>51</v>
      </c>
      <c r="J12" s="8"/>
      <c r="K12" s="8" t="str">
        <f>"160,0"</f>
        <v>160,0</v>
      </c>
      <c r="L12" s="8" t="str">
        <f>"96,8000"</f>
        <v>96,8000</v>
      </c>
      <c r="M12" s="7" t="s">
        <v>359</v>
      </c>
    </row>
    <row r="13" spans="1:13">
      <c r="A13" s="10" t="s">
        <v>249</v>
      </c>
      <c r="B13" s="9" t="s">
        <v>492</v>
      </c>
      <c r="C13" s="9" t="s">
        <v>1285</v>
      </c>
      <c r="D13" s="9" t="s">
        <v>493</v>
      </c>
      <c r="E13" s="9" t="s">
        <v>1438</v>
      </c>
      <c r="F13" s="9" t="s">
        <v>494</v>
      </c>
      <c r="G13" s="22" t="s">
        <v>85</v>
      </c>
      <c r="H13" s="22" t="s">
        <v>79</v>
      </c>
      <c r="I13" s="22" t="s">
        <v>119</v>
      </c>
      <c r="J13" s="10"/>
      <c r="K13" s="10" t="str">
        <f>"220,0"</f>
        <v>220,0</v>
      </c>
      <c r="L13" s="10" t="str">
        <f>"143,3700"</f>
        <v>143,3700</v>
      </c>
      <c r="M13" s="9" t="s">
        <v>1403</v>
      </c>
    </row>
    <row r="14" spans="1:13">
      <c r="B14" s="5" t="s">
        <v>250</v>
      </c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7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8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1.6640625" style="5" bestFit="1" customWidth="1"/>
    <col min="7" max="10" width="5.5" style="6" customWidth="1"/>
    <col min="11" max="11" width="10.5" style="6" bestFit="1" customWidth="1"/>
    <col min="12" max="12" width="8.5" style="6" bestFit="1" customWidth="1"/>
    <col min="13" max="13" width="18.5" style="5" customWidth="1"/>
    <col min="14" max="16384" width="9.1640625" style="3"/>
  </cols>
  <sheetData>
    <row r="1" spans="1:13" s="2" customFormat="1" ht="29" customHeight="1">
      <c r="A1" s="57" t="s">
        <v>1379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" customHeight="1" thickBot="1">
      <c r="A2" s="61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s="1" customFormat="1" ht="12.75" customHeight="1">
      <c r="A3" s="65" t="s">
        <v>1430</v>
      </c>
      <c r="B3" s="77" t="s">
        <v>0</v>
      </c>
      <c r="C3" s="67" t="s">
        <v>1432</v>
      </c>
      <c r="D3" s="67" t="s">
        <v>8</v>
      </c>
      <c r="E3" s="69" t="s">
        <v>1433</v>
      </c>
      <c r="F3" s="69" t="s">
        <v>5</v>
      </c>
      <c r="G3" s="69" t="s">
        <v>9</v>
      </c>
      <c r="H3" s="69"/>
      <c r="I3" s="69"/>
      <c r="J3" s="69"/>
      <c r="K3" s="69" t="s">
        <v>692</v>
      </c>
      <c r="L3" s="69" t="s">
        <v>3</v>
      </c>
      <c r="M3" s="73" t="s">
        <v>2</v>
      </c>
    </row>
    <row r="4" spans="1:13" s="1" customFormat="1" ht="21" customHeight="1" thickBot="1">
      <c r="A4" s="66"/>
      <c r="B4" s="78"/>
      <c r="C4" s="68"/>
      <c r="D4" s="68"/>
      <c r="E4" s="68"/>
      <c r="F4" s="68"/>
      <c r="G4" s="4">
        <v>1</v>
      </c>
      <c r="H4" s="4">
        <v>2</v>
      </c>
      <c r="I4" s="4">
        <v>3</v>
      </c>
      <c r="J4" s="4" t="s">
        <v>4</v>
      </c>
      <c r="K4" s="68"/>
      <c r="L4" s="68"/>
      <c r="M4" s="74"/>
    </row>
    <row r="5" spans="1:13" ht="16">
      <c r="A5" s="75" t="s">
        <v>57</v>
      </c>
      <c r="B5" s="75"/>
      <c r="C5" s="76"/>
      <c r="D5" s="76"/>
      <c r="E5" s="76"/>
      <c r="F5" s="76"/>
      <c r="G5" s="76"/>
      <c r="H5" s="76"/>
      <c r="I5" s="76"/>
      <c r="J5" s="76"/>
    </row>
    <row r="6" spans="1:13">
      <c r="A6" s="12" t="s">
        <v>249</v>
      </c>
      <c r="B6" s="11" t="s">
        <v>58</v>
      </c>
      <c r="C6" s="11" t="s">
        <v>59</v>
      </c>
      <c r="D6" s="11" t="s">
        <v>60</v>
      </c>
      <c r="E6" s="11" t="s">
        <v>1435</v>
      </c>
      <c r="F6" s="11" t="s">
        <v>61</v>
      </c>
      <c r="G6" s="25" t="s">
        <v>62</v>
      </c>
      <c r="H6" s="24" t="s">
        <v>62</v>
      </c>
      <c r="I6" s="24" t="s">
        <v>63</v>
      </c>
      <c r="J6" s="25" t="s">
        <v>64</v>
      </c>
      <c r="K6" s="12" t="str">
        <f>"270,0"</f>
        <v>270,0</v>
      </c>
      <c r="L6" s="12" t="str">
        <f>"239,1930"</f>
        <v>239,1930</v>
      </c>
      <c r="M6" s="11" t="s">
        <v>527</v>
      </c>
    </row>
    <row r="7" spans="1:13">
      <c r="B7" s="5" t="s">
        <v>250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33</vt:i4>
      </vt:variant>
    </vt:vector>
  </HeadingPairs>
  <TitlesOfParts>
    <vt:vector size="33" baseType="lpstr">
      <vt:lpstr>IPL ПЛ без экипировки ДК</vt:lpstr>
      <vt:lpstr>IPL ПЛ без экипировки</vt:lpstr>
      <vt:lpstr>IPL ПЛ в бинтах ДК</vt:lpstr>
      <vt:lpstr>IPL ПЛ в бинтах</vt:lpstr>
      <vt:lpstr>IPL Двоеборье без экип ДК</vt:lpstr>
      <vt:lpstr>IPL Двоеборье без экип</vt:lpstr>
      <vt:lpstr>IPL Двоеборье экип ДК</vt:lpstr>
      <vt:lpstr>IPL Присед без экипировки ДК</vt:lpstr>
      <vt:lpstr>IPL Присед без экипировки</vt:lpstr>
      <vt:lpstr>IPL Присед в бинтах ДК</vt:lpstr>
      <vt:lpstr>IPL Присед в бинтах</vt:lpstr>
      <vt:lpstr>IPL Жим без экипировки ДК</vt:lpstr>
      <vt:lpstr>IPL Жим без экипировки</vt:lpstr>
      <vt:lpstr>IPL Жим однослой ДК</vt:lpstr>
      <vt:lpstr>IPL Жим однослой</vt:lpstr>
      <vt:lpstr>IPL Жим многослой</vt:lpstr>
      <vt:lpstr>СПР Жим софт однопетельная ДК</vt:lpstr>
      <vt:lpstr>СПР Жим софт однопетельная</vt:lpstr>
      <vt:lpstr>СПР Жим софт многопетельная ДК</vt:lpstr>
      <vt:lpstr>СПР Жим софт многопетельная</vt:lpstr>
      <vt:lpstr>СПР Жим СФО</vt:lpstr>
      <vt:lpstr>IPL Тяга без экипировки ДК</vt:lpstr>
      <vt:lpstr>IPL Тяга без экипировки</vt:lpstr>
      <vt:lpstr>СПР Пауэрспорт ДК</vt:lpstr>
      <vt:lpstr>СПР Пауэрспорт</vt:lpstr>
      <vt:lpstr>СПР Подъем на бицепс ДК</vt:lpstr>
      <vt:lpstr>СПР Подъем на бицепс</vt:lpstr>
      <vt:lpstr>ФЖД ЖД Софт однослой</vt:lpstr>
      <vt:lpstr>ФЖД Любители ДК жим на макс.</vt:lpstr>
      <vt:lpstr>ФЖД Любители жим на макс.</vt:lpstr>
      <vt:lpstr>ФЖД Софт однослой жим макс ДК</vt:lpstr>
      <vt:lpstr>ФЖД Софт многослой жим макс ДК</vt:lpstr>
      <vt:lpstr>ФЖД Армейский жим на макс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2021-06-22T13:11:46Z</dcterms:modified>
</cp:coreProperties>
</file>