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0BF48B4B-17BF-F94C-AE6D-6FE8DB2EC307}" xr6:coauthVersionLast="45" xr6:coauthVersionMax="45" xr10:uidLastSave="{00000000-0000-0000-0000-000000000000}"/>
  <bookViews>
    <workbookView xWindow="600" yWindow="460" windowWidth="28200" windowHeight="16140" tabRatio="952" firstSheet="22" activeTab="23" xr2:uid="{00000000-000D-0000-FFFF-FFFF00000000}"/>
  </bookViews>
  <sheets>
    <sheet name="IPL ПЛ без экипировки ДК" sheetId="8" r:id="rId1"/>
    <sheet name="IPL ПЛ без экипировки" sheetId="7" r:id="rId2"/>
    <sheet name="IPL ПЛ в бинтах ДК" sheetId="10" r:id="rId3"/>
    <sheet name="IPL ПЛ в бинтах" sheetId="9" r:id="rId4"/>
    <sheet name="IPL Двоеборье без экип ДК" sheetId="24" r:id="rId5"/>
    <sheet name="IPL Двоеборье без экип" sheetId="23" r:id="rId6"/>
    <sheet name="IPL Присед без экипировки ДК" sheetId="20" r:id="rId7"/>
    <sheet name="IPL Присед в бинтах" sheetId="21" r:id="rId8"/>
    <sheet name="IPL Жим без экипировки ДК" sheetId="12" r:id="rId9"/>
    <sheet name="IPL Жим без экипировки" sheetId="11" r:id="rId10"/>
    <sheet name="IPL Жим однослой ДК" sheetId="14" r:id="rId11"/>
    <sheet name="IPL Жим однослой" sheetId="13" r:id="rId12"/>
    <sheet name="СПР Жим софт однопетельная ДК" sheetId="26" r:id="rId13"/>
    <sheet name="СПР Жим софт однопетельная" sheetId="25" r:id="rId14"/>
    <sheet name="СПР Жим софт многопетельная ДК" sheetId="28" r:id="rId15"/>
    <sheet name="СПР Жим софт многопетельная" sheetId="27" r:id="rId16"/>
    <sheet name="СПР Жим СФО" sheetId="70" r:id="rId17"/>
    <sheet name="IPL Тяга без экипировки ДК" sheetId="16" r:id="rId18"/>
    <sheet name="IPL Тяга без экипировки" sheetId="15" r:id="rId19"/>
    <sheet name="СПР Пауэрспорт ДК" sheetId="41" r:id="rId20"/>
    <sheet name="СПР Пауэрспорт" sheetId="40" r:id="rId21"/>
    <sheet name="СПР Жим стоя ДК" sheetId="37" r:id="rId22"/>
    <sheet name="СПР Подъем на бицепс ДК" sheetId="39" r:id="rId23"/>
    <sheet name="СПР Подъем на бицепс" sheetId="38" r:id="rId2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70" l="1"/>
  <c r="K6" i="70"/>
  <c r="P20" i="41"/>
  <c r="O20" i="41"/>
  <c r="P19" i="41"/>
  <c r="O19" i="41"/>
  <c r="P16" i="41"/>
  <c r="O16" i="41"/>
  <c r="P15" i="41"/>
  <c r="O15" i="41"/>
  <c r="P12" i="41"/>
  <c r="O12" i="41"/>
  <c r="P11" i="41"/>
  <c r="O11" i="41"/>
  <c r="P10" i="41"/>
  <c r="O10" i="41"/>
  <c r="P7" i="41"/>
  <c r="P6" i="41"/>
  <c r="O6" i="41"/>
  <c r="P6" i="40"/>
  <c r="O6" i="40"/>
  <c r="L32" i="39"/>
  <c r="K32" i="39"/>
  <c r="L31" i="39"/>
  <c r="K31" i="39"/>
  <c r="L30" i="39"/>
  <c r="K30" i="39"/>
  <c r="L27" i="39"/>
  <c r="K27" i="39"/>
  <c r="L26" i="39"/>
  <c r="K26" i="39"/>
  <c r="L25" i="39"/>
  <c r="K25" i="39"/>
  <c r="L24" i="39"/>
  <c r="K24" i="39"/>
  <c r="L21" i="39"/>
  <c r="K21" i="39"/>
  <c r="L20" i="39"/>
  <c r="K20" i="39"/>
  <c r="L19" i="39"/>
  <c r="K19" i="39"/>
  <c r="L18" i="39"/>
  <c r="K18" i="39"/>
  <c r="L17" i="39"/>
  <c r="K17" i="39"/>
  <c r="L14" i="39"/>
  <c r="K14" i="39"/>
  <c r="L13" i="39"/>
  <c r="K13" i="39"/>
  <c r="L12" i="39"/>
  <c r="K12" i="39"/>
  <c r="L9" i="39"/>
  <c r="K9" i="39"/>
  <c r="L6" i="39"/>
  <c r="K6" i="39"/>
  <c r="L9" i="38"/>
  <c r="K9" i="38"/>
  <c r="L6" i="38"/>
  <c r="K6" i="38"/>
  <c r="L9" i="37"/>
  <c r="K9" i="37"/>
  <c r="L6" i="37"/>
  <c r="K6" i="37"/>
  <c r="L6" i="28"/>
  <c r="K6" i="28"/>
  <c r="L15" i="27"/>
  <c r="K15" i="27"/>
  <c r="L12" i="27"/>
  <c r="K12" i="27"/>
  <c r="L9" i="27"/>
  <c r="K9" i="27"/>
  <c r="L6" i="27"/>
  <c r="K6" i="27"/>
  <c r="L18" i="26"/>
  <c r="K18" i="26"/>
  <c r="L17" i="26"/>
  <c r="K17" i="26"/>
  <c r="L14" i="26"/>
  <c r="K14" i="26"/>
  <c r="L13" i="26"/>
  <c r="K13" i="26"/>
  <c r="L10" i="26"/>
  <c r="K10" i="26"/>
  <c r="L9" i="26"/>
  <c r="K9" i="26"/>
  <c r="L6" i="26"/>
  <c r="K6" i="26"/>
  <c r="L10" i="25"/>
  <c r="K10" i="25"/>
  <c r="L7" i="25"/>
  <c r="K7" i="25"/>
  <c r="L6" i="25"/>
  <c r="K6" i="25"/>
  <c r="P30" i="24"/>
  <c r="P29" i="24"/>
  <c r="O29" i="24"/>
  <c r="P26" i="24"/>
  <c r="O26" i="24"/>
  <c r="P25" i="24"/>
  <c r="O25" i="24"/>
  <c r="P22" i="24"/>
  <c r="O22" i="24"/>
  <c r="P21" i="24"/>
  <c r="O21" i="24"/>
  <c r="P18" i="24"/>
  <c r="O18" i="24"/>
  <c r="P15" i="24"/>
  <c r="O15" i="24"/>
  <c r="P12" i="24"/>
  <c r="O12" i="24"/>
  <c r="P9" i="24"/>
  <c r="P6" i="24"/>
  <c r="O6" i="24"/>
  <c r="P12" i="23"/>
  <c r="O12" i="23"/>
  <c r="P9" i="23"/>
  <c r="O9" i="23"/>
  <c r="P6" i="23"/>
  <c r="L6" i="21"/>
  <c r="K6" i="21"/>
  <c r="L16" i="20"/>
  <c r="K16" i="20"/>
  <c r="L15" i="20"/>
  <c r="K15" i="20"/>
  <c r="L12" i="20"/>
  <c r="K12" i="20"/>
  <c r="L9" i="20"/>
  <c r="K9" i="20"/>
  <c r="L6" i="20"/>
  <c r="K6" i="20"/>
  <c r="L79" i="16"/>
  <c r="K79" i="16"/>
  <c r="L78" i="16"/>
  <c r="K78" i="16"/>
  <c r="L75" i="16"/>
  <c r="K75" i="16"/>
  <c r="L74" i="16"/>
  <c r="K74" i="16"/>
  <c r="L73" i="16"/>
  <c r="K73" i="16"/>
  <c r="L72" i="16"/>
  <c r="K72" i="16"/>
  <c r="L69" i="16"/>
  <c r="K69" i="16"/>
  <c r="L68" i="16"/>
  <c r="K68" i="16"/>
  <c r="L67" i="16"/>
  <c r="K67" i="16"/>
  <c r="L66" i="16"/>
  <c r="K66" i="16"/>
  <c r="L63" i="16"/>
  <c r="K63" i="16"/>
  <c r="L62" i="16"/>
  <c r="K62" i="16"/>
  <c r="L61" i="16"/>
  <c r="K61" i="16"/>
  <c r="L60" i="16"/>
  <c r="K60" i="16"/>
  <c r="L59" i="16"/>
  <c r="K59" i="16"/>
  <c r="L56" i="16"/>
  <c r="K56" i="16"/>
  <c r="L55" i="16"/>
  <c r="K55" i="16"/>
  <c r="L54" i="16"/>
  <c r="K54" i="16"/>
  <c r="L51" i="16"/>
  <c r="K51" i="16"/>
  <c r="L50" i="16"/>
  <c r="K50" i="16"/>
  <c r="L49" i="16"/>
  <c r="K49" i="16"/>
  <c r="L48" i="16"/>
  <c r="K48" i="16"/>
  <c r="L47" i="16"/>
  <c r="K47" i="16"/>
  <c r="L46" i="16"/>
  <c r="K46" i="16"/>
  <c r="L43" i="16"/>
  <c r="K43" i="16"/>
  <c r="L42" i="16"/>
  <c r="K42" i="16"/>
  <c r="L41" i="16"/>
  <c r="K41" i="16"/>
  <c r="L38" i="16"/>
  <c r="K38" i="16"/>
  <c r="L35" i="16"/>
  <c r="K35" i="16"/>
  <c r="L32" i="16"/>
  <c r="K32" i="16"/>
  <c r="L29" i="16"/>
  <c r="K29" i="16"/>
  <c r="L28" i="16"/>
  <c r="K28" i="16"/>
  <c r="L27" i="16"/>
  <c r="K27" i="16"/>
  <c r="L24" i="16"/>
  <c r="K24" i="16"/>
  <c r="L23" i="16"/>
  <c r="K23" i="16"/>
  <c r="L22" i="16"/>
  <c r="K22" i="16"/>
  <c r="L21" i="16"/>
  <c r="K21" i="16"/>
  <c r="L18" i="16"/>
  <c r="K18" i="16"/>
  <c r="L17" i="16"/>
  <c r="K17" i="16"/>
  <c r="L14" i="16"/>
  <c r="K14" i="16"/>
  <c r="L13" i="16"/>
  <c r="K13" i="16"/>
  <c r="L10" i="16"/>
  <c r="K10" i="16"/>
  <c r="L9" i="16"/>
  <c r="K9" i="16"/>
  <c r="L6" i="16"/>
  <c r="K6" i="16"/>
  <c r="L35" i="15"/>
  <c r="L34" i="15"/>
  <c r="K34" i="15"/>
  <c r="L31" i="15"/>
  <c r="K31" i="15"/>
  <c r="L28" i="15"/>
  <c r="K28" i="15"/>
  <c r="L27" i="15"/>
  <c r="K27" i="15"/>
  <c r="L24" i="15"/>
  <c r="L21" i="15"/>
  <c r="L20" i="15"/>
  <c r="K20" i="15"/>
  <c r="L19" i="15"/>
  <c r="K19" i="15"/>
  <c r="L16" i="15"/>
  <c r="K16" i="15"/>
  <c r="L13" i="15"/>
  <c r="K13" i="15"/>
  <c r="L12" i="15"/>
  <c r="K12" i="15"/>
  <c r="L9" i="15"/>
  <c r="K9" i="15"/>
  <c r="L6" i="15"/>
  <c r="K6" i="15"/>
  <c r="L9" i="14"/>
  <c r="L6" i="14"/>
  <c r="K6" i="14"/>
  <c r="L9" i="13"/>
  <c r="K9" i="13"/>
  <c r="L6" i="13"/>
  <c r="K6" i="13"/>
  <c r="L110" i="12"/>
  <c r="K110" i="12"/>
  <c r="L109" i="12"/>
  <c r="K109" i="12"/>
  <c r="L108" i="12"/>
  <c r="K108" i="12"/>
  <c r="L107" i="12"/>
  <c r="K107" i="12"/>
  <c r="L106" i="12"/>
  <c r="K106" i="12"/>
  <c r="L103" i="12"/>
  <c r="K103" i="12"/>
  <c r="L102" i="12"/>
  <c r="K102" i="12"/>
  <c r="L101" i="12"/>
  <c r="K101" i="12"/>
  <c r="L100" i="12"/>
  <c r="K100" i="12"/>
  <c r="L99" i="12"/>
  <c r="K99" i="12"/>
  <c r="L96" i="12"/>
  <c r="K96" i="12"/>
  <c r="L95" i="12"/>
  <c r="L94" i="12"/>
  <c r="K94" i="12"/>
  <c r="L93" i="12"/>
  <c r="K93" i="12"/>
  <c r="L92" i="12"/>
  <c r="K92" i="12"/>
  <c r="L91" i="12"/>
  <c r="K91" i="12"/>
  <c r="L90" i="12"/>
  <c r="K90" i="12"/>
  <c r="L89" i="12"/>
  <c r="K89" i="12"/>
  <c r="L88" i="12"/>
  <c r="K88" i="12"/>
  <c r="L85" i="12"/>
  <c r="K85" i="12"/>
  <c r="L84" i="12"/>
  <c r="K84" i="12"/>
  <c r="L83" i="12"/>
  <c r="K83" i="12"/>
  <c r="L82" i="12"/>
  <c r="K82" i="12"/>
  <c r="L81" i="12"/>
  <c r="K81" i="12"/>
  <c r="L80" i="12"/>
  <c r="K80" i="12"/>
  <c r="L79" i="12"/>
  <c r="K79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4" i="12"/>
  <c r="L63" i="12"/>
  <c r="K63" i="12"/>
  <c r="L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5" i="12"/>
  <c r="K55" i="12"/>
  <c r="L54" i="12"/>
  <c r="K54" i="12"/>
  <c r="L51" i="12"/>
  <c r="L50" i="12"/>
  <c r="K50" i="12"/>
  <c r="L49" i="12"/>
  <c r="K49" i="12"/>
  <c r="L46" i="12"/>
  <c r="K46" i="12"/>
  <c r="L45" i="12"/>
  <c r="K45" i="12"/>
  <c r="L42" i="12"/>
  <c r="K42" i="12"/>
  <c r="L41" i="12"/>
  <c r="K41" i="12"/>
  <c r="L38" i="12"/>
  <c r="K38" i="12"/>
  <c r="L35" i="12"/>
  <c r="K35" i="12"/>
  <c r="L34" i="12"/>
  <c r="K34" i="12"/>
  <c r="L31" i="12"/>
  <c r="K31" i="12"/>
  <c r="L30" i="12"/>
  <c r="K30" i="12"/>
  <c r="L29" i="12"/>
  <c r="K29" i="12"/>
  <c r="L28" i="12"/>
  <c r="K28" i="12"/>
  <c r="L27" i="12"/>
  <c r="K27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5" i="12"/>
  <c r="K15" i="12"/>
  <c r="L12" i="12"/>
  <c r="K12" i="12"/>
  <c r="L11" i="12"/>
  <c r="K11" i="12"/>
  <c r="L10" i="12"/>
  <c r="K10" i="12"/>
  <c r="L9" i="12"/>
  <c r="K9" i="12"/>
  <c r="L6" i="12"/>
  <c r="K6" i="12"/>
  <c r="L56" i="11"/>
  <c r="L53" i="11"/>
  <c r="K53" i="11"/>
  <c r="L52" i="11"/>
  <c r="K52" i="11"/>
  <c r="L51" i="11"/>
  <c r="K51" i="11"/>
  <c r="L48" i="11"/>
  <c r="K48" i="11"/>
  <c r="L47" i="11"/>
  <c r="K47" i="11"/>
  <c r="L46" i="11"/>
  <c r="K46" i="11"/>
  <c r="L45" i="11"/>
  <c r="K45" i="11"/>
  <c r="L42" i="11"/>
  <c r="K42" i="11"/>
  <c r="L41" i="11"/>
  <c r="K41" i="11"/>
  <c r="L40" i="11"/>
  <c r="K40" i="11"/>
  <c r="L39" i="11"/>
  <c r="L38" i="11"/>
  <c r="L37" i="11"/>
  <c r="K37" i="11"/>
  <c r="L36" i="11"/>
  <c r="K36" i="11"/>
  <c r="L35" i="11"/>
  <c r="K35" i="11"/>
  <c r="L34" i="11"/>
  <c r="K34" i="11"/>
  <c r="L33" i="11"/>
  <c r="K33" i="11"/>
  <c r="L32" i="11"/>
  <c r="K32" i="11"/>
  <c r="L29" i="11"/>
  <c r="K29" i="11"/>
  <c r="L28" i="11"/>
  <c r="L27" i="11"/>
  <c r="K27" i="11"/>
  <c r="L26" i="11"/>
  <c r="K26" i="11"/>
  <c r="L23" i="11"/>
  <c r="K23" i="11"/>
  <c r="L22" i="11"/>
  <c r="K22" i="11"/>
  <c r="L21" i="11"/>
  <c r="K21" i="11"/>
  <c r="L20" i="11"/>
  <c r="K20" i="11"/>
  <c r="L17" i="11"/>
  <c r="K17" i="11"/>
  <c r="L16" i="11"/>
  <c r="K16" i="11"/>
  <c r="L13" i="11"/>
  <c r="K13" i="11"/>
  <c r="L10" i="11"/>
  <c r="K10" i="11"/>
  <c r="L7" i="11"/>
  <c r="K7" i="11"/>
  <c r="L6" i="11"/>
  <c r="K6" i="11"/>
  <c r="T29" i="10"/>
  <c r="S29" i="10"/>
  <c r="T26" i="10"/>
  <c r="S26" i="10"/>
  <c r="T23" i="10"/>
  <c r="S23" i="10"/>
  <c r="T20" i="10"/>
  <c r="S20" i="10"/>
  <c r="T19" i="10"/>
  <c r="S19" i="10"/>
  <c r="T16" i="10"/>
  <c r="S16" i="10"/>
  <c r="T15" i="10"/>
  <c r="S15" i="10"/>
  <c r="T14" i="10"/>
  <c r="S14" i="10"/>
  <c r="T13" i="10"/>
  <c r="S13" i="10"/>
  <c r="T10" i="10"/>
  <c r="S10" i="10"/>
  <c r="T7" i="10"/>
  <c r="T6" i="10"/>
  <c r="S6" i="10"/>
  <c r="T15" i="9"/>
  <c r="S15" i="9"/>
  <c r="T14" i="9"/>
  <c r="S14" i="9"/>
  <c r="T11" i="9"/>
  <c r="T10" i="9"/>
  <c r="T7" i="9"/>
  <c r="T6" i="9"/>
  <c r="T101" i="8"/>
  <c r="T100" i="8"/>
  <c r="S100" i="8"/>
  <c r="T97" i="8"/>
  <c r="S97" i="8"/>
  <c r="T96" i="8"/>
  <c r="S96" i="8"/>
  <c r="T95" i="8"/>
  <c r="S95" i="8"/>
  <c r="T94" i="8"/>
  <c r="S94" i="8"/>
  <c r="T91" i="8"/>
  <c r="T90" i="8"/>
  <c r="S90" i="8"/>
  <c r="T89" i="8"/>
  <c r="S89" i="8"/>
  <c r="T88" i="8"/>
  <c r="S88" i="8"/>
  <c r="T87" i="8"/>
  <c r="S87" i="8"/>
  <c r="T86" i="8"/>
  <c r="S86" i="8"/>
  <c r="T85" i="8"/>
  <c r="S85" i="8"/>
  <c r="T84" i="8"/>
  <c r="S84" i="8"/>
  <c r="T83" i="8"/>
  <c r="S83" i="8"/>
  <c r="T82" i="8"/>
  <c r="T79" i="8"/>
  <c r="S79" i="8"/>
  <c r="T78" i="8"/>
  <c r="S78" i="8"/>
  <c r="T77" i="8"/>
  <c r="S77" i="8"/>
  <c r="T76" i="8"/>
  <c r="S76" i="8"/>
  <c r="T75" i="8"/>
  <c r="T74" i="8"/>
  <c r="T73" i="8"/>
  <c r="T72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58" i="8"/>
  <c r="S58" i="8"/>
  <c r="T57" i="8"/>
  <c r="S57" i="8"/>
  <c r="T56" i="8"/>
  <c r="S56" i="8"/>
  <c r="T55" i="8"/>
  <c r="S55" i="8"/>
  <c r="T52" i="8"/>
  <c r="S52" i="8"/>
  <c r="T51" i="8"/>
  <c r="S51" i="8"/>
  <c r="T48" i="8"/>
  <c r="S48" i="8"/>
  <c r="T45" i="8"/>
  <c r="S45" i="8"/>
  <c r="T44" i="8"/>
  <c r="S44" i="8"/>
  <c r="T41" i="8"/>
  <c r="S41" i="8"/>
  <c r="T40" i="8"/>
  <c r="S40" i="8"/>
  <c r="T39" i="8"/>
  <c r="S39" i="8"/>
  <c r="T38" i="8"/>
  <c r="S38" i="8"/>
  <c r="T37" i="8"/>
  <c r="S37" i="8"/>
  <c r="T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4" i="8"/>
  <c r="S24" i="8"/>
  <c r="T23" i="8"/>
  <c r="S23" i="8"/>
  <c r="T22" i="8"/>
  <c r="S22" i="8"/>
  <c r="T21" i="8"/>
  <c r="S21" i="8"/>
  <c r="T20" i="8"/>
  <c r="S20" i="8"/>
  <c r="T19" i="8"/>
  <c r="S19" i="8"/>
  <c r="T16" i="8"/>
  <c r="T15" i="8"/>
  <c r="S15" i="8"/>
  <c r="T12" i="8"/>
  <c r="T11" i="8"/>
  <c r="S11" i="8"/>
  <c r="T10" i="8"/>
  <c r="T7" i="8"/>
  <c r="T6" i="8"/>
  <c r="S6" i="8"/>
  <c r="T57" i="7"/>
  <c r="S57" i="7"/>
  <c r="T54" i="7"/>
  <c r="S54" i="7"/>
  <c r="T51" i="7"/>
  <c r="S51" i="7"/>
  <c r="T50" i="7"/>
  <c r="S50" i="7"/>
  <c r="T49" i="7"/>
  <c r="S49" i="7"/>
  <c r="T48" i="7"/>
  <c r="S48" i="7"/>
  <c r="T47" i="7"/>
  <c r="S47" i="7"/>
  <c r="T44" i="7"/>
  <c r="S44" i="7"/>
  <c r="T43" i="7"/>
  <c r="T42" i="7"/>
  <c r="S42" i="7"/>
  <c r="T41" i="7"/>
  <c r="S41" i="7"/>
  <c r="T40" i="7"/>
  <c r="S40" i="7"/>
  <c r="T39" i="7"/>
  <c r="S39" i="7"/>
  <c r="T36" i="7"/>
  <c r="S36" i="7"/>
  <c r="T35" i="7"/>
  <c r="S35" i="7"/>
  <c r="T32" i="7"/>
  <c r="S32" i="7"/>
  <c r="T31" i="7"/>
  <c r="S31" i="7"/>
  <c r="T30" i="7"/>
  <c r="S30" i="7"/>
  <c r="T27" i="7"/>
  <c r="T26" i="7"/>
  <c r="S26" i="7"/>
  <c r="T23" i="7"/>
  <c r="T20" i="7"/>
  <c r="T19" i="7"/>
  <c r="S19" i="7"/>
  <c r="T18" i="7"/>
  <c r="S18" i="7"/>
  <c r="T17" i="7"/>
  <c r="S17" i="7"/>
  <c r="T14" i="7"/>
  <c r="S14" i="7"/>
  <c r="T13" i="7"/>
  <c r="S13" i="7"/>
  <c r="T12" i="7"/>
  <c r="S12" i="7"/>
  <c r="T9" i="7"/>
  <c r="S9" i="7"/>
  <c r="T6" i="7"/>
  <c r="S6" i="7"/>
</calcChain>
</file>

<file path=xl/sharedStrings.xml><?xml version="1.0" encoding="utf-8"?>
<sst xmlns="http://schemas.openxmlformats.org/spreadsheetml/2006/main" count="4971" uniqueCount="1271">
  <si>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</si>
  <si>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</si>
  <si>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</si>
  <si>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</si>
  <si>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</si>
  <si>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</si>
  <si>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</si>
  <si>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</si>
  <si>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</si>
  <si>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</si>
  <si>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</si>
  <si>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</si>
  <si>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48</t>
  </si>
  <si>
    <t>Жук Юлия</t>
  </si>
  <si>
    <t>Открытая (01.04.1986)/35</t>
  </si>
  <si>
    <t>47,90</t>
  </si>
  <si>
    <t>102,5</t>
  </si>
  <si>
    <t>50,0</t>
  </si>
  <si>
    <t>52,5</t>
  </si>
  <si>
    <t>125,0</t>
  </si>
  <si>
    <t>130,0</t>
  </si>
  <si>
    <t xml:space="preserve">Таранухин Г. </t>
  </si>
  <si>
    <t>ВЕСОВАЯ КАТЕГОРИЯ   56</t>
  </si>
  <si>
    <t>Абрамова Юлия</t>
  </si>
  <si>
    <t>Открытая (29.06.1982)/38</t>
  </si>
  <si>
    <t>56,00</t>
  </si>
  <si>
    <t xml:space="preserve"> </t>
  </si>
  <si>
    <t>137,5</t>
  </si>
  <si>
    <t>145,0</t>
  </si>
  <si>
    <t>75,0</t>
  </si>
  <si>
    <t>80,0</t>
  </si>
  <si>
    <t>82,5</t>
  </si>
  <si>
    <t>180,0</t>
  </si>
  <si>
    <t>190,0</t>
  </si>
  <si>
    <t>198,0</t>
  </si>
  <si>
    <t>ВЕСОВАЯ КАТЕГОРИЯ   60</t>
  </si>
  <si>
    <t>Щепина-Нойманн Юлия</t>
  </si>
  <si>
    <t>Открытая (18.09.1989)/31</t>
  </si>
  <si>
    <t>59,50</t>
  </si>
  <si>
    <t>140,0</t>
  </si>
  <si>
    <t>150,0</t>
  </si>
  <si>
    <t>155,0</t>
  </si>
  <si>
    <t>85,0</t>
  </si>
  <si>
    <t>95,0</t>
  </si>
  <si>
    <t>100,0</t>
  </si>
  <si>
    <t>202,5</t>
  </si>
  <si>
    <t>210,0</t>
  </si>
  <si>
    <t>Бондарчук Елена</t>
  </si>
  <si>
    <t>Открытая (18.06.1980)/41</t>
  </si>
  <si>
    <t>59,80</t>
  </si>
  <si>
    <t>142,5</t>
  </si>
  <si>
    <t>97,5</t>
  </si>
  <si>
    <t>107,5</t>
  </si>
  <si>
    <t>170,0</t>
  </si>
  <si>
    <t>185,0</t>
  </si>
  <si>
    <t>ВЕСОВАЯ КАТЕГОРИЯ   67.5</t>
  </si>
  <si>
    <t>Ильина Валерия</t>
  </si>
  <si>
    <t>Девушки 15-19 (24.07.2003)/17</t>
  </si>
  <si>
    <t>63,10</t>
  </si>
  <si>
    <t>65,0</t>
  </si>
  <si>
    <t>72,5</t>
  </si>
  <si>
    <t>77,5</t>
  </si>
  <si>
    <t>30,0</t>
  </si>
  <si>
    <t>35,0</t>
  </si>
  <si>
    <t>37,5</t>
  </si>
  <si>
    <t>90,0</t>
  </si>
  <si>
    <t>92,5</t>
  </si>
  <si>
    <t>Ильина Елена</t>
  </si>
  <si>
    <t>Открытая (05.10.1977)/43</t>
  </si>
  <si>
    <t>63,20</t>
  </si>
  <si>
    <t>67,5</t>
  </si>
  <si>
    <t>47,5</t>
  </si>
  <si>
    <t>55,0</t>
  </si>
  <si>
    <t>87,5</t>
  </si>
  <si>
    <t xml:space="preserve">Огрызько Н., Таранухин Г. </t>
  </si>
  <si>
    <t>Открытая (24.07.2003)/17</t>
  </si>
  <si>
    <t>Фильчагина Наталья</t>
  </si>
  <si>
    <t>63,90</t>
  </si>
  <si>
    <t>60,0</t>
  </si>
  <si>
    <t>ВЕСОВАЯ КАТЕГОРИЯ   82.5</t>
  </si>
  <si>
    <t>Парджиани Анна</t>
  </si>
  <si>
    <t>Открытая (06.11.1996)/24</t>
  </si>
  <si>
    <t>75,40</t>
  </si>
  <si>
    <t>220,0</t>
  </si>
  <si>
    <t>225,0</t>
  </si>
  <si>
    <t>230,0</t>
  </si>
  <si>
    <t>115,0</t>
  </si>
  <si>
    <t>122,5</t>
  </si>
  <si>
    <t xml:space="preserve">Непотюк А. </t>
  </si>
  <si>
    <t>ВЕСОВАЯ КАТЕГОРИЯ   75</t>
  </si>
  <si>
    <t>Кольцов Денис</t>
  </si>
  <si>
    <t>Юноши 15-19 (23.02.2002)/19</t>
  </si>
  <si>
    <t>71,20</t>
  </si>
  <si>
    <t>165,0</t>
  </si>
  <si>
    <t>175,0</t>
  </si>
  <si>
    <t>177,5</t>
  </si>
  <si>
    <t>Николаев Денис</t>
  </si>
  <si>
    <t>Открытая (15.07.1991)/29</t>
  </si>
  <si>
    <t>73,00</t>
  </si>
  <si>
    <t>235,0</t>
  </si>
  <si>
    <t>240,0</t>
  </si>
  <si>
    <t>132,5</t>
  </si>
  <si>
    <t>260,0</t>
  </si>
  <si>
    <t xml:space="preserve">Каширин А. </t>
  </si>
  <si>
    <t>Шульцев Кирилл</t>
  </si>
  <si>
    <t>Юноши 15-19 (22.09.2002)/18</t>
  </si>
  <si>
    <t>75,50</t>
  </si>
  <si>
    <t>135,0</t>
  </si>
  <si>
    <t>160,0</t>
  </si>
  <si>
    <t>182,5</t>
  </si>
  <si>
    <t>Кульпин Никита</t>
  </si>
  <si>
    <t>Открытая (11.10.1993)/27</t>
  </si>
  <si>
    <t>82,20</t>
  </si>
  <si>
    <t>195,0</t>
  </si>
  <si>
    <t>157,5</t>
  </si>
  <si>
    <t>167,5</t>
  </si>
  <si>
    <t>222,5</t>
  </si>
  <si>
    <t>Шефф Павел</t>
  </si>
  <si>
    <t>Открытая (09.07.1993)/27</t>
  </si>
  <si>
    <t>81,10</t>
  </si>
  <si>
    <t>200,0</t>
  </si>
  <si>
    <t>120,0</t>
  </si>
  <si>
    <t>250,0</t>
  </si>
  <si>
    <t xml:space="preserve">Головинский Д. </t>
  </si>
  <si>
    <t>ВЕСОВАЯ КАТЕГОРИЯ   90</t>
  </si>
  <si>
    <t>Никишин Самир</t>
  </si>
  <si>
    <t>Открытая (14.04.1997)/24</t>
  </si>
  <si>
    <t>89,60</t>
  </si>
  <si>
    <t>212,5</t>
  </si>
  <si>
    <t>217,5</t>
  </si>
  <si>
    <t>272,5</t>
  </si>
  <si>
    <t>280,0</t>
  </si>
  <si>
    <t>285,0</t>
  </si>
  <si>
    <t>Тихоновский Олег</t>
  </si>
  <si>
    <t>Открытая (04.08.1978)/42</t>
  </si>
  <si>
    <t>88,90</t>
  </si>
  <si>
    <t>227,5</t>
  </si>
  <si>
    <t>232,5</t>
  </si>
  <si>
    <t xml:space="preserve">Варава И. </t>
  </si>
  <si>
    <t>ВЕСОВАЯ КАТЕГОРИЯ   100</t>
  </si>
  <si>
    <t>Комисаров Михаил</t>
  </si>
  <si>
    <t>Открытая (23.08.1995)/25</t>
  </si>
  <si>
    <t>99,10</t>
  </si>
  <si>
    <t>270,0</t>
  </si>
  <si>
    <t>300,0</t>
  </si>
  <si>
    <t>305,0</t>
  </si>
  <si>
    <t>310,0</t>
  </si>
  <si>
    <t xml:space="preserve">Тимофеев Д. </t>
  </si>
  <si>
    <t>Бахтурин Василий</t>
  </si>
  <si>
    <t>Открытая (10.01.1984)/37</t>
  </si>
  <si>
    <t>96,70</t>
  </si>
  <si>
    <t>Миронов Владимир</t>
  </si>
  <si>
    <t>Открытая (11.05.1985)/36</t>
  </si>
  <si>
    <t>97,30</t>
  </si>
  <si>
    <t>172,5</t>
  </si>
  <si>
    <t>Гонцов Евгений</t>
  </si>
  <si>
    <t>Открытая (23.06.1989)/32</t>
  </si>
  <si>
    <t>93,60</t>
  </si>
  <si>
    <t>215,0</t>
  </si>
  <si>
    <t xml:space="preserve">Акмаев Д. </t>
  </si>
  <si>
    <t>Клюкач Дмитрий</t>
  </si>
  <si>
    <t>Открытая (20.10.1991)/29</t>
  </si>
  <si>
    <t>99,70</t>
  </si>
  <si>
    <t>237,5</t>
  </si>
  <si>
    <t>245,0</t>
  </si>
  <si>
    <t>152,5</t>
  </si>
  <si>
    <t>Щербаков Роман</t>
  </si>
  <si>
    <t>98,00</t>
  </si>
  <si>
    <t xml:space="preserve">Гнатко В. </t>
  </si>
  <si>
    <t>ВЕСОВАЯ КАТЕГОРИЯ   110</t>
  </si>
  <si>
    <t>Салахетдинов Эльдар</t>
  </si>
  <si>
    <t>108,40</t>
  </si>
  <si>
    <t>322,5</t>
  </si>
  <si>
    <t>327,5</t>
  </si>
  <si>
    <t>Шаров Александр</t>
  </si>
  <si>
    <t>Открытая (03.09.1983)/37</t>
  </si>
  <si>
    <t>108,10</t>
  </si>
  <si>
    <t>205,0</t>
  </si>
  <si>
    <t>Бойко Николай</t>
  </si>
  <si>
    <t>Открытая (19.01.1991)/30</t>
  </si>
  <si>
    <t>108,20</t>
  </si>
  <si>
    <t>187,5</t>
  </si>
  <si>
    <t>295,0</t>
  </si>
  <si>
    <t>Бакланов Иван</t>
  </si>
  <si>
    <t>Открытая (16.04.1983)/38</t>
  </si>
  <si>
    <t>104,20</t>
  </si>
  <si>
    <t>275,0</t>
  </si>
  <si>
    <t>292,5</t>
  </si>
  <si>
    <t xml:space="preserve">Солнцев И. </t>
  </si>
  <si>
    <t>Морозов Александр</t>
  </si>
  <si>
    <t>Открытая (07.06.1991)/30</t>
  </si>
  <si>
    <t>107,70</t>
  </si>
  <si>
    <t xml:space="preserve">Смирнов Д. </t>
  </si>
  <si>
    <t>ВЕСОВАЯ КАТЕГОРИЯ   125</t>
  </si>
  <si>
    <t>Чусовской Михаил</t>
  </si>
  <si>
    <t>118,90</t>
  </si>
  <si>
    <t xml:space="preserve">Жиганов К. </t>
  </si>
  <si>
    <t>ВЕСОВАЯ КАТЕГОРИЯ   140</t>
  </si>
  <si>
    <t>Безинских Максим</t>
  </si>
  <si>
    <t>Открытая (18.05.1986)/35</t>
  </si>
  <si>
    <t>137,40</t>
  </si>
  <si>
    <t>282,5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</si>
  <si>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</si>
  <si>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</si>
  <si>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</si>
  <si>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</si>
  <si>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</si>
  <si>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Юноши 15-19 </t>
  </si>
  <si>
    <t>67.5</t>
  </si>
  <si>
    <t>207,5</t>
  </si>
  <si>
    <t xml:space="preserve">Открытая </t>
  </si>
  <si>
    <t>60</t>
  </si>
  <si>
    <t>460,0</t>
  </si>
  <si>
    <t>516,1660</t>
  </si>
  <si>
    <t>56</t>
  </si>
  <si>
    <t>417,5</t>
  </si>
  <si>
    <t>491,2305</t>
  </si>
  <si>
    <t>437,5</t>
  </si>
  <si>
    <t>489,0375</t>
  </si>
  <si>
    <t xml:space="preserve">Мастера </t>
  </si>
  <si>
    <t xml:space="preserve">Мужчины </t>
  </si>
  <si>
    <t xml:space="preserve">Юноши </t>
  </si>
  <si>
    <t>75</t>
  </si>
  <si>
    <t>82.5</t>
  </si>
  <si>
    <t>110</t>
  </si>
  <si>
    <t>100</t>
  </si>
  <si>
    <t>765,0</t>
  </si>
  <si>
    <t>467,2620</t>
  </si>
  <si>
    <t>780,0</t>
  </si>
  <si>
    <t>461,5260</t>
  </si>
  <si>
    <t>735,0</t>
  </si>
  <si>
    <t>453,6420</t>
  </si>
  <si>
    <t>125</t>
  </si>
  <si>
    <t>1</t>
  </si>
  <si>
    <t>2</t>
  </si>
  <si>
    <t>-</t>
  </si>
  <si>
    <t>3</t>
  </si>
  <si>
    <t>4</t>
  </si>
  <si>
    <t>ВЕСОВАЯ КАТЕГОРИЯ   44</t>
  </si>
  <si>
    <t>Склярова Лариса</t>
  </si>
  <si>
    <t>43,50</t>
  </si>
  <si>
    <t>40,0</t>
  </si>
  <si>
    <t>42,5</t>
  </si>
  <si>
    <t>Нелогова Алена</t>
  </si>
  <si>
    <t>37,10</t>
  </si>
  <si>
    <t>62,5</t>
  </si>
  <si>
    <t>Субботкина Анастасия</t>
  </si>
  <si>
    <t>Открытая (10.09.1997)/23</t>
  </si>
  <si>
    <t>46,00</t>
  </si>
  <si>
    <t xml:space="preserve">Крутик Г. </t>
  </si>
  <si>
    <t>Ткачева Елизавета</t>
  </si>
  <si>
    <t>Открытая (27.01.1996)/25</t>
  </si>
  <si>
    <t>47,60</t>
  </si>
  <si>
    <t>Gavrilova Aurika</t>
  </si>
  <si>
    <t>Открытая (21.06.1988)/33</t>
  </si>
  <si>
    <t>47,70</t>
  </si>
  <si>
    <t>ВЕСОВАЯ КАТЕГОРИЯ   52</t>
  </si>
  <si>
    <t>Перковская Ольга</t>
  </si>
  <si>
    <t>Открытая (08.07.1989)/31</t>
  </si>
  <si>
    <t>51,50</t>
  </si>
  <si>
    <t>70,0</t>
  </si>
  <si>
    <t>45,0</t>
  </si>
  <si>
    <t>Андреева Ольга</t>
  </si>
  <si>
    <t>Открытая (18.04.1993)/28</t>
  </si>
  <si>
    <t>Филимонова Валерия</t>
  </si>
  <si>
    <t>Девушки 15-19 (18.10.2004)/16</t>
  </si>
  <si>
    <t>53,00</t>
  </si>
  <si>
    <t>Авдеева Елена</t>
  </si>
  <si>
    <t>Открытая (17.02.1982)/39</t>
  </si>
  <si>
    <t>54,60</t>
  </si>
  <si>
    <t>105,0</t>
  </si>
  <si>
    <t>117,5</t>
  </si>
  <si>
    <t xml:space="preserve">Михайлов Д. </t>
  </si>
  <si>
    <t>Глинская Мария</t>
  </si>
  <si>
    <t>Открытая (04.04.1986)/35</t>
  </si>
  <si>
    <t>54,90</t>
  </si>
  <si>
    <t>Дитякина Екатерина</t>
  </si>
  <si>
    <t>Открытая (25.07.1995)/25</t>
  </si>
  <si>
    <t>55,80</t>
  </si>
  <si>
    <t>112,5</t>
  </si>
  <si>
    <t>Клюбченко Алла</t>
  </si>
  <si>
    <t>Открытая (27.11.1983)/37</t>
  </si>
  <si>
    <t>53,90</t>
  </si>
  <si>
    <t>32,5</t>
  </si>
  <si>
    <t>Суркина Лидия</t>
  </si>
  <si>
    <t>55,90</t>
  </si>
  <si>
    <t>Чусовская Елизавета</t>
  </si>
  <si>
    <t>58,50</t>
  </si>
  <si>
    <t>110,0</t>
  </si>
  <si>
    <t>Открытая (29.08.1998)/22</t>
  </si>
  <si>
    <t>Молчанова Ирина</t>
  </si>
  <si>
    <t>Открытая (19.11.1988)/32</t>
  </si>
  <si>
    <t>59,90</t>
  </si>
  <si>
    <t>Истомина Татьяна</t>
  </si>
  <si>
    <t>Открытая (12.08.1985)/35</t>
  </si>
  <si>
    <t>56,50</t>
  </si>
  <si>
    <t>Косматых Яна</t>
  </si>
  <si>
    <t>59,30</t>
  </si>
  <si>
    <t xml:space="preserve">Попова А. </t>
  </si>
  <si>
    <t>Румянцева Полина</t>
  </si>
  <si>
    <t>Открытая (24.02.1993)/28</t>
  </si>
  <si>
    <t>59,20</t>
  </si>
  <si>
    <t>57,5</t>
  </si>
  <si>
    <t>Слиж Татьяна</t>
  </si>
  <si>
    <t>Открытая (03.07.1988)/32</t>
  </si>
  <si>
    <t>58,20</t>
  </si>
  <si>
    <t xml:space="preserve">Одинаев А. </t>
  </si>
  <si>
    <t>Кияшко Надежда</t>
  </si>
  <si>
    <t>Открытая (19.05.1994)/27</t>
  </si>
  <si>
    <t>59,70</t>
  </si>
  <si>
    <t xml:space="preserve">Конников С. </t>
  </si>
  <si>
    <t>Филимонова Алёна</t>
  </si>
  <si>
    <t>Девушки 15-19 (11.04.2006)/15</t>
  </si>
  <si>
    <t>Абрамова Инга</t>
  </si>
  <si>
    <t>Девушки 15-19 (30.09.2002)/18</t>
  </si>
  <si>
    <t>65,70</t>
  </si>
  <si>
    <t>127,5</t>
  </si>
  <si>
    <t>Крючкова Виктория</t>
  </si>
  <si>
    <t>66,80</t>
  </si>
  <si>
    <t>Бряккиева Виктория</t>
  </si>
  <si>
    <t>Открытая (26.07.1981)/39</t>
  </si>
  <si>
    <t>65,00</t>
  </si>
  <si>
    <t>Малиновская Дария</t>
  </si>
  <si>
    <t>Открытая (23.08.1996)/24</t>
  </si>
  <si>
    <t>64,90</t>
  </si>
  <si>
    <t>Попова Анна</t>
  </si>
  <si>
    <t>74,30</t>
  </si>
  <si>
    <t>Фокина Диана</t>
  </si>
  <si>
    <t>Открытая (29.11.1993)/27</t>
  </si>
  <si>
    <t>68,40</t>
  </si>
  <si>
    <t>Сергеев Егор</t>
  </si>
  <si>
    <t>Юноши 15-19 (06.11.2005)/15</t>
  </si>
  <si>
    <t>50,90</t>
  </si>
  <si>
    <t>Бахтурин Андрей</t>
  </si>
  <si>
    <t>Юноши 15-19 (23.12.2004)/16</t>
  </si>
  <si>
    <t>62,90</t>
  </si>
  <si>
    <t>Харитонов Леонид</t>
  </si>
  <si>
    <t>Открытая (12.07.1993)/27</t>
  </si>
  <si>
    <t>66,30</t>
  </si>
  <si>
    <t>Николаев Михаил</t>
  </si>
  <si>
    <t>Юноши 15-19 (31.07.2004)/16</t>
  </si>
  <si>
    <t>72,80</t>
  </si>
  <si>
    <t>Осиновский Александр</t>
  </si>
  <si>
    <t>Открытая (18.07.1991)/29</t>
  </si>
  <si>
    <t xml:space="preserve">Астахов Д. </t>
  </si>
  <si>
    <t>Ларюшкин Игорь</t>
  </si>
  <si>
    <t>Открытая (15.09.1992)/28</t>
  </si>
  <si>
    <t>70,10</t>
  </si>
  <si>
    <t>Петров Дмитрий</t>
  </si>
  <si>
    <t>Открытая (05.08.1984)/36</t>
  </si>
  <si>
    <t>72,60</t>
  </si>
  <si>
    <t>Дмитриев Михаил</t>
  </si>
  <si>
    <t>Юноши 15-19 (01.10.2004)/16</t>
  </si>
  <si>
    <t>79,00</t>
  </si>
  <si>
    <t>Мухин Александр</t>
  </si>
  <si>
    <t>Крутик Григорий</t>
  </si>
  <si>
    <t>Открытая (26.11.1980)/40</t>
  </si>
  <si>
    <t>80,70</t>
  </si>
  <si>
    <t>Илюшин Евгений</t>
  </si>
  <si>
    <t>Открытая (21.09.1987)/33</t>
  </si>
  <si>
    <t>81,30</t>
  </si>
  <si>
    <t>Никульшин Кирилл</t>
  </si>
  <si>
    <t>Открытая (29.12.1987)/33</t>
  </si>
  <si>
    <t>81,50</t>
  </si>
  <si>
    <t>192,5</t>
  </si>
  <si>
    <t>Магомедов Гапур</t>
  </si>
  <si>
    <t>Открытая (10.04.1989)/32</t>
  </si>
  <si>
    <t>81,40</t>
  </si>
  <si>
    <t>Открытая (01.10.2004)/16</t>
  </si>
  <si>
    <t>Байков Денис</t>
  </si>
  <si>
    <t>77,40</t>
  </si>
  <si>
    <t>Фещенко Денис</t>
  </si>
  <si>
    <t>Юноши 15-19 (30.03.2009)/12</t>
  </si>
  <si>
    <t>87,00</t>
  </si>
  <si>
    <t>Katrakis Konstantinos</t>
  </si>
  <si>
    <t>89,20</t>
  </si>
  <si>
    <t xml:space="preserve">GRC/Athens </t>
  </si>
  <si>
    <t>255,0</t>
  </si>
  <si>
    <t>Бахов Кирилл</t>
  </si>
  <si>
    <t>85,50</t>
  </si>
  <si>
    <t>Открытая (09.06.2000)/21</t>
  </si>
  <si>
    <t>Иванов Владимир</t>
  </si>
  <si>
    <t>Открытая (13.06.1990)/31</t>
  </si>
  <si>
    <t>88,10</t>
  </si>
  <si>
    <t xml:space="preserve">Смирнов А. </t>
  </si>
  <si>
    <t>Старовойтов Иван</t>
  </si>
  <si>
    <t>Открытая (26.03.1987)/34</t>
  </si>
  <si>
    <t>88,00</t>
  </si>
  <si>
    <t>Карандашев Владимир</t>
  </si>
  <si>
    <t>Ряхин Николай</t>
  </si>
  <si>
    <t>88,30</t>
  </si>
  <si>
    <t xml:space="preserve">Ряхина Н. </t>
  </si>
  <si>
    <t>Чудаев Сергей</t>
  </si>
  <si>
    <t>Открытая (25.06.1987)/34</t>
  </si>
  <si>
    <t>90,10</t>
  </si>
  <si>
    <t>Одинаев Александр</t>
  </si>
  <si>
    <t>Открытая (11.09.1982)/38</t>
  </si>
  <si>
    <t>96,60</t>
  </si>
  <si>
    <t>252,5</t>
  </si>
  <si>
    <t>257,5</t>
  </si>
  <si>
    <t>Сафонов Владимир</t>
  </si>
  <si>
    <t>Открытая (21.03.1987)/34</t>
  </si>
  <si>
    <t>97,80</t>
  </si>
  <si>
    <t>242,5</t>
  </si>
  <si>
    <t>Арзамазов Андрей</t>
  </si>
  <si>
    <t>Открытая (05.05.1992)/29</t>
  </si>
  <si>
    <t>93,20</t>
  </si>
  <si>
    <t>Ильин Андрей</t>
  </si>
  <si>
    <t>Открытая (13.03.1988)/33</t>
  </si>
  <si>
    <t>Вороков Султан</t>
  </si>
  <si>
    <t>Открытая (24.03.1997)/24</t>
  </si>
  <si>
    <t>98,20</t>
  </si>
  <si>
    <t>147,5</t>
  </si>
  <si>
    <t>Веденский Виктор</t>
  </si>
  <si>
    <t>Открытая (01.04.1992)/29</t>
  </si>
  <si>
    <t>93,70</t>
  </si>
  <si>
    <t>Белов Василий</t>
  </si>
  <si>
    <t>Открытая (05.05.1987)/34</t>
  </si>
  <si>
    <t>99,40</t>
  </si>
  <si>
    <t>Носко Кирилл</t>
  </si>
  <si>
    <t>Открытая (21.01.1984)/37</t>
  </si>
  <si>
    <t>Кормаков Виктор</t>
  </si>
  <si>
    <t>Открытая (09.07.1984)/36</t>
  </si>
  <si>
    <t>99,00</t>
  </si>
  <si>
    <t>Злобин Александр</t>
  </si>
  <si>
    <t>Юноши 15-19 (10.04.2004)/17</t>
  </si>
  <si>
    <t>107,90</t>
  </si>
  <si>
    <t>Паршиков Ион</t>
  </si>
  <si>
    <t>Открытая (14.10.1995)/25</t>
  </si>
  <si>
    <t>109,30</t>
  </si>
  <si>
    <t>Алещенко Сергей</t>
  </si>
  <si>
    <t>Открытая (13.08.1989)/31</t>
  </si>
  <si>
    <t>106,80</t>
  </si>
  <si>
    <t xml:space="preserve">Яшина К. </t>
  </si>
  <si>
    <t>Шиляев Алексей</t>
  </si>
  <si>
    <t>Открытая (07.07.1995)/25</t>
  </si>
  <si>
    <t>107,00</t>
  </si>
  <si>
    <t>Бухман Антон</t>
  </si>
  <si>
    <t>Открытая (22.08.1988)/32</t>
  </si>
  <si>
    <t>123,90</t>
  </si>
  <si>
    <t>301,0</t>
  </si>
  <si>
    <t>197,5</t>
  </si>
  <si>
    <t>213,0</t>
  </si>
  <si>
    <t xml:space="preserve">Мыськив А. </t>
  </si>
  <si>
    <t>Евстафьев Павел</t>
  </si>
  <si>
    <t>Открытая (09.12.1987)/33</t>
  </si>
  <si>
    <t>120,70</t>
  </si>
  <si>
    <t>315,0</t>
  </si>
  <si>
    <t>345,0</t>
  </si>
  <si>
    <t>392,2995</t>
  </si>
  <si>
    <t>307,5</t>
  </si>
  <si>
    <t>395,0</t>
  </si>
  <si>
    <t>414,3945</t>
  </si>
  <si>
    <t>343,2622</t>
  </si>
  <si>
    <t>52</t>
  </si>
  <si>
    <t>90</t>
  </si>
  <si>
    <t>800,0</t>
  </si>
  <si>
    <t>456,7200</t>
  </si>
  <si>
    <t>617,5</t>
  </si>
  <si>
    <t>419,2825</t>
  </si>
  <si>
    <t>655,0</t>
  </si>
  <si>
    <t>417,8900</t>
  </si>
  <si>
    <t>5</t>
  </si>
  <si>
    <t>6</t>
  </si>
  <si>
    <t>7</t>
  </si>
  <si>
    <t>8</t>
  </si>
  <si>
    <t>9</t>
  </si>
  <si>
    <t>Tsimpi Maria</t>
  </si>
  <si>
    <t>Открытая (09.03.1971)/50</t>
  </si>
  <si>
    <t>55,20</t>
  </si>
  <si>
    <t>140,0o</t>
  </si>
  <si>
    <t>Georgopoulos Ioannis</t>
  </si>
  <si>
    <t>Открытая (14.08.1982)/38</t>
  </si>
  <si>
    <t>89,40</t>
  </si>
  <si>
    <t>265,0</t>
  </si>
  <si>
    <t>Яскевич Дмитрий</t>
  </si>
  <si>
    <t>Открытая (24.01.1997)/24</t>
  </si>
  <si>
    <t xml:space="preserve">Петельбузов В. </t>
  </si>
  <si>
    <t>Макаров Артур</t>
  </si>
  <si>
    <t>122,00</t>
  </si>
  <si>
    <t>Комков Александр</t>
  </si>
  <si>
    <t>Открытая (26.11.1983)/37</t>
  </si>
  <si>
    <t>120,00</t>
  </si>
  <si>
    <t>320,0</t>
  </si>
  <si>
    <t>340,0</t>
  </si>
  <si>
    <t>Семыкина Дарья</t>
  </si>
  <si>
    <t>Открытая (03.03.2001)/20</t>
  </si>
  <si>
    <t>67,10</t>
  </si>
  <si>
    <t xml:space="preserve">Румянцева С. </t>
  </si>
  <si>
    <t>Яновская Ольга</t>
  </si>
  <si>
    <t>Открытая (21.12.1988)/32</t>
  </si>
  <si>
    <t>63,50</t>
  </si>
  <si>
    <t>Рыжова Анастасия</t>
  </si>
  <si>
    <t>Открытая (20.04.1997)/24</t>
  </si>
  <si>
    <t>71,30</t>
  </si>
  <si>
    <t>Алтунин Николай</t>
  </si>
  <si>
    <t>Открытая (24.07.1977)/43</t>
  </si>
  <si>
    <t>72,20</t>
  </si>
  <si>
    <t>Степанов Григорий</t>
  </si>
  <si>
    <t>Открытая (11.07.1980)/40</t>
  </si>
  <si>
    <t>73,90</t>
  </si>
  <si>
    <t>Воскресенский Юрий</t>
  </si>
  <si>
    <t>Открытая (28.10.1985)/35</t>
  </si>
  <si>
    <t>74,00</t>
  </si>
  <si>
    <t xml:space="preserve">Милин И. </t>
  </si>
  <si>
    <t>Павлов Михаил</t>
  </si>
  <si>
    <t>Открытая (16.11.1989)/31</t>
  </si>
  <si>
    <t>79,30</t>
  </si>
  <si>
    <t>Буканов Валерий</t>
  </si>
  <si>
    <t>Мельситов Дмитрий</t>
  </si>
  <si>
    <t>87,20</t>
  </si>
  <si>
    <t>Галашев Никита</t>
  </si>
  <si>
    <t>Открытая (16.06.1994)/27</t>
  </si>
  <si>
    <t>97,90</t>
  </si>
  <si>
    <t>Дорофейский Евгений</t>
  </si>
  <si>
    <t>Открытая (14.09.1995)/25</t>
  </si>
  <si>
    <t>107,20</t>
  </si>
  <si>
    <t>290,0</t>
  </si>
  <si>
    <t>312,5</t>
  </si>
  <si>
    <t>Кодзаева Яна</t>
  </si>
  <si>
    <t>Открытая (20.06.1993)/28</t>
  </si>
  <si>
    <t>87,30</t>
  </si>
  <si>
    <t xml:space="preserve">Доброрезов  И. </t>
  </si>
  <si>
    <t>Ильин Матвей</t>
  </si>
  <si>
    <t>Юноши 15-19 (18.03.2008)/13</t>
  </si>
  <si>
    <t>Струве Дмитрий</t>
  </si>
  <si>
    <t>Открытая (18.10.1987)/33</t>
  </si>
  <si>
    <t>Вохминцев Юрий</t>
  </si>
  <si>
    <t xml:space="preserve">Киселёв Дмитрий Викторович </t>
  </si>
  <si>
    <t>Шахбазян Давид</t>
  </si>
  <si>
    <t>Открытая (30.08.1994)/26</t>
  </si>
  <si>
    <t>81,90</t>
  </si>
  <si>
    <t xml:space="preserve">Андреев Т. </t>
  </si>
  <si>
    <t>Старцев Виталий</t>
  </si>
  <si>
    <t>Открытая (19.07.1982)/38</t>
  </si>
  <si>
    <t>79,90</t>
  </si>
  <si>
    <t xml:space="preserve">Волков А. </t>
  </si>
  <si>
    <t>Данилов Михаил</t>
  </si>
  <si>
    <t>Открытая (27.07.1984)/36</t>
  </si>
  <si>
    <t>81,20</t>
  </si>
  <si>
    <t xml:space="preserve">Суслов Н. </t>
  </si>
  <si>
    <t>Александров Александр</t>
  </si>
  <si>
    <t>Открытая (19.07.1979)/41</t>
  </si>
  <si>
    <t>220,5</t>
  </si>
  <si>
    <t>Ульрих Павел</t>
  </si>
  <si>
    <t>Открытая (24.12.1981)/39</t>
  </si>
  <si>
    <t>86,90</t>
  </si>
  <si>
    <t xml:space="preserve">Коновалова Е. </t>
  </si>
  <si>
    <t>Кандауров Станислав</t>
  </si>
  <si>
    <t>Открытая (26.05.1990)/31</t>
  </si>
  <si>
    <t>96,30</t>
  </si>
  <si>
    <t xml:space="preserve">Кульпин Н. </t>
  </si>
  <si>
    <t>Кротиков Евгений</t>
  </si>
  <si>
    <t>Открытая (13.01.1992)/29</t>
  </si>
  <si>
    <t>97,70</t>
  </si>
  <si>
    <t xml:space="preserve">Кузнецова А. </t>
  </si>
  <si>
    <t>Волков Андрей</t>
  </si>
  <si>
    <t>Открытая (29.09.1975)/45</t>
  </si>
  <si>
    <t>Румянцев Сергей</t>
  </si>
  <si>
    <t>Открытая (14.08.1990)/30</t>
  </si>
  <si>
    <t xml:space="preserve">Румянцев С. </t>
  </si>
  <si>
    <t>Быстров Филипп</t>
  </si>
  <si>
    <t>Открытая (20.01.1991)/30</t>
  </si>
  <si>
    <t>96,40</t>
  </si>
  <si>
    <t xml:space="preserve">Бебенин Г. </t>
  </si>
  <si>
    <t>Дрейзин Александр</t>
  </si>
  <si>
    <t>Открытая (17.04.1983)/38</t>
  </si>
  <si>
    <t xml:space="preserve">Басиров Р. </t>
  </si>
  <si>
    <t>Артамонов Вячеслав</t>
  </si>
  <si>
    <t>Открытая (16.07.1987)/33</t>
  </si>
  <si>
    <t>98,50</t>
  </si>
  <si>
    <t xml:space="preserve">Антонов Л. </t>
  </si>
  <si>
    <t>Прыгунов Михаил</t>
  </si>
  <si>
    <t>Открытая (16.08.1984)/36</t>
  </si>
  <si>
    <t>99,50</t>
  </si>
  <si>
    <t>Беспалов Александр</t>
  </si>
  <si>
    <t>97,40</t>
  </si>
  <si>
    <t>Ловчев Андрей</t>
  </si>
  <si>
    <t>94,50</t>
  </si>
  <si>
    <t xml:space="preserve">Ларионов В. </t>
  </si>
  <si>
    <t>Михайлов Алексей</t>
  </si>
  <si>
    <t>Открытая (23.07.1986)/34</t>
  </si>
  <si>
    <t>106,20</t>
  </si>
  <si>
    <t>Аншуков Андрей</t>
  </si>
  <si>
    <t>Открытая (04.11.1981)/39</t>
  </si>
  <si>
    <t>109,40</t>
  </si>
  <si>
    <t xml:space="preserve">Сирош А. </t>
  </si>
  <si>
    <t>Пузырев Денис</t>
  </si>
  <si>
    <t>Открытая (31.03.1974)/47</t>
  </si>
  <si>
    <t xml:space="preserve">Грудев А. </t>
  </si>
  <si>
    <t>Калининский Илья</t>
  </si>
  <si>
    <t>Открытая (11.04.1989)/32</t>
  </si>
  <si>
    <t>112,60</t>
  </si>
  <si>
    <t>Усков Николай</t>
  </si>
  <si>
    <t>114,50</t>
  </si>
  <si>
    <t>Ефименков Александр</t>
  </si>
  <si>
    <t>112,20</t>
  </si>
  <si>
    <t>ВЕСОВАЯ КАТЕГОРИЯ   140+</t>
  </si>
  <si>
    <t>Гогуев Расул</t>
  </si>
  <si>
    <t>Открытая (26.08.1987)/33</t>
  </si>
  <si>
    <t>152,40</t>
  </si>
  <si>
    <t xml:space="preserve">Гаджиев Р. </t>
  </si>
  <si>
    <t xml:space="preserve">Результат </t>
  </si>
  <si>
    <t>141,0759</t>
  </si>
  <si>
    <t>133,9200</t>
  </si>
  <si>
    <t>129,8430</t>
  </si>
  <si>
    <t>160,0560</t>
  </si>
  <si>
    <t>141,7813</t>
  </si>
  <si>
    <t>129,1716</t>
  </si>
  <si>
    <t>Результат</t>
  </si>
  <si>
    <t>Сарсенова Сания</t>
  </si>
  <si>
    <t>Открытая (15.02.1989)/32</t>
  </si>
  <si>
    <t>43,90</t>
  </si>
  <si>
    <t xml:space="preserve">Киселев Д. </t>
  </si>
  <si>
    <t>Рудая Юлия</t>
  </si>
  <si>
    <t>Открытая (15.04.1988)/33</t>
  </si>
  <si>
    <t>51,80</t>
  </si>
  <si>
    <t>Боховко Юлия</t>
  </si>
  <si>
    <t>Открытая (07.03.1987)/34</t>
  </si>
  <si>
    <t>50,80</t>
  </si>
  <si>
    <t>Иванова Виктория</t>
  </si>
  <si>
    <t>Открытая (30.06.1983)/37</t>
  </si>
  <si>
    <t>50,10</t>
  </si>
  <si>
    <t>Гоголева Мария</t>
  </si>
  <si>
    <t>Открытая (08.11.1975)/45</t>
  </si>
  <si>
    <t>57,10</t>
  </si>
  <si>
    <t>Садовникова Юлия</t>
  </si>
  <si>
    <t>Открытая (26.06.1983)/38</t>
  </si>
  <si>
    <t>58,80</t>
  </si>
  <si>
    <t>Дмитриева Татьяна</t>
  </si>
  <si>
    <t>Открытая (09.12.1991)/29</t>
  </si>
  <si>
    <t>58,40</t>
  </si>
  <si>
    <t>Денисова Елизавета</t>
  </si>
  <si>
    <t>Открытая (26.06.1994)/27</t>
  </si>
  <si>
    <t>57,60</t>
  </si>
  <si>
    <t>Андриянова Ольга</t>
  </si>
  <si>
    <t xml:space="preserve">Дмитриева Е. </t>
  </si>
  <si>
    <t>Долгашова Тамара</t>
  </si>
  <si>
    <t>58,30</t>
  </si>
  <si>
    <t xml:space="preserve">Ловчиков А. </t>
  </si>
  <si>
    <t>Козулина Мария</t>
  </si>
  <si>
    <t>61,40</t>
  </si>
  <si>
    <t>Кручина Светлана</t>
  </si>
  <si>
    <t>Открытая (19.02.1985)/36</t>
  </si>
  <si>
    <t>66,70</t>
  </si>
  <si>
    <t>Веселова Ирина</t>
  </si>
  <si>
    <t>Открытая (21.09.1991)/29</t>
  </si>
  <si>
    <t>66,50</t>
  </si>
  <si>
    <t>Попова Екатерина</t>
  </si>
  <si>
    <t>Открытая (21.11.1988)/32</t>
  </si>
  <si>
    <t>67,30</t>
  </si>
  <si>
    <t>Дмитриева Елена</t>
  </si>
  <si>
    <t>67,50</t>
  </si>
  <si>
    <t>Матвеева Наталия</t>
  </si>
  <si>
    <t>Открытая (06.10.1961)/59</t>
  </si>
  <si>
    <t>72,90</t>
  </si>
  <si>
    <t>Киселёва Софья</t>
  </si>
  <si>
    <t>76,30</t>
  </si>
  <si>
    <t>Середа Антон</t>
  </si>
  <si>
    <t>Юноши 15-19 (16.04.2007)/14</t>
  </si>
  <si>
    <t>52,40</t>
  </si>
  <si>
    <t>Попов Андрей</t>
  </si>
  <si>
    <t>55,40</t>
  </si>
  <si>
    <t>Колесников Никита</t>
  </si>
  <si>
    <t>Юноши 15-19 (19.04.2007)/14</t>
  </si>
  <si>
    <t>58,00</t>
  </si>
  <si>
    <t>Шишкин Вадим</t>
  </si>
  <si>
    <t>57,20</t>
  </si>
  <si>
    <t xml:space="preserve">Жадёнов В. </t>
  </si>
  <si>
    <t>Глухов Евгений</t>
  </si>
  <si>
    <t>Открытая (10.04.1987)/34</t>
  </si>
  <si>
    <t>Николаев Игорь</t>
  </si>
  <si>
    <t>Открытая (24.07.1990)/30</t>
  </si>
  <si>
    <t>66,90</t>
  </si>
  <si>
    <t xml:space="preserve">Усков Н. </t>
  </si>
  <si>
    <t>Вихров Дмитрий</t>
  </si>
  <si>
    <t>Открытая (20.06.1990)/31</t>
  </si>
  <si>
    <t>Сайфиев Огабек</t>
  </si>
  <si>
    <t>Юноши 15-19 (27.02.2004)/17</t>
  </si>
  <si>
    <t>73,80</t>
  </si>
  <si>
    <t>Бердинских Даниил</t>
  </si>
  <si>
    <t>Юноши 15-19 (12.08.2001)/19</t>
  </si>
  <si>
    <t>67,70</t>
  </si>
  <si>
    <t>Лашков Никита</t>
  </si>
  <si>
    <t>Юноши 15-19 (31.01.2006)/15</t>
  </si>
  <si>
    <t>72,10</t>
  </si>
  <si>
    <t>Рябинин Лев</t>
  </si>
  <si>
    <t>Берков Дмитрий</t>
  </si>
  <si>
    <t>Открытая (07.08.1986)/34</t>
  </si>
  <si>
    <t>73,50</t>
  </si>
  <si>
    <t>Куприяновский Алексей</t>
  </si>
  <si>
    <t>Открытая (31.01.1990)/31</t>
  </si>
  <si>
    <t>Севастов Александр</t>
  </si>
  <si>
    <t>Открытая (28.06.1989)/31</t>
  </si>
  <si>
    <t>Смирнов Анатолий</t>
  </si>
  <si>
    <t>Открытая (23.01.1991)/30</t>
  </si>
  <si>
    <t>71,50</t>
  </si>
  <si>
    <t>Колесников Дмитрий</t>
  </si>
  <si>
    <t>Открытая (26.09.1992)/28</t>
  </si>
  <si>
    <t xml:space="preserve">Берков Д. </t>
  </si>
  <si>
    <t>Миленин Станислав</t>
  </si>
  <si>
    <t xml:space="preserve">Скворцов М. </t>
  </si>
  <si>
    <t>Томинг Сергей</t>
  </si>
  <si>
    <t>69,60</t>
  </si>
  <si>
    <t>Шербоев Шавкат</t>
  </si>
  <si>
    <t>76,80</t>
  </si>
  <si>
    <t>Евсеев Михаил</t>
  </si>
  <si>
    <t>Открытая (14.12.1990)/30</t>
  </si>
  <si>
    <t>77,70</t>
  </si>
  <si>
    <t xml:space="preserve">Желтенко Е. </t>
  </si>
  <si>
    <t>Клюквин Евгений</t>
  </si>
  <si>
    <t>Открытая (04.07.1981)/39</t>
  </si>
  <si>
    <t>81,00</t>
  </si>
  <si>
    <t>Степанов Руслан</t>
  </si>
  <si>
    <t>Открытая (06.04.1978)/43</t>
  </si>
  <si>
    <t xml:space="preserve">Тихоновский О. </t>
  </si>
  <si>
    <t>Данилов Александр</t>
  </si>
  <si>
    <t>Открытая (09.11.1987)/33</t>
  </si>
  <si>
    <t>Ни Павел</t>
  </si>
  <si>
    <t>Открытая (26.09.1987)/33</t>
  </si>
  <si>
    <t>80,40</t>
  </si>
  <si>
    <t xml:space="preserve">Касько И. </t>
  </si>
  <si>
    <t>Пикта Владимир</t>
  </si>
  <si>
    <t>Открытая (05.10.1983)/37</t>
  </si>
  <si>
    <t>79,10</t>
  </si>
  <si>
    <t>Колесников Артём</t>
  </si>
  <si>
    <t>Юноши 15-19 (04.06.2002)/19</t>
  </si>
  <si>
    <t>89,90</t>
  </si>
  <si>
    <t>Филатов Алексей</t>
  </si>
  <si>
    <t>Юноши 15-19 (07.05.2002)/19</t>
  </si>
  <si>
    <t>86,70</t>
  </si>
  <si>
    <t xml:space="preserve">Лагутин Е. </t>
  </si>
  <si>
    <t>Антонов Антон</t>
  </si>
  <si>
    <t>Открытая (07.03.1989)/32</t>
  </si>
  <si>
    <t>88,60</t>
  </si>
  <si>
    <t>162,5</t>
  </si>
  <si>
    <t>Копкин Денис</t>
  </si>
  <si>
    <t>Открытая (06.10.1986)/34</t>
  </si>
  <si>
    <t>89,10</t>
  </si>
  <si>
    <t>Литвиненко Павел</t>
  </si>
  <si>
    <t>Чистяков Сергей</t>
  </si>
  <si>
    <t>84,00</t>
  </si>
  <si>
    <t>Парадиз Георгий</t>
  </si>
  <si>
    <t>88,80</t>
  </si>
  <si>
    <t>Федоров Семён</t>
  </si>
  <si>
    <t>Юноши 15-19 (03.10.2001)/19</t>
  </si>
  <si>
    <t>Саидов Миразор</t>
  </si>
  <si>
    <t>Кочуров Павел</t>
  </si>
  <si>
    <t>Открытая (04.06.1996)/25</t>
  </si>
  <si>
    <t>98,80</t>
  </si>
  <si>
    <t>Калачёв Максим</t>
  </si>
  <si>
    <t>Открытая (04.11.1982)/38</t>
  </si>
  <si>
    <t>93,90</t>
  </si>
  <si>
    <t xml:space="preserve">Емельянов Е. </t>
  </si>
  <si>
    <t>Архипов Вячеслав</t>
  </si>
  <si>
    <t>Открытая (08.02.1995)/26</t>
  </si>
  <si>
    <t xml:space="preserve">Гробовой А. </t>
  </si>
  <si>
    <t>Иванов Тимофей</t>
  </si>
  <si>
    <t>Открытая (20.09.1985)/35</t>
  </si>
  <si>
    <t>98,90</t>
  </si>
  <si>
    <t xml:space="preserve">Александров А. </t>
  </si>
  <si>
    <t>Бадаев Андрей</t>
  </si>
  <si>
    <t>Открытая (08.04.1983)/38</t>
  </si>
  <si>
    <t>Соломатин Денис</t>
  </si>
  <si>
    <t>Открытая (16.09.1988)/32</t>
  </si>
  <si>
    <t>91,80</t>
  </si>
  <si>
    <t>Безвербный Алексей</t>
  </si>
  <si>
    <t>Гранов Алексей</t>
  </si>
  <si>
    <t>Открытая (24.06.1972)/49</t>
  </si>
  <si>
    <t>Вежов Михаил</t>
  </si>
  <si>
    <t>Открытая (31.05.1988)/33</t>
  </si>
  <si>
    <t>103,50</t>
  </si>
  <si>
    <t>Рабинков Андрей</t>
  </si>
  <si>
    <t>Открытая (30.08.1983)/37</t>
  </si>
  <si>
    <t>Иванов Михаил</t>
  </si>
  <si>
    <t>Открытая (02.07.1976)/44</t>
  </si>
  <si>
    <t>121,80</t>
  </si>
  <si>
    <t>Андреев Андрей</t>
  </si>
  <si>
    <t>119,50</t>
  </si>
  <si>
    <t>Кузнецов Николай</t>
  </si>
  <si>
    <t>121,60</t>
  </si>
  <si>
    <t>Франчук Василий</t>
  </si>
  <si>
    <t>112,10</t>
  </si>
  <si>
    <t>98,4980</t>
  </si>
  <si>
    <t>82,1063</t>
  </si>
  <si>
    <t>75,0240</t>
  </si>
  <si>
    <t>94,2230</t>
  </si>
  <si>
    <t>90,4075</t>
  </si>
  <si>
    <t>84,6823</t>
  </si>
  <si>
    <t>117,0600</t>
  </si>
  <si>
    <t>116,2040</t>
  </si>
  <si>
    <t>114,7905</t>
  </si>
  <si>
    <t>139,0523</t>
  </si>
  <si>
    <t>119,7383</t>
  </si>
  <si>
    <t>115,8537</t>
  </si>
  <si>
    <t>Кравцов Константин</t>
  </si>
  <si>
    <t>Открытая (26.10.1982)/38</t>
  </si>
  <si>
    <t>247,5</t>
  </si>
  <si>
    <t>Кочнев Максим</t>
  </si>
  <si>
    <t>Открытая (05.03.1990)/31</t>
  </si>
  <si>
    <t>105,90</t>
  </si>
  <si>
    <t xml:space="preserve">Куликов М. </t>
  </si>
  <si>
    <t>Бережков Алексей</t>
  </si>
  <si>
    <t>Открытая (08.08.1982)/38</t>
  </si>
  <si>
    <t>Кузнецова Анастасия</t>
  </si>
  <si>
    <t>Открытая (08.02.1988)/33</t>
  </si>
  <si>
    <t>73,40</t>
  </si>
  <si>
    <t xml:space="preserve">Киселёв С. </t>
  </si>
  <si>
    <t>Маркова Светлана</t>
  </si>
  <si>
    <t xml:space="preserve">Аншуков А. </t>
  </si>
  <si>
    <t>Ярцев Данил</t>
  </si>
  <si>
    <t>Открытая (07.11.1992)/28</t>
  </si>
  <si>
    <t>89,70</t>
  </si>
  <si>
    <t>Ершов Олег</t>
  </si>
  <si>
    <t>Открытая (09.04.1991)/30</t>
  </si>
  <si>
    <t>74,60</t>
  </si>
  <si>
    <t xml:space="preserve">Чащин А. </t>
  </si>
  <si>
    <t>Мачановский Эдуард</t>
  </si>
  <si>
    <t>Михайлов Александр</t>
  </si>
  <si>
    <t>88,20</t>
  </si>
  <si>
    <t xml:space="preserve">Грахов Ю. </t>
  </si>
  <si>
    <t>Чернышев Дмитрий</t>
  </si>
  <si>
    <t>Открытая (22.01.1974)/47</t>
  </si>
  <si>
    <t>96,20</t>
  </si>
  <si>
    <t>330,0</t>
  </si>
  <si>
    <t>Алтухов Александр</t>
  </si>
  <si>
    <t>Открытая (31.03.1989)/32</t>
  </si>
  <si>
    <t>103,90</t>
  </si>
  <si>
    <t>Liouras Athanasios</t>
  </si>
  <si>
    <t>Открытая (07.09.1982)/38</t>
  </si>
  <si>
    <t>108,90</t>
  </si>
  <si>
    <t>Трифонова Наталия</t>
  </si>
  <si>
    <t>Открытая (05.11.1992)/28</t>
  </si>
  <si>
    <t>47,30</t>
  </si>
  <si>
    <t>Вологдина Юлия</t>
  </si>
  <si>
    <t>47,00</t>
  </si>
  <si>
    <t>Шахунц Евгения</t>
  </si>
  <si>
    <t>Открытая (14.04.1992)/29</t>
  </si>
  <si>
    <t>55,10</t>
  </si>
  <si>
    <t xml:space="preserve">Салахетдинов Э. </t>
  </si>
  <si>
    <t>Голубева Кристина</t>
  </si>
  <si>
    <t>Открытая (02.02.1990)/31</t>
  </si>
  <si>
    <t xml:space="preserve">Василенко А. </t>
  </si>
  <si>
    <t>Чикатуева Земфира</t>
  </si>
  <si>
    <t>Девушки 15-19 (09.10.2005)/15</t>
  </si>
  <si>
    <t>Балабатько Оксана</t>
  </si>
  <si>
    <t>Девушки 15-19 (24.01.2005)/16</t>
  </si>
  <si>
    <t>57,50</t>
  </si>
  <si>
    <t>Пилипюк Наталья</t>
  </si>
  <si>
    <t>Открытая (21.12.1983)/37</t>
  </si>
  <si>
    <t>57,80</t>
  </si>
  <si>
    <t>Кремлева Анна</t>
  </si>
  <si>
    <t>Открытая (22.06.1990)/31</t>
  </si>
  <si>
    <t>Селезнева Лилия</t>
  </si>
  <si>
    <t>Девушки 15-19 (02.03.2004)/17</t>
  </si>
  <si>
    <t>65,10</t>
  </si>
  <si>
    <t>Соколова Дарья</t>
  </si>
  <si>
    <t>Открытая (11.05.1994)/27</t>
  </si>
  <si>
    <t>Балеева Елена</t>
  </si>
  <si>
    <t>Открытая (03.05.1983)/38</t>
  </si>
  <si>
    <t>Латыйпов Амир</t>
  </si>
  <si>
    <t>Юноши 15-19 (17.02.2006)/15</t>
  </si>
  <si>
    <t>53,20</t>
  </si>
  <si>
    <t xml:space="preserve">Никишин С. </t>
  </si>
  <si>
    <t>Гасымов Эльтон</t>
  </si>
  <si>
    <t>Юноши 15-19 (05.06.2006)/15</t>
  </si>
  <si>
    <t>Несветаев Матвей</t>
  </si>
  <si>
    <t>Юноши 15-19 (27.01.2006)/15</t>
  </si>
  <si>
    <t>66,40</t>
  </si>
  <si>
    <t>Лукашевич Евгений</t>
  </si>
  <si>
    <t>Открытая (03.01.1994)/27</t>
  </si>
  <si>
    <t>Оларь Игорь</t>
  </si>
  <si>
    <t>Открытая (25.02.1993)/28</t>
  </si>
  <si>
    <t>Лашутин Илья</t>
  </si>
  <si>
    <t>Открытая (27.07.1986)/34</t>
  </si>
  <si>
    <t>74,70</t>
  </si>
  <si>
    <t>Абдрахманов Канат</t>
  </si>
  <si>
    <t>Юноши 15-19 (17.02.2005)/16</t>
  </si>
  <si>
    <t>Юсупов Адам</t>
  </si>
  <si>
    <t>Бурун Игорь</t>
  </si>
  <si>
    <t>Открытая (07.11.1990)/30</t>
  </si>
  <si>
    <t>Андреев Алексей</t>
  </si>
  <si>
    <t>89,30</t>
  </si>
  <si>
    <t>Марченко Эдуард</t>
  </si>
  <si>
    <t>Открытая (17.03.1992)/29</t>
  </si>
  <si>
    <t>98,10</t>
  </si>
  <si>
    <t>Джанджулия Давид</t>
  </si>
  <si>
    <t>Открытая (11.06.1988)/33</t>
  </si>
  <si>
    <t xml:space="preserve">Комков А. </t>
  </si>
  <si>
    <t>Непотюк Александр</t>
  </si>
  <si>
    <t>106,50</t>
  </si>
  <si>
    <t>Ромадов Михаил</t>
  </si>
  <si>
    <t>Открытая (27.06.1993)/27</t>
  </si>
  <si>
    <t>101,90</t>
  </si>
  <si>
    <t>Веселов Валерий</t>
  </si>
  <si>
    <t>Открытая (15.06.1983)/38</t>
  </si>
  <si>
    <t>106,60</t>
  </si>
  <si>
    <t>Мягков Евгений</t>
  </si>
  <si>
    <t>Ярошко Евгений</t>
  </si>
  <si>
    <t>Открытая (29.07.1984)/36</t>
  </si>
  <si>
    <t>116,70</t>
  </si>
  <si>
    <t>Rantos Georgios</t>
  </si>
  <si>
    <t>Открытая (14.10.1988)/32</t>
  </si>
  <si>
    <t>115,90</t>
  </si>
  <si>
    <t>216,2100</t>
  </si>
  <si>
    <t>193,2210</t>
  </si>
  <si>
    <t>176,5400</t>
  </si>
  <si>
    <t>Вежова Александра</t>
  </si>
  <si>
    <t>Открытая (15.01.1992)/29</t>
  </si>
  <si>
    <t xml:space="preserve">Мосяков М. </t>
  </si>
  <si>
    <t>Карпова Анастасия</t>
  </si>
  <si>
    <t>Открытая (04.01.1991)/30</t>
  </si>
  <si>
    <t xml:space="preserve">Бирюков С. </t>
  </si>
  <si>
    <t>Сафонова Елена</t>
  </si>
  <si>
    <t xml:space="preserve">Ковтун Е. </t>
  </si>
  <si>
    <t>Путилова Елена</t>
  </si>
  <si>
    <t>74,40</t>
  </si>
  <si>
    <t>Василенко Александр</t>
  </si>
  <si>
    <t>Открытая (09.12.1995)/25</t>
  </si>
  <si>
    <t xml:space="preserve">Солдатов А. </t>
  </si>
  <si>
    <t>Ковтун Евгений</t>
  </si>
  <si>
    <t>Открытая (21.09.1982)/38</t>
  </si>
  <si>
    <t>93,00</t>
  </si>
  <si>
    <t>Долгов Андрей</t>
  </si>
  <si>
    <t>102,60</t>
  </si>
  <si>
    <t>Открытая (11.07.1998)/22</t>
  </si>
  <si>
    <t>123,60</t>
  </si>
  <si>
    <t>Решетник Константин</t>
  </si>
  <si>
    <t>Открытая (10.03.1987)/34</t>
  </si>
  <si>
    <t>96,90</t>
  </si>
  <si>
    <t xml:space="preserve">Алышев Н. </t>
  </si>
  <si>
    <t>Мурзаханов Калимулла</t>
  </si>
  <si>
    <t>Мастера 60+ (29.07.1955)/65</t>
  </si>
  <si>
    <t>Ларионов Владимир</t>
  </si>
  <si>
    <t>Мастера 60+ (07.08.1958)/62</t>
  </si>
  <si>
    <t>103,00</t>
  </si>
  <si>
    <t xml:space="preserve">Gloss </t>
  </si>
  <si>
    <t>Шилкин Кирилл</t>
  </si>
  <si>
    <t xml:space="preserve">Петренко А. </t>
  </si>
  <si>
    <t>Горностаев Александр</t>
  </si>
  <si>
    <t>Открытая (25.04.1980)/41</t>
  </si>
  <si>
    <t xml:space="preserve">Достовалов В. </t>
  </si>
  <si>
    <t>Велес Евгений</t>
  </si>
  <si>
    <t>Открытая (09.03.1968)/53</t>
  </si>
  <si>
    <t>110,00</t>
  </si>
  <si>
    <t>Сергеев Александр</t>
  </si>
  <si>
    <t>Открытая (08.02.1979)/42</t>
  </si>
  <si>
    <t>130,00</t>
  </si>
  <si>
    <t>Терешичев Антон</t>
  </si>
  <si>
    <t>Открытая (31.03.1986)/35</t>
  </si>
  <si>
    <t>80,90</t>
  </si>
  <si>
    <t>267,5</t>
  </si>
  <si>
    <t xml:space="preserve">Громов А. </t>
  </si>
  <si>
    <t>Обрывченко Юрий</t>
  </si>
  <si>
    <t>Открытая (19.01.1987)/34</t>
  </si>
  <si>
    <t>117,90</t>
  </si>
  <si>
    <t>350,0</t>
  </si>
  <si>
    <t xml:space="preserve">Васильев Е. </t>
  </si>
  <si>
    <t>Казанцев Владимир</t>
  </si>
  <si>
    <t>Открытая (18.04.1992)/29</t>
  </si>
  <si>
    <t>134,10</t>
  </si>
  <si>
    <t>Макаренко Евгений</t>
  </si>
  <si>
    <t>Открытая (21.09.1980)/40</t>
  </si>
  <si>
    <t>Тяга</t>
  </si>
  <si>
    <t xml:space="preserve">BLR/Минск </t>
  </si>
  <si>
    <t>27,5</t>
  </si>
  <si>
    <t>Володин Денис</t>
  </si>
  <si>
    <t>Открытая (15.07.1994)/26</t>
  </si>
  <si>
    <t>83,20</t>
  </si>
  <si>
    <t>Нечай Антон</t>
  </si>
  <si>
    <t>86,40</t>
  </si>
  <si>
    <t>25,0</t>
  </si>
  <si>
    <t>Жим стоя</t>
  </si>
  <si>
    <t>Коцюбинская Жаннета</t>
  </si>
  <si>
    <t>Открытая (10.02.1990)/31</t>
  </si>
  <si>
    <t>40,5</t>
  </si>
  <si>
    <t>Гришеленок Станислав</t>
  </si>
  <si>
    <t>Открытая (14.11.1983)/37</t>
  </si>
  <si>
    <t>Голиков Михаил</t>
  </si>
  <si>
    <t>Открытая (06.11.1985)/35</t>
  </si>
  <si>
    <t>80,30</t>
  </si>
  <si>
    <t>Сербин Анатолий</t>
  </si>
  <si>
    <t>Открытая (26.07.1990)/30</t>
  </si>
  <si>
    <t>121,00</t>
  </si>
  <si>
    <t>113,0</t>
  </si>
  <si>
    <t>Федорова Татьяна</t>
  </si>
  <si>
    <t>Открытая (25.04.1990)/31</t>
  </si>
  <si>
    <t>51,90</t>
  </si>
  <si>
    <t xml:space="preserve">Руруа Т. </t>
  </si>
  <si>
    <t>Жалнина Ксения</t>
  </si>
  <si>
    <t>Дмитриев Виталий</t>
  </si>
  <si>
    <t>Открытая (26.01.1991)/30</t>
  </si>
  <si>
    <t>68,90</t>
  </si>
  <si>
    <t>Земелёв Дмитрий</t>
  </si>
  <si>
    <t>Махалов Артём</t>
  </si>
  <si>
    <t>Открытая (23.04.1992)/29</t>
  </si>
  <si>
    <t>Боровиков Артем</t>
  </si>
  <si>
    <t>82,30</t>
  </si>
  <si>
    <t xml:space="preserve">Костюченков К. </t>
  </si>
  <si>
    <t>Лебедев Иван</t>
  </si>
  <si>
    <t>Поплевкин Леонид</t>
  </si>
  <si>
    <t>85,60</t>
  </si>
  <si>
    <t xml:space="preserve">Поплевкин А. </t>
  </si>
  <si>
    <t>Машакин Олег</t>
  </si>
  <si>
    <t>Открытая (08.10.1976)/44</t>
  </si>
  <si>
    <t>Хизриев Махтимагомед</t>
  </si>
  <si>
    <t>Открытая (10.03.1973)/48</t>
  </si>
  <si>
    <t>96,00</t>
  </si>
  <si>
    <t xml:space="preserve">Коробов И. </t>
  </si>
  <si>
    <t>50,3920</t>
  </si>
  <si>
    <t>49,1738</t>
  </si>
  <si>
    <t>48,7305</t>
  </si>
  <si>
    <t>Шевчук Кирилл</t>
  </si>
  <si>
    <t>Белоусова Татьяна</t>
  </si>
  <si>
    <t>Открытая (03.02.1990)/31</t>
  </si>
  <si>
    <t>50,60</t>
  </si>
  <si>
    <t>22,5</t>
  </si>
  <si>
    <t>67,40</t>
  </si>
  <si>
    <t>Тыдыков Михаил</t>
  </si>
  <si>
    <t>Открытая (28.11.1989)/31</t>
  </si>
  <si>
    <t>Лысенко Михаил</t>
  </si>
  <si>
    <t>Открытая (12.05.1993)/28</t>
  </si>
  <si>
    <t>64,50</t>
  </si>
  <si>
    <t>Незнанов Игорь</t>
  </si>
  <si>
    <t>Открытая (08.11.1984)/36</t>
  </si>
  <si>
    <t>111,3840</t>
  </si>
  <si>
    <t>110,2325</t>
  </si>
  <si>
    <t>106,7824</t>
  </si>
  <si>
    <t>Ешчанов Алижан</t>
  </si>
  <si>
    <t>Мастера 40-49 (25.08.1974)/46</t>
  </si>
  <si>
    <t>Открытый Кубок Евпропы
IPL Пауэрлифтинг без экипировки ДК
Санкт-Петербург, 26- 27 июня 2021 года</t>
  </si>
  <si>
    <t>Открытый Кубок Евпропы
IPL Пауэрлифтинг без экипировки
Санкт-Петербург, 26- 27 июня 2021 года</t>
  </si>
  <si>
    <t>Открытый Кубок Евпропы
IPL Пауэрлифтинг в бинтах ДК
Санкт-Петербург, 26- 27 июня 2021 года</t>
  </si>
  <si>
    <t>Открытый Кубок Евпропы
IPL Пауэрлифтинг в бинтах
Санкт-Петербург, 26- 27 июня 2021 года</t>
  </si>
  <si>
    <t>Открытый Кубок Евпропы
IPL Силовое двоеборье без экипировки ДК
Санкт-Петербург, 26- 27 июня 2021 года</t>
  </si>
  <si>
    <t>Открытый Кубок Евпропы
IPL Силовое двоеборье без экипировки
Санкт-Петербург, 26- 27 июня 2021 года</t>
  </si>
  <si>
    <t>Открытый Кубок Евпропы
IPL Присед без экипировки ДК
Санкт-Петербург, 26- 27 июня 2021 года</t>
  </si>
  <si>
    <t>Открытый Кубок Евпропы
IPL Присед в бинтах
Санкт-Петербург, 26- 27 июня 2021 года</t>
  </si>
  <si>
    <t>Открытый Кубок Евпропы
IPL Жим лежа без экипировки ДК
Санкт-Петербург, 26- 27 июня 2021 года</t>
  </si>
  <si>
    <t>Открытый Кубок Евпропы
IPL Жим лежа без экипировки
Санкт-Петербург, 26- 27 июня 2021 года</t>
  </si>
  <si>
    <t>Открытый Кубок Евпропы
IPL Жим лежа в однослойной экипировке ДК
Санкт-Петербург, 26- 27 июня 2021 года</t>
  </si>
  <si>
    <t>Открытый Кубок Евпропы
IPL Жим лежа в однослойной экипировке
Санкт-Петербург, 26- 27 июня 2021 года</t>
  </si>
  <si>
    <t>Открытый Кубок Евпропы
СПР Жим лежа в однопетельной софт экипировке ДК
Санкт-Петербург, 26- 27 июня 2021 года</t>
  </si>
  <si>
    <t>Открытый Кубок Евпропы
СПР Жим лежа в однопетельной софт экипировке
Санкт-Петербург, 26- 27 июня 2021 года</t>
  </si>
  <si>
    <t>Открытый Кубок Евпропы
СПР Жим лежа в многопетельной софт экипировке ДК
Санкт-Петербург, 26- 27 июня 2021 года</t>
  </si>
  <si>
    <t>Открытый Кубок Евпропы
СПР Жим лежа в многопетельной софт экипировке
Санкт-Петербург, 26- 27 июня 2021 года</t>
  </si>
  <si>
    <t>Открытый Кубок Евпропы
IPL Становая тяга без экипировки ДК
Санкт-Петербург, 26- 27 июня 2021 года</t>
  </si>
  <si>
    <t>Открытый Кубок Евпропы
IPL Становая тяга без экипировки
Санкт-Петербург, 26- 27 июня 2021 года</t>
  </si>
  <si>
    <t>Открытый Кубок Европы
СПР Пауэрспорт ДК
Санкт-Петербург, 26- 27 июня 2021 года</t>
  </si>
  <si>
    <t>Открытый Кубок Европы
СПР Пауэрспорт
Санкт-Петербург, 26- 27 июня 2021 года</t>
  </si>
  <si>
    <t>Открытый Кубок Европы
СПР Жим штанги стоя ДК
Санкт-Петербург, 26- 27 июня 2021 года</t>
  </si>
  <si>
    <t>Открытый Кубок Европы
СПР Строгий подъем штанги на бицепс ДК
Санкт-Петербург, 26- 27 июня 2021 года</t>
  </si>
  <si>
    <t>Открытый Кубок Европы
СПР Строгий подъем штанги на бицепс
Санкт-Петербург, 26- 27 июня 2021 года</t>
  </si>
  <si>
    <t>Весовая категория</t>
  </si>
  <si>
    <t>Ярцев Д.</t>
  </si>
  <si>
    <t>Одинцов А.</t>
  </si>
  <si>
    <t>Комков А.</t>
  </si>
  <si>
    <t>Талеров А.</t>
  </si>
  <si>
    <t>Гаджиев Р.</t>
  </si>
  <si>
    <t>Одинаев А.</t>
  </si>
  <si>
    <t>Суворов А.</t>
  </si>
  <si>
    <t>Иванов Т.</t>
  </si>
  <si>
    <t>Хаткевич А.</t>
  </si>
  <si>
    <t>Васильев Е.</t>
  </si>
  <si>
    <t>Абрамов А.</t>
  </si>
  <si>
    <t>Бебенин Г.</t>
  </si>
  <si>
    <t>Дробиков А.</t>
  </si>
  <si>
    <t>Ярошко Е.</t>
  </si>
  <si>
    <t>Николаев Д.</t>
  </si>
  <si>
    <t>Здрадовская Е.</t>
  </si>
  <si>
    <t>Гущин В.</t>
  </si>
  <si>
    <t>Губжев Б.</t>
  </si>
  <si>
    <t>Боровков С.</t>
  </si>
  <si>
    <t>Балабатько И.</t>
  </si>
  <si>
    <t>Бонарь М.</t>
  </si>
  <si>
    <t>Юниорки 20-23 (09.05.1999)/22</t>
  </si>
  <si>
    <t>Юниорки 20-23 (01.09.1997)/23</t>
  </si>
  <si>
    <t>Мастера 45-49 (06.06.1972)/49</t>
  </si>
  <si>
    <t>Юниорки 20-23 (29.08.1998)/22</t>
  </si>
  <si>
    <t>Юниорки 20-23 (29.11.1999)/21</t>
  </si>
  <si>
    <t>Юниорки 20-23 (08.03.1998)/23</t>
  </si>
  <si>
    <t>Юниоры 20-23 (10.08.1999)/21</t>
  </si>
  <si>
    <t>Мастера 40-44 (26.11.1980)/40</t>
  </si>
  <si>
    <t>Мастера 40-44 (06.05.1979)/42</t>
  </si>
  <si>
    <t>Юниоры 20-23 (09.06.2000)/21</t>
  </si>
  <si>
    <t>Юниоры 20-23 (05.08.1999)/21</t>
  </si>
  <si>
    <t>Мастера 45-49 (12.03.1972)/49</t>
  </si>
  <si>
    <t>Мастера 55-59 (25.01.1965)/56</t>
  </si>
  <si>
    <t>Мастера 40-44 (18.06.1980)/41</t>
  </si>
  <si>
    <t>Мастера 40-44 (13.01.1978)/43</t>
  </si>
  <si>
    <t>Мастера 50-54 (19.12.1970)/50</t>
  </si>
  <si>
    <t>Юниоры 20-23 (22.08.1998)/22</t>
  </si>
  <si>
    <t>Мастера 45-49 (21.09.1972)/48</t>
  </si>
  <si>
    <t>Мастера 40-44 (11.07.1980)/40</t>
  </si>
  <si>
    <t>Мастера 65-69 (01.01.1956)/65</t>
  </si>
  <si>
    <t>Мастера 40-44 (01.04.1978)/43</t>
  </si>
  <si>
    <t>Мастера 50-54 (09.03.1971)/50</t>
  </si>
  <si>
    <t>Юниоры 20-23 (10.07.1997)/23</t>
  </si>
  <si>
    <t>Мастера 55-59 (17.05.1964)/57</t>
  </si>
  <si>
    <t>Мастера 55-59 (29.11.1965)/55</t>
  </si>
  <si>
    <t>Юниоры 20-23 (08.12.2000)/20</t>
  </si>
  <si>
    <t>Мастера 45-49 (25.10.1972)/48</t>
  </si>
  <si>
    <t>Мастера 40-44 (04.02.1978)/43</t>
  </si>
  <si>
    <t>Мастера 45-49 (08.11.1975)/45</t>
  </si>
  <si>
    <t>Мастера 45-49 (09.02.1972)/49</t>
  </si>
  <si>
    <t>Мастера 50-54 (13.09.1967)/53</t>
  </si>
  <si>
    <t>Юниорки 20-23 (26.10.1998)/22</t>
  </si>
  <si>
    <t>Мастера 45-49 (03.11.1974)/46</t>
  </si>
  <si>
    <t>Мастера 55-59 (06.10.1961)/59</t>
  </si>
  <si>
    <t>Юниорки 20-23 (21.10.1997)/23</t>
  </si>
  <si>
    <t>Юниоры 20-23 (01.08.1999)/21</t>
  </si>
  <si>
    <t>Юниоры 20-23 (19.08.1999)/21</t>
  </si>
  <si>
    <t>Мастера 45-49 (04.07.1975)/45</t>
  </si>
  <si>
    <t>Мастера 50-54 (09.12.1968)/52</t>
  </si>
  <si>
    <t>Юниоры 20-23 (17.11.1997)/23</t>
  </si>
  <si>
    <t>Мастера 40-44 (06.04.1978)/43</t>
  </si>
  <si>
    <t>Мастера 40-44 (17.04.1981)/40</t>
  </si>
  <si>
    <t>Мастера 40-44 (16.03.1978)/43</t>
  </si>
  <si>
    <t>Мастера 45-49 (14.05.1975)/46</t>
  </si>
  <si>
    <t>Юниоры 20-23 (08.08.1998)/22</t>
  </si>
  <si>
    <t>Мастера 45-49 (18.03.1973)/48</t>
  </si>
  <si>
    <t>Мастера 45-49 (24.06.1972)/49</t>
  </si>
  <si>
    <t>Мастера 40-44 (02.07.1976)/44</t>
  </si>
  <si>
    <t>Мастера 40-44 (29.06.1977)/43</t>
  </si>
  <si>
    <t>Мастера 40-44 (12.02.1978)/43</t>
  </si>
  <si>
    <t>Мастера 65-69 (27.08.1955)/65</t>
  </si>
  <si>
    <t xml:space="preserve">Мастера 65-69 </t>
  </si>
  <si>
    <t xml:space="preserve">Мастера 45-49 </t>
  </si>
  <si>
    <t>Мастера 70-74 (07.04.1947)/74</t>
  </si>
  <si>
    <t>Мастера 40-44 (19.07.1979)/41</t>
  </si>
  <si>
    <t>Мастера 40-44 (07.01.1980)/41</t>
  </si>
  <si>
    <t>Мастера 45-49 (29.09.1975)/45</t>
  </si>
  <si>
    <t>Мастера 55-59 (07.10.1962)/58</t>
  </si>
  <si>
    <t>Мастера 45-49 (31.03.1974)/47</t>
  </si>
  <si>
    <t>Мастера 40-44 (20.12.1979)/41</t>
  </si>
  <si>
    <t>Мастера 60-64 (09.09.1958)/62</t>
  </si>
  <si>
    <t xml:space="preserve">Мастера 60-64 </t>
  </si>
  <si>
    <t xml:space="preserve">Мастера 40-44 </t>
  </si>
  <si>
    <t>Мастера 40-49 (25.04.1980)/41</t>
  </si>
  <si>
    <t>Мастера 50-59 (09.03.1968)/53</t>
  </si>
  <si>
    <t>Мастера 40-49 (08.02.1979)/42</t>
  </si>
  <si>
    <t>Мастера 40-49 (04.07.1975)/45</t>
  </si>
  <si>
    <t>Мастера 45-49 (05.01.1973)/48</t>
  </si>
  <si>
    <t>Юниоры 20-23 (13.03.1999)/22</t>
  </si>
  <si>
    <t>Мастера 55-59 (18.02.1965)/56</t>
  </si>
  <si>
    <t>Юниоры 20-23 (05.09.1999)/21</t>
  </si>
  <si>
    <t>Мастера 40-44 (25.10.1979)/41</t>
  </si>
  <si>
    <t>Мастера 55-59 (13.09.1962)/58</t>
  </si>
  <si>
    <t>Мастера 60-64 (09.12.1958)/62</t>
  </si>
  <si>
    <t>Юниоры 20-23 (15.04.1998)/23</t>
  </si>
  <si>
    <t>Юниоры 20-23 (28.01.1999)/22</t>
  </si>
  <si>
    <t>Мастера 40-49 (07.01.1979)/42</t>
  </si>
  <si>
    <t>Мастера 40-49 (01.05.1974)/47</t>
  </si>
  <si>
    <t>Мастера 40-49 (08.10.1976)/44</t>
  </si>
  <si>
    <t>Мастера 40-49 (10.03.1973)/48</t>
  </si>
  <si>
    <t>LVA/Daugavpils</t>
  </si>
  <si>
    <t>Рябенков И.</t>
  </si>
  <si>
    <t>Макаров И.</t>
  </si>
  <si>
    <t>Таранухин Г.</t>
  </si>
  <si>
    <t>Фёдоров С.</t>
  </si>
  <si>
    <t>Алышев Н.</t>
  </si>
  <si>
    <t xml:space="preserve">Андреев Е. </t>
  </si>
  <si>
    <t>Курилович А.</t>
  </si>
  <si>
    <t>Шерман Д.</t>
  </si>
  <si>
    <t>Румянцев С.</t>
  </si>
  <si>
    <t>Gnabro Kokolou Elisee</t>
  </si>
  <si>
    <t>CIV/Yamoussoukro</t>
  </si>
  <si>
    <t>Комаров Э.</t>
  </si>
  <si>
    <t>Костылев А.</t>
  </si>
  <si>
    <t>Гогуев Р.</t>
  </si>
  <si>
    <t>Кияшко Н.</t>
  </si>
  <si>
    <t>Вежов М.</t>
  </si>
  <si>
    <t>Митрофанова Л.</t>
  </si>
  <si>
    <t>Волков А.</t>
  </si>
  <si>
    <t>Пасынков А.</t>
  </si>
  <si>
    <t>Прохоров Д.</t>
  </si>
  <si>
    <t>KAZ/Aktobe</t>
  </si>
  <si>
    <t xml:space="preserve"> ARM/Yerevan</t>
  </si>
  <si>
    <t>Парадиз Г.</t>
  </si>
  <si>
    <t>Открытый Кубок Европы
СПР Жим лежа СФО
Санкт-Петербург, 26-27 июня 2021 года</t>
  </si>
  <si>
    <t>Ловчиков А.</t>
  </si>
  <si>
    <t>Каширин А.</t>
  </si>
  <si>
    <t xml:space="preserve">Шерман Д. </t>
  </si>
  <si>
    <t>Кулишов Т.</t>
  </si>
  <si>
    <t xml:space="preserve">Балабатько И. </t>
  </si>
  <si>
    <t>Першин Д.</t>
  </si>
  <si>
    <t>Долотов Д.</t>
  </si>
  <si>
    <t>Лукашевич Е.</t>
  </si>
  <si>
    <t xml:space="preserve"> UKR/Кривой Рог</t>
  </si>
  <si>
    <t xml:space="preserve"> UKR/Одесса</t>
  </si>
  <si>
    <t>355,0</t>
  </si>
  <si>
    <t>Бирюков С.</t>
  </si>
  <si>
    <t>Жим</t>
  </si>
  <si>
    <t>№</t>
  </si>
  <si>
    <t xml:space="preserve">Надым </t>
  </si>
  <si>
    <t xml:space="preserve">Санкт-Петербург </t>
  </si>
  <si>
    <t xml:space="preserve">Пудож </t>
  </si>
  <si>
    <t xml:space="preserve"> Санкт-Петербург </t>
  </si>
  <si>
    <t xml:space="preserve">Краснодар </t>
  </si>
  <si>
    <t xml:space="preserve">Москва </t>
  </si>
  <si>
    <t xml:space="preserve"> Всеволожск </t>
  </si>
  <si>
    <t xml:space="preserve">Выборг </t>
  </si>
  <si>
    <t xml:space="preserve">Пикалёво </t>
  </si>
  <si>
    <t xml:space="preserve">Мурманск </t>
  </si>
  <si>
    <t xml:space="preserve"> Пикалево</t>
  </si>
  <si>
    <t xml:space="preserve">Питкяранта </t>
  </si>
  <si>
    <t xml:space="preserve">Тула </t>
  </si>
  <si>
    <t xml:space="preserve">Лахденпохья </t>
  </si>
  <si>
    <t xml:space="preserve"> Подпорожье </t>
  </si>
  <si>
    <t xml:space="preserve"> Сосновый Бор</t>
  </si>
  <si>
    <t xml:space="preserve">Нальчик </t>
  </si>
  <si>
    <t xml:space="preserve"> Надым </t>
  </si>
  <si>
    <t xml:space="preserve">Приозерск </t>
  </si>
  <si>
    <t xml:space="preserve"> Всеволожск</t>
  </si>
  <si>
    <t xml:space="preserve">Уфа </t>
  </si>
  <si>
    <t xml:space="preserve">Петрозаводск </t>
  </si>
  <si>
    <t xml:space="preserve">Набережные Челны </t>
  </si>
  <si>
    <t xml:space="preserve">Чита </t>
  </si>
  <si>
    <t xml:space="preserve">Дзержинск </t>
  </si>
  <si>
    <t xml:space="preserve">Кострома </t>
  </si>
  <si>
    <t xml:space="preserve">Брянск </t>
  </si>
  <si>
    <t xml:space="preserve">Электроугли </t>
  </si>
  <si>
    <t xml:space="preserve"> Кинель-Черкассы</t>
  </si>
  <si>
    <t xml:space="preserve">Сухой Лог </t>
  </si>
  <si>
    <t xml:space="preserve"> Волгоград</t>
  </si>
  <si>
    <t xml:space="preserve">Забайкальск </t>
  </si>
  <si>
    <t xml:space="preserve">Гатчина </t>
  </si>
  <si>
    <t xml:space="preserve"> Чагода </t>
  </si>
  <si>
    <t xml:space="preserve">Вологда </t>
  </si>
  <si>
    <t xml:space="preserve"> Волгоград </t>
  </si>
  <si>
    <t xml:space="preserve">Пермь </t>
  </si>
  <si>
    <t xml:space="preserve">Кронштадт </t>
  </si>
  <si>
    <t xml:space="preserve">Псков </t>
  </si>
  <si>
    <t xml:space="preserve"> Ульяновск</t>
  </si>
  <si>
    <t xml:space="preserve"> Электроугли</t>
  </si>
  <si>
    <t xml:space="preserve">Сочи </t>
  </si>
  <si>
    <t xml:space="preserve">Ростов </t>
  </si>
  <si>
    <t xml:space="preserve">Астрахань </t>
  </si>
  <si>
    <t xml:space="preserve"> Пангоды</t>
  </si>
  <si>
    <t xml:space="preserve"> Невская Дубровка</t>
  </si>
  <si>
    <t xml:space="preserve">Серпухов </t>
  </si>
  <si>
    <t xml:space="preserve">Ярославль </t>
  </si>
  <si>
    <t xml:space="preserve">Чехов </t>
  </si>
  <si>
    <t xml:space="preserve">Череповец </t>
  </si>
  <si>
    <t xml:space="preserve"> Дзержинск </t>
  </si>
  <si>
    <t xml:space="preserve">Пушкин </t>
  </si>
  <si>
    <t xml:space="preserve"> Ростов-на-Дону</t>
  </si>
  <si>
    <t>Янино-1</t>
  </si>
  <si>
    <t xml:space="preserve">Шали </t>
  </si>
  <si>
    <t xml:space="preserve"> Надым</t>
  </si>
  <si>
    <t xml:space="preserve"> Санкт-Петербург</t>
  </si>
  <si>
    <t xml:space="preserve">Сыктывкар </t>
  </si>
  <si>
    <t xml:space="preserve"> Шлиссельбург</t>
  </si>
  <si>
    <t xml:space="preserve"> Новокузнецк</t>
  </si>
  <si>
    <t xml:space="preserve">Кировск </t>
  </si>
  <si>
    <t xml:space="preserve"> Великие Луки</t>
  </si>
  <si>
    <t xml:space="preserve"> Великий Новгород</t>
  </si>
  <si>
    <t xml:space="preserve"> Гаджиево </t>
  </si>
  <si>
    <t xml:space="preserve">Люберцы </t>
  </si>
  <si>
    <t xml:space="preserve">
Дата рождения/Возраст</t>
  </si>
  <si>
    <t>Возрастная группа</t>
  </si>
  <si>
    <t>J</t>
  </si>
  <si>
    <t>O</t>
  </si>
  <si>
    <t>T</t>
  </si>
  <si>
    <t>M2</t>
  </si>
  <si>
    <t>M1</t>
  </si>
  <si>
    <t>M4</t>
  </si>
  <si>
    <t>M3</t>
  </si>
  <si>
    <t>M5</t>
  </si>
  <si>
    <t>M6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</si>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</sst>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Обычный" xfId="0" builtinId="0"/>
    <cellStyle name="Обычный 2" xfId="1" xr:uid="{2A6DCB1D-388B-8446-A704-15F745CA9D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U118"/>
  <sheetViews>
    <sheetView topLeftCell="A76" workbookViewId="0">
      <selection activeCell="E102" sqref="E10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7" style="5" customWidth="1"/>
    <col min="7" max="18" width="5.5" style="6" customWidth="1"/>
    <col min="19" max="19" width="7.83203125" style="28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41" t="s">
        <v>1030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238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1" t="s">
        <v>233</v>
      </c>
      <c r="B6" s="10" t="s">
        <v>239</v>
      </c>
      <c r="C6" s="10" t="s">
        <v>1075</v>
      </c>
      <c r="D6" s="10" t="s">
        <v>240</v>
      </c>
      <c r="E6" s="10" t="s">
        <v>1261</v>
      </c>
      <c r="F6" s="10" t="s">
        <v>1194</v>
      </c>
      <c r="G6" s="22" t="s">
        <v>17</v>
      </c>
      <c r="H6" s="22" t="s">
        <v>72</v>
      </c>
      <c r="I6" s="22" t="s">
        <v>78</v>
      </c>
      <c r="J6" s="11"/>
      <c r="K6" s="22" t="s">
        <v>64</v>
      </c>
      <c r="L6" s="22" t="s">
        <v>241</v>
      </c>
      <c r="M6" s="23" t="s">
        <v>242</v>
      </c>
      <c r="N6" s="11"/>
      <c r="O6" s="22" t="s">
        <v>30</v>
      </c>
      <c r="P6" s="22" t="s">
        <v>42</v>
      </c>
      <c r="Q6" s="22" t="s">
        <v>73</v>
      </c>
      <c r="R6" s="11"/>
      <c r="S6" s="29" t="str">
        <f>"187,5"</f>
        <v>187,5</v>
      </c>
      <c r="T6" s="11" t="str">
        <f>"266,0250"</f>
        <v>266,0250</v>
      </c>
      <c r="U6" s="10" t="s">
        <v>1054</v>
      </c>
    </row>
    <row r="7" spans="1:21">
      <c r="A7" s="15" t="s">
        <v>234</v>
      </c>
      <c r="B7" s="14" t="s">
        <v>243</v>
      </c>
      <c r="C7" s="14" t="s">
        <v>1076</v>
      </c>
      <c r="D7" s="14" t="s">
        <v>244</v>
      </c>
      <c r="E7" s="14" t="s">
        <v>1261</v>
      </c>
      <c r="F7" s="14" t="s">
        <v>1195</v>
      </c>
      <c r="G7" s="26" t="s">
        <v>72</v>
      </c>
      <c r="H7" s="26" t="s">
        <v>78</v>
      </c>
      <c r="I7" s="27" t="s">
        <v>245</v>
      </c>
      <c r="J7" s="15"/>
      <c r="K7" s="26" t="s">
        <v>965</v>
      </c>
      <c r="L7" s="27" t="s">
        <v>62</v>
      </c>
      <c r="M7" s="27" t="s">
        <v>62</v>
      </c>
      <c r="N7" s="15"/>
      <c r="O7" s="27" t="s">
        <v>78</v>
      </c>
      <c r="P7" s="26" t="s">
        <v>260</v>
      </c>
      <c r="Q7" s="26" t="s">
        <v>29</v>
      </c>
      <c r="R7" s="15"/>
      <c r="S7" s="30">
        <v>162.5</v>
      </c>
      <c r="T7" s="15" t="str">
        <f>"242,7100"</f>
        <v>242,7100</v>
      </c>
      <c r="U7" s="14" t="s">
        <v>1055</v>
      </c>
    </row>
    <row r="8" spans="1:21">
      <c r="B8" s="5" t="s">
        <v>8</v>
      </c>
    </row>
    <row r="9" spans="1:21" ht="16">
      <c r="A9" s="52" t="s">
        <v>12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11" t="s">
        <v>233</v>
      </c>
      <c r="B10" s="10" t="s">
        <v>246</v>
      </c>
      <c r="C10" s="10" t="s">
        <v>247</v>
      </c>
      <c r="D10" s="10" t="s">
        <v>248</v>
      </c>
      <c r="E10" s="10" t="s">
        <v>1262</v>
      </c>
      <c r="F10" s="10" t="s">
        <v>1195</v>
      </c>
      <c r="G10" s="22" t="s">
        <v>70</v>
      </c>
      <c r="H10" s="22" t="s">
        <v>60</v>
      </c>
      <c r="I10" s="22" t="s">
        <v>29</v>
      </c>
      <c r="J10" s="11"/>
      <c r="K10" s="22" t="s">
        <v>242</v>
      </c>
      <c r="L10" s="22" t="s">
        <v>261</v>
      </c>
      <c r="M10" s="23" t="s">
        <v>17</v>
      </c>
      <c r="N10" s="11"/>
      <c r="O10" s="22" t="s">
        <v>65</v>
      </c>
      <c r="P10" s="22" t="s">
        <v>43</v>
      </c>
      <c r="Q10" s="22" t="s">
        <v>44</v>
      </c>
      <c r="R10" s="11"/>
      <c r="S10" s="29">
        <v>220</v>
      </c>
      <c r="T10" s="11" t="str">
        <f>"300,4540"</f>
        <v>300,4540</v>
      </c>
      <c r="U10" s="10" t="s">
        <v>249</v>
      </c>
    </row>
    <row r="11" spans="1:21">
      <c r="A11" s="13" t="s">
        <v>234</v>
      </c>
      <c r="B11" s="12" t="s">
        <v>250</v>
      </c>
      <c r="C11" s="12" t="s">
        <v>251</v>
      </c>
      <c r="D11" s="12" t="s">
        <v>252</v>
      </c>
      <c r="E11" s="12" t="s">
        <v>1262</v>
      </c>
      <c r="F11" s="12" t="s">
        <v>1195</v>
      </c>
      <c r="G11" s="24" t="s">
        <v>18</v>
      </c>
      <c r="H11" s="24" t="s">
        <v>78</v>
      </c>
      <c r="I11" s="24" t="s">
        <v>59</v>
      </c>
      <c r="J11" s="13"/>
      <c r="K11" s="24" t="s">
        <v>63</v>
      </c>
      <c r="L11" s="25" t="s">
        <v>241</v>
      </c>
      <c r="M11" s="25" t="s">
        <v>241</v>
      </c>
      <c r="N11" s="13"/>
      <c r="O11" s="24" t="s">
        <v>70</v>
      </c>
      <c r="P11" s="24" t="s">
        <v>30</v>
      </c>
      <c r="Q11" s="25" t="s">
        <v>65</v>
      </c>
      <c r="R11" s="13"/>
      <c r="S11" s="31" t="str">
        <f>"180,0"</f>
        <v>180,0</v>
      </c>
      <c r="T11" s="13" t="str">
        <f>"239,8680"</f>
        <v>239,8680</v>
      </c>
      <c r="U11" s="12" t="s">
        <v>1056</v>
      </c>
    </row>
    <row r="12" spans="1:21">
      <c r="A12" s="15" t="s">
        <v>235</v>
      </c>
      <c r="B12" s="14" t="s">
        <v>253</v>
      </c>
      <c r="C12" s="14" t="s">
        <v>254</v>
      </c>
      <c r="D12" s="14" t="s">
        <v>255</v>
      </c>
      <c r="E12" s="14" t="s">
        <v>1262</v>
      </c>
      <c r="F12" s="14" t="s">
        <v>1155</v>
      </c>
      <c r="G12" s="27" t="s">
        <v>86</v>
      </c>
      <c r="H12" s="27" t="s">
        <v>86</v>
      </c>
      <c r="I12" s="27" t="s">
        <v>86</v>
      </c>
      <c r="J12" s="15"/>
      <c r="K12" s="27"/>
      <c r="L12" s="15"/>
      <c r="M12" s="15"/>
      <c r="N12" s="15"/>
      <c r="O12" s="27"/>
      <c r="P12" s="15"/>
      <c r="Q12" s="15"/>
      <c r="R12" s="15"/>
      <c r="S12" s="30">
        <v>0</v>
      </c>
      <c r="T12" s="15" t="str">
        <f>"0,0000"</f>
        <v>0,0000</v>
      </c>
      <c r="U12" s="14" t="s">
        <v>1057</v>
      </c>
    </row>
    <row r="13" spans="1:21">
      <c r="B13" s="5" t="s">
        <v>8</v>
      </c>
    </row>
    <row r="14" spans="1:21" ht="16">
      <c r="A14" s="52" t="s">
        <v>256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21">
      <c r="A15" s="11" t="s">
        <v>233</v>
      </c>
      <c r="B15" s="10" t="s">
        <v>257</v>
      </c>
      <c r="C15" s="10" t="s">
        <v>258</v>
      </c>
      <c r="D15" s="10" t="s">
        <v>259</v>
      </c>
      <c r="E15" s="10" t="s">
        <v>1262</v>
      </c>
      <c r="F15" s="10" t="s">
        <v>1194</v>
      </c>
      <c r="G15" s="22" t="s">
        <v>59</v>
      </c>
      <c r="H15" s="22" t="s">
        <v>260</v>
      </c>
      <c r="I15" s="22" t="s">
        <v>29</v>
      </c>
      <c r="J15" s="11"/>
      <c r="K15" s="22" t="s">
        <v>261</v>
      </c>
      <c r="L15" s="23" t="s">
        <v>71</v>
      </c>
      <c r="M15" s="23" t="s">
        <v>17</v>
      </c>
      <c r="N15" s="11"/>
      <c r="O15" s="22" t="s">
        <v>65</v>
      </c>
      <c r="P15" s="22" t="s">
        <v>51</v>
      </c>
      <c r="Q15" s="22" t="s">
        <v>16</v>
      </c>
      <c r="R15" s="11"/>
      <c r="S15" s="29" t="str">
        <f>"222,5"</f>
        <v>222,5</v>
      </c>
      <c r="T15" s="11" t="str">
        <f>"279,4600"</f>
        <v>279,4600</v>
      </c>
      <c r="U15" s="10" t="s">
        <v>1054</v>
      </c>
    </row>
    <row r="16" spans="1:21">
      <c r="A16" s="15" t="s">
        <v>235</v>
      </c>
      <c r="B16" s="14" t="s">
        <v>262</v>
      </c>
      <c r="C16" s="14" t="s">
        <v>263</v>
      </c>
      <c r="D16" s="14" t="s">
        <v>259</v>
      </c>
      <c r="E16" s="14" t="s">
        <v>1262</v>
      </c>
      <c r="F16" s="14" t="s">
        <v>1195</v>
      </c>
      <c r="G16" s="27" t="s">
        <v>260</v>
      </c>
      <c r="H16" s="26" t="s">
        <v>260</v>
      </c>
      <c r="I16" s="27" t="s">
        <v>60</v>
      </c>
      <c r="J16" s="15"/>
      <c r="K16" s="27" t="s">
        <v>71</v>
      </c>
      <c r="L16" s="27" t="s">
        <v>71</v>
      </c>
      <c r="M16" s="27" t="s">
        <v>71</v>
      </c>
      <c r="N16" s="15"/>
      <c r="O16" s="27"/>
      <c r="P16" s="15"/>
      <c r="Q16" s="15"/>
      <c r="R16" s="15"/>
      <c r="S16" s="30">
        <v>0</v>
      </c>
      <c r="T16" s="15" t="str">
        <f>"0,0000"</f>
        <v>0,0000</v>
      </c>
      <c r="U16" s="14" t="s">
        <v>1058</v>
      </c>
    </row>
    <row r="17" spans="1:21">
      <c r="B17" s="5" t="s">
        <v>8</v>
      </c>
    </row>
    <row r="18" spans="1:21" ht="16">
      <c r="A18" s="52" t="s">
        <v>22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>
      <c r="A19" s="11" t="s">
        <v>233</v>
      </c>
      <c r="B19" s="10" t="s">
        <v>264</v>
      </c>
      <c r="C19" s="10" t="s">
        <v>265</v>
      </c>
      <c r="D19" s="10" t="s">
        <v>266</v>
      </c>
      <c r="E19" s="10" t="s">
        <v>1263</v>
      </c>
      <c r="F19" s="10" t="s">
        <v>1196</v>
      </c>
      <c r="G19" s="22" t="s">
        <v>245</v>
      </c>
      <c r="H19" s="22" t="s">
        <v>260</v>
      </c>
      <c r="I19" s="23" t="s">
        <v>29</v>
      </c>
      <c r="J19" s="11"/>
      <c r="K19" s="22" t="s">
        <v>261</v>
      </c>
      <c r="L19" s="22" t="s">
        <v>17</v>
      </c>
      <c r="M19" s="23" t="s">
        <v>72</v>
      </c>
      <c r="N19" s="11"/>
      <c r="O19" s="22" t="s">
        <v>260</v>
      </c>
      <c r="P19" s="22" t="s">
        <v>30</v>
      </c>
      <c r="Q19" s="22" t="s">
        <v>73</v>
      </c>
      <c r="R19" s="11"/>
      <c r="S19" s="29" t="str">
        <f>"207,5"</f>
        <v>207,5</v>
      </c>
      <c r="T19" s="11" t="str">
        <f>"254,8930"</f>
        <v>254,8930</v>
      </c>
      <c r="U19" s="10" t="s">
        <v>1059</v>
      </c>
    </row>
    <row r="20" spans="1:21">
      <c r="A20" s="13" t="s">
        <v>233</v>
      </c>
      <c r="B20" s="12" t="s">
        <v>267</v>
      </c>
      <c r="C20" s="12" t="s">
        <v>268</v>
      </c>
      <c r="D20" s="12" t="s">
        <v>269</v>
      </c>
      <c r="E20" s="12" t="s">
        <v>1262</v>
      </c>
      <c r="F20" s="12" t="s">
        <v>1197</v>
      </c>
      <c r="G20" s="24" t="s">
        <v>30</v>
      </c>
      <c r="H20" s="24" t="s">
        <v>42</v>
      </c>
      <c r="I20" s="24" t="s">
        <v>65</v>
      </c>
      <c r="J20" s="13"/>
      <c r="K20" s="24" t="s">
        <v>261</v>
      </c>
      <c r="L20" s="25" t="s">
        <v>17</v>
      </c>
      <c r="M20" s="25" t="s">
        <v>17</v>
      </c>
      <c r="N20" s="13"/>
      <c r="O20" s="24" t="s">
        <v>270</v>
      </c>
      <c r="P20" s="24" t="s">
        <v>86</v>
      </c>
      <c r="Q20" s="24" t="s">
        <v>271</v>
      </c>
      <c r="R20" s="13"/>
      <c r="S20" s="31" t="str">
        <f>"252,5"</f>
        <v>252,5</v>
      </c>
      <c r="T20" s="13" t="str">
        <f>"303,0505"</f>
        <v>303,0505</v>
      </c>
      <c r="U20" s="12" t="s">
        <v>272</v>
      </c>
    </row>
    <row r="21" spans="1:21">
      <c r="A21" s="13" t="s">
        <v>234</v>
      </c>
      <c r="B21" s="12" t="s">
        <v>273</v>
      </c>
      <c r="C21" s="12" t="s">
        <v>274</v>
      </c>
      <c r="D21" s="12" t="s">
        <v>275</v>
      </c>
      <c r="E21" s="12" t="s">
        <v>1262</v>
      </c>
      <c r="F21" s="12" t="s">
        <v>1198</v>
      </c>
      <c r="G21" s="24" t="s">
        <v>30</v>
      </c>
      <c r="H21" s="24" t="s">
        <v>73</v>
      </c>
      <c r="I21" s="25" t="s">
        <v>43</v>
      </c>
      <c r="J21" s="13"/>
      <c r="K21" s="24" t="s">
        <v>17</v>
      </c>
      <c r="L21" s="25" t="s">
        <v>72</v>
      </c>
      <c r="M21" s="24" t="s">
        <v>72</v>
      </c>
      <c r="N21" s="13"/>
      <c r="O21" s="24" t="s">
        <v>73</v>
      </c>
      <c r="P21" s="24" t="s">
        <v>66</v>
      </c>
      <c r="Q21" s="24" t="s">
        <v>44</v>
      </c>
      <c r="R21" s="13"/>
      <c r="S21" s="31" t="str">
        <f>"242,5"</f>
        <v>242,5</v>
      </c>
      <c r="T21" s="13" t="str">
        <f>"289,7875"</f>
        <v>289,7875</v>
      </c>
      <c r="U21" s="12"/>
    </row>
    <row r="22" spans="1:21">
      <c r="A22" s="13" t="s">
        <v>236</v>
      </c>
      <c r="B22" s="12" t="s">
        <v>276</v>
      </c>
      <c r="C22" s="12" t="s">
        <v>277</v>
      </c>
      <c r="D22" s="12" t="s">
        <v>278</v>
      </c>
      <c r="E22" s="12" t="s">
        <v>1262</v>
      </c>
      <c r="F22" s="12" t="s">
        <v>1195</v>
      </c>
      <c r="G22" s="24" t="s">
        <v>29</v>
      </c>
      <c r="H22" s="25" t="s">
        <v>31</v>
      </c>
      <c r="I22" s="24" t="s">
        <v>31</v>
      </c>
      <c r="J22" s="13"/>
      <c r="K22" s="24" t="s">
        <v>17</v>
      </c>
      <c r="L22" s="25" t="s">
        <v>72</v>
      </c>
      <c r="M22" s="25" t="s">
        <v>72</v>
      </c>
      <c r="N22" s="13"/>
      <c r="O22" s="24" t="s">
        <v>44</v>
      </c>
      <c r="P22" s="24" t="s">
        <v>52</v>
      </c>
      <c r="Q22" s="25" t="s">
        <v>279</v>
      </c>
      <c r="R22" s="13"/>
      <c r="S22" s="31" t="str">
        <f>"240,0"</f>
        <v>240,0</v>
      </c>
      <c r="T22" s="13" t="str">
        <f>"283,1760"</f>
        <v>283,1760</v>
      </c>
      <c r="U22" s="12" t="s">
        <v>1060</v>
      </c>
    </row>
    <row r="23" spans="1:21">
      <c r="A23" s="13" t="s">
        <v>237</v>
      </c>
      <c r="B23" s="12" t="s">
        <v>280</v>
      </c>
      <c r="C23" s="12" t="s">
        <v>281</v>
      </c>
      <c r="D23" s="12" t="s">
        <v>282</v>
      </c>
      <c r="E23" s="12" t="s">
        <v>1262</v>
      </c>
      <c r="F23" s="12" t="s">
        <v>1199</v>
      </c>
      <c r="G23" s="24" t="s">
        <v>260</v>
      </c>
      <c r="H23" s="25" t="s">
        <v>30</v>
      </c>
      <c r="I23" s="24" t="s">
        <v>30</v>
      </c>
      <c r="J23" s="13"/>
      <c r="K23" s="24" t="s">
        <v>283</v>
      </c>
      <c r="L23" s="24" t="s">
        <v>64</v>
      </c>
      <c r="M23" s="25" t="s">
        <v>241</v>
      </c>
      <c r="N23" s="13"/>
      <c r="O23" s="24" t="s">
        <v>30</v>
      </c>
      <c r="P23" s="24" t="s">
        <v>65</v>
      </c>
      <c r="Q23" s="24" t="s">
        <v>44</v>
      </c>
      <c r="R23" s="13"/>
      <c r="S23" s="31" t="str">
        <f>"217,5"</f>
        <v>217,5</v>
      </c>
      <c r="T23" s="13" t="str">
        <f>"263,6752"</f>
        <v>263,6752</v>
      </c>
      <c r="U23" s="12"/>
    </row>
    <row r="24" spans="1:21">
      <c r="A24" s="15" t="s">
        <v>233</v>
      </c>
      <c r="B24" s="14" t="s">
        <v>284</v>
      </c>
      <c r="C24" s="14" t="s">
        <v>1077</v>
      </c>
      <c r="D24" s="14" t="s">
        <v>285</v>
      </c>
      <c r="E24" s="14" t="s">
        <v>1264</v>
      </c>
      <c r="F24" s="14" t="s">
        <v>1197</v>
      </c>
      <c r="G24" s="26" t="s">
        <v>30</v>
      </c>
      <c r="H24" s="26" t="s">
        <v>42</v>
      </c>
      <c r="I24" s="27" t="s">
        <v>66</v>
      </c>
      <c r="J24" s="15"/>
      <c r="K24" s="26" t="s">
        <v>17</v>
      </c>
      <c r="L24" s="27" t="s">
        <v>72</v>
      </c>
      <c r="M24" s="26" t="s">
        <v>72</v>
      </c>
      <c r="N24" s="15"/>
      <c r="O24" s="26" t="s">
        <v>86</v>
      </c>
      <c r="P24" s="26" t="s">
        <v>121</v>
      </c>
      <c r="Q24" s="27" t="s">
        <v>87</v>
      </c>
      <c r="R24" s="15"/>
      <c r="S24" s="30" t="str">
        <f>"260,0"</f>
        <v>260,0</v>
      </c>
      <c r="T24" s="15" t="str">
        <f>"346,7973"</f>
        <v>346,7973</v>
      </c>
      <c r="U24" s="14" t="s">
        <v>1061</v>
      </c>
    </row>
    <row r="25" spans="1:21">
      <c r="B25" s="5" t="s">
        <v>8</v>
      </c>
    </row>
    <row r="26" spans="1:21" ht="16">
      <c r="A26" s="52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11" t="s">
        <v>233</v>
      </c>
      <c r="B27" s="10" t="s">
        <v>286</v>
      </c>
      <c r="C27" s="10" t="s">
        <v>1078</v>
      </c>
      <c r="D27" s="10" t="s">
        <v>287</v>
      </c>
      <c r="E27" s="10" t="s">
        <v>1261</v>
      </c>
      <c r="F27" s="10" t="s">
        <v>1197</v>
      </c>
      <c r="G27" s="22" t="s">
        <v>288</v>
      </c>
      <c r="H27" s="22" t="s">
        <v>271</v>
      </c>
      <c r="I27" s="23" t="s">
        <v>121</v>
      </c>
      <c r="J27" s="11"/>
      <c r="K27" s="22" t="s">
        <v>70</v>
      </c>
      <c r="L27" s="22" t="s">
        <v>260</v>
      </c>
      <c r="M27" s="23" t="s">
        <v>60</v>
      </c>
      <c r="N27" s="11"/>
      <c r="O27" s="22" t="s">
        <v>50</v>
      </c>
      <c r="P27" s="22" t="s">
        <v>165</v>
      </c>
      <c r="Q27" s="22" t="s">
        <v>114</v>
      </c>
      <c r="R27" s="11"/>
      <c r="S27" s="29" t="str">
        <f>"345,0"</f>
        <v>345,0</v>
      </c>
      <c r="T27" s="11" t="str">
        <f>"392,2995"</f>
        <v>392,2995</v>
      </c>
      <c r="U27" s="10" t="s">
        <v>1066</v>
      </c>
    </row>
    <row r="28" spans="1:21">
      <c r="A28" s="13" t="s">
        <v>233</v>
      </c>
      <c r="B28" s="12" t="s">
        <v>286</v>
      </c>
      <c r="C28" s="12" t="s">
        <v>289</v>
      </c>
      <c r="D28" s="12" t="s">
        <v>287</v>
      </c>
      <c r="E28" s="12" t="s">
        <v>1262</v>
      </c>
      <c r="F28" s="12" t="s">
        <v>1197</v>
      </c>
      <c r="G28" s="24" t="s">
        <v>288</v>
      </c>
      <c r="H28" s="24" t="s">
        <v>271</v>
      </c>
      <c r="I28" s="25" t="s">
        <v>121</v>
      </c>
      <c r="J28" s="13"/>
      <c r="K28" s="24" t="s">
        <v>70</v>
      </c>
      <c r="L28" s="24" t="s">
        <v>260</v>
      </c>
      <c r="M28" s="25" t="s">
        <v>60</v>
      </c>
      <c r="N28" s="13"/>
      <c r="O28" s="24" t="s">
        <v>50</v>
      </c>
      <c r="P28" s="24" t="s">
        <v>165</v>
      </c>
      <c r="Q28" s="24" t="s">
        <v>114</v>
      </c>
      <c r="R28" s="13"/>
      <c r="S28" s="31" t="str">
        <f>"345,0"</f>
        <v>345,0</v>
      </c>
      <c r="T28" s="13" t="str">
        <f>"392,2995"</f>
        <v>392,2995</v>
      </c>
      <c r="U28" s="12" t="s">
        <v>1066</v>
      </c>
    </row>
    <row r="29" spans="1:21">
      <c r="A29" s="13" t="s">
        <v>234</v>
      </c>
      <c r="B29" s="12" t="s">
        <v>290</v>
      </c>
      <c r="C29" s="12" t="s">
        <v>291</v>
      </c>
      <c r="D29" s="12" t="s">
        <v>292</v>
      </c>
      <c r="E29" s="12" t="s">
        <v>1262</v>
      </c>
      <c r="F29" s="12" t="s">
        <v>1195</v>
      </c>
      <c r="G29" s="24" t="s">
        <v>65</v>
      </c>
      <c r="H29" s="24" t="s">
        <v>44</v>
      </c>
      <c r="I29" s="24" t="s">
        <v>52</v>
      </c>
      <c r="J29" s="13"/>
      <c r="K29" s="24" t="s">
        <v>59</v>
      </c>
      <c r="L29" s="24" t="s">
        <v>260</v>
      </c>
      <c r="M29" s="25" t="s">
        <v>29</v>
      </c>
      <c r="N29" s="13"/>
      <c r="O29" s="24" t="s">
        <v>20</v>
      </c>
      <c r="P29" s="25" t="s">
        <v>50</v>
      </c>
      <c r="Q29" s="25" t="s">
        <v>50</v>
      </c>
      <c r="R29" s="13"/>
      <c r="S29" s="31" t="str">
        <f>"307,5"</f>
        <v>307,5</v>
      </c>
      <c r="T29" s="13" t="str">
        <f>"343,2622"</f>
        <v>343,2622</v>
      </c>
      <c r="U29" s="12" t="s">
        <v>1062</v>
      </c>
    </row>
    <row r="30" spans="1:21">
      <c r="A30" s="13" t="s">
        <v>236</v>
      </c>
      <c r="B30" s="12" t="s">
        <v>293</v>
      </c>
      <c r="C30" s="12" t="s">
        <v>294</v>
      </c>
      <c r="D30" s="12" t="s">
        <v>295</v>
      </c>
      <c r="E30" s="12" t="s">
        <v>1262</v>
      </c>
      <c r="F30" s="12" t="s">
        <v>1200</v>
      </c>
      <c r="G30" s="25" t="s">
        <v>65</v>
      </c>
      <c r="H30" s="24" t="s">
        <v>43</v>
      </c>
      <c r="I30" s="25" t="s">
        <v>16</v>
      </c>
      <c r="J30" s="13"/>
      <c r="K30" s="24" t="s">
        <v>72</v>
      </c>
      <c r="L30" s="25" t="s">
        <v>78</v>
      </c>
      <c r="M30" s="25" t="s">
        <v>78</v>
      </c>
      <c r="N30" s="13"/>
      <c r="O30" s="25" t="s">
        <v>288</v>
      </c>
      <c r="P30" s="24" t="s">
        <v>271</v>
      </c>
      <c r="Q30" s="24" t="s">
        <v>101</v>
      </c>
      <c r="R30" s="13"/>
      <c r="S30" s="31" t="str">
        <f>"282,5"</f>
        <v>282,5</v>
      </c>
      <c r="T30" s="13" t="str">
        <f>"330,0730"</f>
        <v>330,0730</v>
      </c>
      <c r="U30" s="12" t="s">
        <v>1063</v>
      </c>
    </row>
    <row r="31" spans="1:21">
      <c r="A31" s="13" t="s">
        <v>237</v>
      </c>
      <c r="B31" s="12" t="s">
        <v>296</v>
      </c>
      <c r="C31" s="12" t="s">
        <v>254</v>
      </c>
      <c r="D31" s="12" t="s">
        <v>297</v>
      </c>
      <c r="E31" s="12" t="s">
        <v>1262</v>
      </c>
      <c r="F31" s="12" t="s">
        <v>1195</v>
      </c>
      <c r="G31" s="25" t="s">
        <v>42</v>
      </c>
      <c r="H31" s="24" t="s">
        <v>65</v>
      </c>
      <c r="I31" s="24" t="s">
        <v>43</v>
      </c>
      <c r="J31" s="13"/>
      <c r="K31" s="24" t="s">
        <v>72</v>
      </c>
      <c r="L31" s="25" t="s">
        <v>78</v>
      </c>
      <c r="M31" s="25" t="s">
        <v>78</v>
      </c>
      <c r="N31" s="13"/>
      <c r="O31" s="24" t="s">
        <v>44</v>
      </c>
      <c r="P31" s="24" t="s">
        <v>270</v>
      </c>
      <c r="Q31" s="24" t="s">
        <v>288</v>
      </c>
      <c r="R31" s="13"/>
      <c r="S31" s="31" t="str">
        <f>"260,0"</f>
        <v>260,0</v>
      </c>
      <c r="T31" s="13" t="str">
        <f>"292,5260"</f>
        <v>292,5260</v>
      </c>
      <c r="U31" s="12" t="s">
        <v>298</v>
      </c>
    </row>
    <row r="32" spans="1:21">
      <c r="A32" s="13" t="s">
        <v>462</v>
      </c>
      <c r="B32" s="12" t="s">
        <v>299</v>
      </c>
      <c r="C32" s="12" t="s">
        <v>300</v>
      </c>
      <c r="D32" s="12" t="s">
        <v>301</v>
      </c>
      <c r="E32" s="12" t="s">
        <v>1262</v>
      </c>
      <c r="F32" s="12" t="s">
        <v>1195</v>
      </c>
      <c r="G32" s="24" t="s">
        <v>260</v>
      </c>
      <c r="H32" s="25" t="s">
        <v>42</v>
      </c>
      <c r="I32" s="25" t="s">
        <v>42</v>
      </c>
      <c r="J32" s="13"/>
      <c r="K32" s="25" t="s">
        <v>17</v>
      </c>
      <c r="L32" s="24" t="s">
        <v>72</v>
      </c>
      <c r="M32" s="25" t="s">
        <v>302</v>
      </c>
      <c r="N32" s="13"/>
      <c r="O32" s="24" t="s">
        <v>43</v>
      </c>
      <c r="P32" s="25" t="s">
        <v>270</v>
      </c>
      <c r="Q32" s="25" t="s">
        <v>270</v>
      </c>
      <c r="R32" s="13"/>
      <c r="S32" s="31" t="str">
        <f>"220,0"</f>
        <v>220,0</v>
      </c>
      <c r="T32" s="13" t="str">
        <f>"247,8520"</f>
        <v>247,8520</v>
      </c>
      <c r="U32" s="12" t="s">
        <v>1064</v>
      </c>
    </row>
    <row r="33" spans="1:21">
      <c r="A33" s="13" t="s">
        <v>463</v>
      </c>
      <c r="B33" s="12" t="s">
        <v>303</v>
      </c>
      <c r="C33" s="12" t="s">
        <v>304</v>
      </c>
      <c r="D33" s="12" t="s">
        <v>305</v>
      </c>
      <c r="E33" s="12" t="s">
        <v>1262</v>
      </c>
      <c r="F33" s="12" t="s">
        <v>1196</v>
      </c>
      <c r="G33" s="24" t="s">
        <v>29</v>
      </c>
      <c r="H33" s="24" t="s">
        <v>42</v>
      </c>
      <c r="I33" s="13"/>
      <c r="J33" s="13"/>
      <c r="K33" s="24" t="s">
        <v>71</v>
      </c>
      <c r="L33" s="24" t="s">
        <v>18</v>
      </c>
      <c r="M33" s="24" t="s">
        <v>72</v>
      </c>
      <c r="N33" s="13"/>
      <c r="O33" s="24" t="s">
        <v>17</v>
      </c>
      <c r="P33" s="13"/>
      <c r="Q33" s="13"/>
      <c r="R33" s="13"/>
      <c r="S33" s="31" t="str">
        <f>"190,0"</f>
        <v>190,0</v>
      </c>
      <c r="T33" s="13" t="str">
        <f>"216,9040"</f>
        <v>216,9040</v>
      </c>
      <c r="U33" s="12" t="s">
        <v>306</v>
      </c>
    </row>
    <row r="34" spans="1:21">
      <c r="A34" s="15" t="s">
        <v>235</v>
      </c>
      <c r="B34" s="14" t="s">
        <v>307</v>
      </c>
      <c r="C34" s="14" t="s">
        <v>308</v>
      </c>
      <c r="D34" s="14" t="s">
        <v>309</v>
      </c>
      <c r="E34" s="14" t="s">
        <v>1262</v>
      </c>
      <c r="F34" s="14" t="s">
        <v>1195</v>
      </c>
      <c r="G34" s="27" t="s">
        <v>288</v>
      </c>
      <c r="H34" s="27" t="s">
        <v>121</v>
      </c>
      <c r="I34" s="27" t="s">
        <v>121</v>
      </c>
      <c r="J34" s="15"/>
      <c r="K34" s="27"/>
      <c r="L34" s="15"/>
      <c r="M34" s="15"/>
      <c r="N34" s="15"/>
      <c r="O34" s="27"/>
      <c r="P34" s="15"/>
      <c r="Q34" s="15"/>
      <c r="R34" s="15"/>
      <c r="S34" s="30">
        <v>0</v>
      </c>
      <c r="T34" s="15" t="str">
        <f>"0,0000"</f>
        <v>0,0000</v>
      </c>
      <c r="U34" s="14" t="s">
        <v>310</v>
      </c>
    </row>
    <row r="35" spans="1:21">
      <c r="B35" s="5" t="s">
        <v>8</v>
      </c>
    </row>
    <row r="36" spans="1:21" ht="16">
      <c r="A36" s="52" t="s">
        <v>55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1">
      <c r="A37" s="11" t="s">
        <v>233</v>
      </c>
      <c r="B37" s="10" t="s">
        <v>311</v>
      </c>
      <c r="C37" s="10" t="s">
        <v>312</v>
      </c>
      <c r="D37" s="10" t="s">
        <v>58</v>
      </c>
      <c r="E37" s="10" t="s">
        <v>1263</v>
      </c>
      <c r="F37" s="10" t="s">
        <v>1196</v>
      </c>
      <c r="G37" s="22" t="s">
        <v>44</v>
      </c>
      <c r="H37" s="22" t="s">
        <v>86</v>
      </c>
      <c r="I37" s="22" t="s">
        <v>19</v>
      </c>
      <c r="J37" s="11"/>
      <c r="K37" s="23" t="s">
        <v>78</v>
      </c>
      <c r="L37" s="22" t="s">
        <v>59</v>
      </c>
      <c r="M37" s="23" t="s">
        <v>60</v>
      </c>
      <c r="N37" s="11"/>
      <c r="O37" s="22" t="s">
        <v>288</v>
      </c>
      <c r="P37" s="22" t="s">
        <v>19</v>
      </c>
      <c r="Q37" s="23" t="s">
        <v>20</v>
      </c>
      <c r="R37" s="11"/>
      <c r="S37" s="29" t="str">
        <f>"315,0"</f>
        <v>315,0</v>
      </c>
      <c r="T37" s="11" t="str">
        <f>"337,9005"</f>
        <v>337,9005</v>
      </c>
      <c r="U37" s="10" t="s">
        <v>1059</v>
      </c>
    </row>
    <row r="38" spans="1:21">
      <c r="A38" s="13" t="s">
        <v>234</v>
      </c>
      <c r="B38" s="12" t="s">
        <v>313</v>
      </c>
      <c r="C38" s="12" t="s">
        <v>314</v>
      </c>
      <c r="D38" s="12" t="s">
        <v>315</v>
      </c>
      <c r="E38" s="12" t="s">
        <v>1263</v>
      </c>
      <c r="F38" s="12" t="s">
        <v>1201</v>
      </c>
      <c r="G38" s="24" t="s">
        <v>30</v>
      </c>
      <c r="H38" s="24" t="s">
        <v>65</v>
      </c>
      <c r="I38" s="25" t="s">
        <v>44</v>
      </c>
      <c r="J38" s="13"/>
      <c r="K38" s="24" t="s">
        <v>72</v>
      </c>
      <c r="L38" s="24" t="s">
        <v>302</v>
      </c>
      <c r="M38" s="24" t="s">
        <v>78</v>
      </c>
      <c r="N38" s="13"/>
      <c r="O38" s="24" t="s">
        <v>86</v>
      </c>
      <c r="P38" s="24" t="s">
        <v>19</v>
      </c>
      <c r="Q38" s="24" t="s">
        <v>316</v>
      </c>
      <c r="R38" s="13"/>
      <c r="S38" s="31" t="str">
        <f>"277,5"</f>
        <v>277,5</v>
      </c>
      <c r="T38" s="13" t="str">
        <f>"288,8220"</f>
        <v>288,8220</v>
      </c>
      <c r="U38" s="12"/>
    </row>
    <row r="39" spans="1:21">
      <c r="A39" s="13" t="s">
        <v>233</v>
      </c>
      <c r="B39" s="12" t="s">
        <v>317</v>
      </c>
      <c r="C39" s="12" t="s">
        <v>1079</v>
      </c>
      <c r="D39" s="12" t="s">
        <v>318</v>
      </c>
      <c r="E39" s="12" t="s">
        <v>1261</v>
      </c>
      <c r="F39" s="12" t="s">
        <v>1195</v>
      </c>
      <c r="G39" s="24" t="s">
        <v>52</v>
      </c>
      <c r="H39" s="24" t="s">
        <v>271</v>
      </c>
      <c r="I39" s="25" t="s">
        <v>87</v>
      </c>
      <c r="J39" s="13"/>
      <c r="K39" s="24" t="s">
        <v>18</v>
      </c>
      <c r="L39" s="24" t="s">
        <v>302</v>
      </c>
      <c r="M39" s="25" t="s">
        <v>78</v>
      </c>
      <c r="N39" s="13"/>
      <c r="O39" s="24" t="s">
        <v>271</v>
      </c>
      <c r="P39" s="24" t="s">
        <v>316</v>
      </c>
      <c r="Q39" s="24" t="s">
        <v>101</v>
      </c>
      <c r="R39" s="13"/>
      <c r="S39" s="31" t="str">
        <f>"307,5"</f>
        <v>307,5</v>
      </c>
      <c r="T39" s="13" t="str">
        <f>"316,2023"</f>
        <v>316,2023</v>
      </c>
      <c r="U39" s="12" t="s">
        <v>1065</v>
      </c>
    </row>
    <row r="40" spans="1:21">
      <c r="A40" s="13" t="s">
        <v>233</v>
      </c>
      <c r="B40" s="12" t="s">
        <v>319</v>
      </c>
      <c r="C40" s="12" t="s">
        <v>320</v>
      </c>
      <c r="D40" s="12" t="s">
        <v>321</v>
      </c>
      <c r="E40" s="12" t="s">
        <v>1262</v>
      </c>
      <c r="F40" s="12" t="s">
        <v>1197</v>
      </c>
      <c r="G40" s="24" t="s">
        <v>28</v>
      </c>
      <c r="H40" s="24" t="s">
        <v>41</v>
      </c>
      <c r="I40" s="25" t="s">
        <v>108</v>
      </c>
      <c r="J40" s="13"/>
      <c r="K40" s="24" t="s">
        <v>29</v>
      </c>
      <c r="L40" s="25" t="s">
        <v>30</v>
      </c>
      <c r="M40" s="25" t="s">
        <v>30</v>
      </c>
      <c r="N40" s="13"/>
      <c r="O40" s="24" t="s">
        <v>41</v>
      </c>
      <c r="P40" s="24" t="s">
        <v>93</v>
      </c>
      <c r="Q40" s="25" t="s">
        <v>53</v>
      </c>
      <c r="R40" s="13"/>
      <c r="S40" s="31" t="str">
        <f>"395,0"</f>
        <v>395,0</v>
      </c>
      <c r="T40" s="13" t="str">
        <f>"414,3945"</f>
        <v>414,3945</v>
      </c>
      <c r="U40" s="12" t="s">
        <v>147</v>
      </c>
    </row>
    <row r="41" spans="1:21">
      <c r="A41" s="15" t="s">
        <v>234</v>
      </c>
      <c r="B41" s="14" t="s">
        <v>322</v>
      </c>
      <c r="C41" s="14" t="s">
        <v>323</v>
      </c>
      <c r="D41" s="14" t="s">
        <v>324</v>
      </c>
      <c r="E41" s="14" t="s">
        <v>1262</v>
      </c>
      <c r="F41" s="14" t="s">
        <v>1195</v>
      </c>
      <c r="G41" s="26" t="s">
        <v>288</v>
      </c>
      <c r="H41" s="27" t="s">
        <v>86</v>
      </c>
      <c r="I41" s="27" t="s">
        <v>86</v>
      </c>
      <c r="J41" s="15"/>
      <c r="K41" s="26" t="s">
        <v>72</v>
      </c>
      <c r="L41" s="26" t="s">
        <v>78</v>
      </c>
      <c r="M41" s="27" t="s">
        <v>245</v>
      </c>
      <c r="N41" s="15"/>
      <c r="O41" s="26" t="s">
        <v>52</v>
      </c>
      <c r="P41" s="27" t="s">
        <v>271</v>
      </c>
      <c r="Q41" s="26" t="s">
        <v>121</v>
      </c>
      <c r="R41" s="15"/>
      <c r="S41" s="30" t="str">
        <f>"290,0"</f>
        <v>290,0</v>
      </c>
      <c r="T41" s="15" t="str">
        <f>"304,5870"</f>
        <v>304,5870</v>
      </c>
      <c r="U41" s="14" t="s">
        <v>1064</v>
      </c>
    </row>
    <row r="42" spans="1:21">
      <c r="B42" s="5" t="s">
        <v>8</v>
      </c>
    </row>
    <row r="43" spans="1:21" ht="16">
      <c r="A43" s="52" t="s">
        <v>89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1">
      <c r="A44" s="11" t="s">
        <v>233</v>
      </c>
      <c r="B44" s="10" t="s">
        <v>325</v>
      </c>
      <c r="C44" s="10" t="s">
        <v>1080</v>
      </c>
      <c r="D44" s="10" t="s">
        <v>326</v>
      </c>
      <c r="E44" s="10" t="s">
        <v>1261</v>
      </c>
      <c r="F44" s="10" t="s">
        <v>1195</v>
      </c>
      <c r="G44" s="22" t="s">
        <v>121</v>
      </c>
      <c r="H44" s="22" t="s">
        <v>316</v>
      </c>
      <c r="I44" s="23" t="s">
        <v>101</v>
      </c>
      <c r="J44" s="11"/>
      <c r="K44" s="23" t="s">
        <v>245</v>
      </c>
      <c r="L44" s="22" t="s">
        <v>245</v>
      </c>
      <c r="M44" s="23" t="s">
        <v>59</v>
      </c>
      <c r="N44" s="11"/>
      <c r="O44" s="22" t="s">
        <v>86</v>
      </c>
      <c r="P44" s="22" t="s">
        <v>87</v>
      </c>
      <c r="Q44" s="22" t="s">
        <v>316</v>
      </c>
      <c r="R44" s="11"/>
      <c r="S44" s="29" t="str">
        <f>"317,5"</f>
        <v>317,5</v>
      </c>
      <c r="T44" s="11" t="str">
        <f>"303,6253"</f>
        <v>303,6253</v>
      </c>
      <c r="U44" s="10" t="s">
        <v>1064</v>
      </c>
    </row>
    <row r="45" spans="1:21">
      <c r="A45" s="15" t="s">
        <v>233</v>
      </c>
      <c r="B45" s="14" t="s">
        <v>327</v>
      </c>
      <c r="C45" s="14" t="s">
        <v>328</v>
      </c>
      <c r="D45" s="14" t="s">
        <v>329</v>
      </c>
      <c r="E45" s="14" t="s">
        <v>1262</v>
      </c>
      <c r="F45" s="14" t="s">
        <v>1195</v>
      </c>
      <c r="G45" s="26" t="s">
        <v>73</v>
      </c>
      <c r="H45" s="26" t="s">
        <v>51</v>
      </c>
      <c r="I45" s="26" t="s">
        <v>16</v>
      </c>
      <c r="J45" s="15"/>
      <c r="K45" s="26" t="s">
        <v>71</v>
      </c>
      <c r="L45" s="26" t="s">
        <v>17</v>
      </c>
      <c r="M45" s="26" t="s">
        <v>18</v>
      </c>
      <c r="N45" s="15"/>
      <c r="O45" s="26" t="s">
        <v>270</v>
      </c>
      <c r="P45" s="26" t="s">
        <v>86</v>
      </c>
      <c r="Q45" s="27" t="s">
        <v>121</v>
      </c>
      <c r="R45" s="15"/>
      <c r="S45" s="30" t="str">
        <f>"270,0"</f>
        <v>270,0</v>
      </c>
      <c r="T45" s="15" t="str">
        <f>"272,9700"</f>
        <v>272,9700</v>
      </c>
      <c r="U45" s="14" t="s">
        <v>1066</v>
      </c>
    </row>
    <row r="46" spans="1:21">
      <c r="B46" s="5" t="s">
        <v>8</v>
      </c>
    </row>
    <row r="47" spans="1:21" ht="16">
      <c r="A47" s="52" t="s">
        <v>256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>
      <c r="A48" s="9" t="s">
        <v>233</v>
      </c>
      <c r="B48" s="8" t="s">
        <v>330</v>
      </c>
      <c r="C48" s="8" t="s">
        <v>331</v>
      </c>
      <c r="D48" s="8" t="s">
        <v>332</v>
      </c>
      <c r="E48" s="8" t="s">
        <v>1263</v>
      </c>
      <c r="F48" s="8" t="s">
        <v>1202</v>
      </c>
      <c r="G48" s="21" t="s">
        <v>16</v>
      </c>
      <c r="H48" s="20" t="s">
        <v>288</v>
      </c>
      <c r="I48" s="20" t="s">
        <v>288</v>
      </c>
      <c r="J48" s="9"/>
      <c r="K48" s="21" t="s">
        <v>72</v>
      </c>
      <c r="L48" s="21" t="s">
        <v>78</v>
      </c>
      <c r="M48" s="20" t="s">
        <v>245</v>
      </c>
      <c r="N48" s="9"/>
      <c r="O48" s="21" t="s">
        <v>288</v>
      </c>
      <c r="P48" s="21" t="s">
        <v>87</v>
      </c>
      <c r="Q48" s="20" t="s">
        <v>19</v>
      </c>
      <c r="R48" s="9"/>
      <c r="S48" s="32" t="str">
        <f>"285,0"</f>
        <v>285,0</v>
      </c>
      <c r="T48" s="9" t="str">
        <f>"286,0545"</f>
        <v>286,0545</v>
      </c>
      <c r="U48" s="8" t="s">
        <v>1067</v>
      </c>
    </row>
    <row r="49" spans="1:21">
      <c r="B49" s="5" t="s">
        <v>8</v>
      </c>
    </row>
    <row r="50" spans="1:21" ht="16">
      <c r="A50" s="52" t="s">
        <v>55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21">
      <c r="A51" s="11" t="s">
        <v>233</v>
      </c>
      <c r="B51" s="10" t="s">
        <v>333</v>
      </c>
      <c r="C51" s="10" t="s">
        <v>334</v>
      </c>
      <c r="D51" s="10" t="s">
        <v>335</v>
      </c>
      <c r="E51" s="10" t="s">
        <v>1263</v>
      </c>
      <c r="F51" s="10" t="s">
        <v>1203</v>
      </c>
      <c r="G51" s="22" t="s">
        <v>44</v>
      </c>
      <c r="H51" s="22" t="s">
        <v>288</v>
      </c>
      <c r="I51" s="22" t="s">
        <v>86</v>
      </c>
      <c r="J51" s="11"/>
      <c r="K51" s="22" t="s">
        <v>59</v>
      </c>
      <c r="L51" s="22" t="s">
        <v>60</v>
      </c>
      <c r="M51" s="23" t="s">
        <v>61</v>
      </c>
      <c r="N51" s="11"/>
      <c r="O51" s="22" t="s">
        <v>40</v>
      </c>
      <c r="P51" s="22" t="s">
        <v>108</v>
      </c>
      <c r="Q51" s="23" t="s">
        <v>53</v>
      </c>
      <c r="R51" s="11"/>
      <c r="S51" s="29" t="str">
        <f>"347,5"</f>
        <v>347,5</v>
      </c>
      <c r="T51" s="11" t="str">
        <f>"284,1855"</f>
        <v>284,1855</v>
      </c>
      <c r="U51" s="10"/>
    </row>
    <row r="52" spans="1:21">
      <c r="A52" s="15" t="s">
        <v>233</v>
      </c>
      <c r="B52" s="14" t="s">
        <v>336</v>
      </c>
      <c r="C52" s="14" t="s">
        <v>337</v>
      </c>
      <c r="D52" s="14" t="s">
        <v>338</v>
      </c>
      <c r="E52" s="14" t="s">
        <v>1262</v>
      </c>
      <c r="F52" s="14" t="s">
        <v>1194</v>
      </c>
      <c r="G52" s="27" t="s">
        <v>121</v>
      </c>
      <c r="H52" s="26" t="s">
        <v>19</v>
      </c>
      <c r="I52" s="27" t="s">
        <v>107</v>
      </c>
      <c r="J52" s="15"/>
      <c r="K52" s="26" t="s">
        <v>29</v>
      </c>
      <c r="L52" s="27" t="s">
        <v>30</v>
      </c>
      <c r="M52" s="27" t="s">
        <v>30</v>
      </c>
      <c r="N52" s="15"/>
      <c r="O52" s="26" t="s">
        <v>40</v>
      </c>
      <c r="P52" s="26" t="s">
        <v>108</v>
      </c>
      <c r="Q52" s="27" t="s">
        <v>53</v>
      </c>
      <c r="R52" s="15"/>
      <c r="S52" s="30" t="str">
        <f>"360,0"</f>
        <v>360,0</v>
      </c>
      <c r="T52" s="15" t="str">
        <f>"281,6280"</f>
        <v>281,6280</v>
      </c>
      <c r="U52" s="14" t="s">
        <v>1054</v>
      </c>
    </row>
    <row r="53" spans="1:21">
      <c r="B53" s="5" t="s">
        <v>8</v>
      </c>
    </row>
    <row r="54" spans="1:21" ht="16">
      <c r="A54" s="52" t="s">
        <v>89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</row>
    <row r="55" spans="1:21">
      <c r="A55" s="11" t="s">
        <v>233</v>
      </c>
      <c r="B55" s="10" t="s">
        <v>339</v>
      </c>
      <c r="C55" s="10" t="s">
        <v>340</v>
      </c>
      <c r="D55" s="10" t="s">
        <v>341</v>
      </c>
      <c r="E55" s="10" t="s">
        <v>1263</v>
      </c>
      <c r="F55" s="10" t="s">
        <v>1204</v>
      </c>
      <c r="G55" s="22" t="s">
        <v>288</v>
      </c>
      <c r="H55" s="22" t="s">
        <v>121</v>
      </c>
      <c r="I55" s="23" t="s">
        <v>19</v>
      </c>
      <c r="J55" s="11"/>
      <c r="K55" s="22" t="s">
        <v>59</v>
      </c>
      <c r="L55" s="23" t="s">
        <v>260</v>
      </c>
      <c r="M55" s="22" t="s">
        <v>260</v>
      </c>
      <c r="N55" s="11"/>
      <c r="O55" s="22" t="s">
        <v>288</v>
      </c>
      <c r="P55" s="22" t="s">
        <v>20</v>
      </c>
      <c r="Q55" s="23" t="s">
        <v>27</v>
      </c>
      <c r="R55" s="11"/>
      <c r="S55" s="29" t="str">
        <f>"320,0"</f>
        <v>320,0</v>
      </c>
      <c r="T55" s="11" t="str">
        <f>"232,8960"</f>
        <v>232,8960</v>
      </c>
      <c r="U55" s="10" t="s">
        <v>1067</v>
      </c>
    </row>
    <row r="56" spans="1:21">
      <c r="A56" s="13" t="s">
        <v>233</v>
      </c>
      <c r="B56" s="12" t="s">
        <v>342</v>
      </c>
      <c r="C56" s="12" t="s">
        <v>343</v>
      </c>
      <c r="D56" s="12" t="s">
        <v>98</v>
      </c>
      <c r="E56" s="12" t="s">
        <v>1262</v>
      </c>
      <c r="F56" s="12" t="s">
        <v>1197</v>
      </c>
      <c r="G56" s="24" t="s">
        <v>32</v>
      </c>
      <c r="H56" s="25" t="s">
        <v>181</v>
      </c>
      <c r="I56" s="25" t="s">
        <v>181</v>
      </c>
      <c r="J56" s="13"/>
      <c r="K56" s="24" t="s">
        <v>316</v>
      </c>
      <c r="L56" s="24" t="s">
        <v>101</v>
      </c>
      <c r="M56" s="25" t="s">
        <v>27</v>
      </c>
      <c r="N56" s="13"/>
      <c r="O56" s="24" t="s">
        <v>120</v>
      </c>
      <c r="P56" s="24" t="s">
        <v>158</v>
      </c>
      <c r="Q56" s="24" t="s">
        <v>83</v>
      </c>
      <c r="R56" s="13"/>
      <c r="S56" s="31" t="str">
        <f>"532,5"</f>
        <v>532,5</v>
      </c>
      <c r="T56" s="13" t="str">
        <f>"386,8080"</f>
        <v>386,8080</v>
      </c>
      <c r="U56" s="12" t="s">
        <v>344</v>
      </c>
    </row>
    <row r="57" spans="1:21">
      <c r="A57" s="13" t="s">
        <v>234</v>
      </c>
      <c r="B57" s="12" t="s">
        <v>345</v>
      </c>
      <c r="C57" s="12" t="s">
        <v>346</v>
      </c>
      <c r="D57" s="12" t="s">
        <v>347</v>
      </c>
      <c r="E57" s="12" t="s">
        <v>1262</v>
      </c>
      <c r="F57" s="12" t="s">
        <v>1205</v>
      </c>
      <c r="G57" s="24" t="s">
        <v>40</v>
      </c>
      <c r="H57" s="24" t="s">
        <v>108</v>
      </c>
      <c r="I57" s="24" t="s">
        <v>93</v>
      </c>
      <c r="J57" s="13"/>
      <c r="K57" s="24" t="s">
        <v>288</v>
      </c>
      <c r="L57" s="24" t="s">
        <v>86</v>
      </c>
      <c r="M57" s="24" t="s">
        <v>121</v>
      </c>
      <c r="N57" s="13"/>
      <c r="O57" s="24" t="s">
        <v>209</v>
      </c>
      <c r="P57" s="24" t="s">
        <v>83</v>
      </c>
      <c r="Q57" s="25" t="s">
        <v>85</v>
      </c>
      <c r="R57" s="13"/>
      <c r="S57" s="31" t="str">
        <f>"505,0"</f>
        <v>505,0</v>
      </c>
      <c r="T57" s="13" t="str">
        <f>"378,0430"</f>
        <v>378,0430</v>
      </c>
      <c r="U57" s="12" t="s">
        <v>1068</v>
      </c>
    </row>
    <row r="58" spans="1:21">
      <c r="A58" s="15" t="s">
        <v>236</v>
      </c>
      <c r="B58" s="14" t="s">
        <v>348</v>
      </c>
      <c r="C58" s="14" t="s">
        <v>349</v>
      </c>
      <c r="D58" s="14" t="s">
        <v>350</v>
      </c>
      <c r="E58" s="14" t="s">
        <v>1262</v>
      </c>
      <c r="F58" s="14" t="s">
        <v>1195</v>
      </c>
      <c r="G58" s="27" t="s">
        <v>288</v>
      </c>
      <c r="H58" s="26" t="s">
        <v>86</v>
      </c>
      <c r="I58" s="26" t="s">
        <v>271</v>
      </c>
      <c r="J58" s="15"/>
      <c r="K58" s="26" t="s">
        <v>30</v>
      </c>
      <c r="L58" s="26" t="s">
        <v>73</v>
      </c>
      <c r="M58" s="27" t="s">
        <v>65</v>
      </c>
      <c r="N58" s="15"/>
      <c r="O58" s="26" t="s">
        <v>107</v>
      </c>
      <c r="P58" s="26" t="s">
        <v>50</v>
      </c>
      <c r="Q58" s="26" t="s">
        <v>40</v>
      </c>
      <c r="R58" s="15"/>
      <c r="S58" s="30" t="str">
        <f>"355,0"</f>
        <v>355,0</v>
      </c>
      <c r="T58" s="15" t="str">
        <f>"258,9015"</f>
        <v>258,9015</v>
      </c>
      <c r="U58" s="14"/>
    </row>
    <row r="59" spans="1:21">
      <c r="B59" s="5" t="s">
        <v>8</v>
      </c>
    </row>
    <row r="60" spans="1:21" ht="16">
      <c r="A60" s="52" t="s">
        <v>79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</row>
    <row r="61" spans="1:21">
      <c r="A61" s="11" t="s">
        <v>233</v>
      </c>
      <c r="B61" s="10" t="s">
        <v>351</v>
      </c>
      <c r="C61" s="10" t="s">
        <v>352</v>
      </c>
      <c r="D61" s="10" t="s">
        <v>353</v>
      </c>
      <c r="E61" s="10" t="s">
        <v>1263</v>
      </c>
      <c r="F61" s="10" t="s">
        <v>1195</v>
      </c>
      <c r="G61" s="23" t="s">
        <v>17</v>
      </c>
      <c r="H61" s="22" t="s">
        <v>30</v>
      </c>
      <c r="I61" s="23" t="s">
        <v>121</v>
      </c>
      <c r="J61" s="11"/>
      <c r="K61" s="22" t="s">
        <v>17</v>
      </c>
      <c r="L61" s="23" t="s">
        <v>260</v>
      </c>
      <c r="M61" s="23" t="s">
        <v>260</v>
      </c>
      <c r="N61" s="11"/>
      <c r="O61" s="22" t="s">
        <v>78</v>
      </c>
      <c r="P61" s="22" t="s">
        <v>44</v>
      </c>
      <c r="Q61" s="23" t="s">
        <v>20</v>
      </c>
      <c r="R61" s="11"/>
      <c r="S61" s="29" t="str">
        <f>"230,0"</f>
        <v>230,0</v>
      </c>
      <c r="T61" s="11" t="str">
        <f>"158,2860"</f>
        <v>158,2860</v>
      </c>
      <c r="U61" s="10" t="s">
        <v>1069</v>
      </c>
    </row>
    <row r="62" spans="1:21">
      <c r="A62" s="13" t="s">
        <v>233</v>
      </c>
      <c r="B62" s="12" t="s">
        <v>354</v>
      </c>
      <c r="C62" s="12" t="s">
        <v>1081</v>
      </c>
      <c r="D62" s="12" t="s">
        <v>119</v>
      </c>
      <c r="E62" s="12" t="s">
        <v>1261</v>
      </c>
      <c r="F62" s="12" t="s">
        <v>1195</v>
      </c>
      <c r="G62" s="24" t="s">
        <v>121</v>
      </c>
      <c r="H62" s="24" t="s">
        <v>20</v>
      </c>
      <c r="I62" s="25" t="s">
        <v>39</v>
      </c>
      <c r="J62" s="13"/>
      <c r="K62" s="25" t="s">
        <v>44</v>
      </c>
      <c r="L62" s="24" t="s">
        <v>44</v>
      </c>
      <c r="M62" s="25" t="s">
        <v>270</v>
      </c>
      <c r="N62" s="13"/>
      <c r="O62" s="24" t="s">
        <v>40</v>
      </c>
      <c r="P62" s="24" t="s">
        <v>108</v>
      </c>
      <c r="Q62" s="25" t="s">
        <v>53</v>
      </c>
      <c r="R62" s="13"/>
      <c r="S62" s="31" t="str">
        <f>"390,0"</f>
        <v>390,0</v>
      </c>
      <c r="T62" s="13" t="str">
        <f>"263,9910"</f>
        <v>263,9910</v>
      </c>
      <c r="U62" s="12"/>
    </row>
    <row r="63" spans="1:21">
      <c r="A63" s="13" t="s">
        <v>233</v>
      </c>
      <c r="B63" s="12" t="s">
        <v>355</v>
      </c>
      <c r="C63" s="12" t="s">
        <v>356</v>
      </c>
      <c r="D63" s="12" t="s">
        <v>357</v>
      </c>
      <c r="E63" s="12" t="s">
        <v>1262</v>
      </c>
      <c r="F63" s="12" t="s">
        <v>1195</v>
      </c>
      <c r="G63" s="24" t="s">
        <v>113</v>
      </c>
      <c r="H63" s="24" t="s">
        <v>177</v>
      </c>
      <c r="I63" s="24" t="s">
        <v>158</v>
      </c>
      <c r="J63" s="13"/>
      <c r="K63" s="24" t="s">
        <v>101</v>
      </c>
      <c r="L63" s="24" t="s">
        <v>27</v>
      </c>
      <c r="M63" s="24" t="s">
        <v>50</v>
      </c>
      <c r="N63" s="13"/>
      <c r="O63" s="25" t="s">
        <v>100</v>
      </c>
      <c r="P63" s="24" t="s">
        <v>122</v>
      </c>
      <c r="Q63" s="24" t="s">
        <v>102</v>
      </c>
      <c r="R63" s="13"/>
      <c r="S63" s="31" t="str">
        <f>"617,5"</f>
        <v>617,5</v>
      </c>
      <c r="T63" s="13" t="str">
        <f>"419,2825"</f>
        <v>419,2825</v>
      </c>
      <c r="U63" s="12"/>
    </row>
    <row r="64" spans="1:21">
      <c r="A64" s="13" t="s">
        <v>234</v>
      </c>
      <c r="B64" s="12" t="s">
        <v>358</v>
      </c>
      <c r="C64" s="12" t="s">
        <v>359</v>
      </c>
      <c r="D64" s="12" t="s">
        <v>360</v>
      </c>
      <c r="E64" s="12" t="s">
        <v>1262</v>
      </c>
      <c r="F64" s="12" t="s">
        <v>1206</v>
      </c>
      <c r="G64" s="25" t="s">
        <v>120</v>
      </c>
      <c r="H64" s="24" t="s">
        <v>120</v>
      </c>
      <c r="I64" s="24" t="s">
        <v>46</v>
      </c>
      <c r="J64" s="13"/>
      <c r="K64" s="24" t="s">
        <v>40</v>
      </c>
      <c r="L64" s="25" t="s">
        <v>108</v>
      </c>
      <c r="M64" s="24" t="s">
        <v>108</v>
      </c>
      <c r="N64" s="13"/>
      <c r="O64" s="24" t="s">
        <v>83</v>
      </c>
      <c r="P64" s="24" t="s">
        <v>99</v>
      </c>
      <c r="Q64" s="25" t="s">
        <v>122</v>
      </c>
      <c r="R64" s="13"/>
      <c r="S64" s="31" t="str">
        <f>"605,0"</f>
        <v>605,0</v>
      </c>
      <c r="T64" s="13" t="str">
        <f>"408,9195"</f>
        <v>408,9195</v>
      </c>
      <c r="U64" s="12"/>
    </row>
    <row r="65" spans="1:21">
      <c r="A65" s="13" t="s">
        <v>236</v>
      </c>
      <c r="B65" s="12" t="s">
        <v>361</v>
      </c>
      <c r="C65" s="12" t="s">
        <v>362</v>
      </c>
      <c r="D65" s="12" t="s">
        <v>363</v>
      </c>
      <c r="E65" s="12" t="s">
        <v>1262</v>
      </c>
      <c r="F65" s="12" t="s">
        <v>1195</v>
      </c>
      <c r="G65" s="24" t="s">
        <v>32</v>
      </c>
      <c r="H65" s="24" t="s">
        <v>33</v>
      </c>
      <c r="I65" s="25" t="s">
        <v>113</v>
      </c>
      <c r="J65" s="13"/>
      <c r="K65" s="24" t="s">
        <v>52</v>
      </c>
      <c r="L65" s="24" t="s">
        <v>86</v>
      </c>
      <c r="M65" s="24" t="s">
        <v>271</v>
      </c>
      <c r="N65" s="13"/>
      <c r="O65" s="24" t="s">
        <v>32</v>
      </c>
      <c r="P65" s="24" t="s">
        <v>364</v>
      </c>
      <c r="Q65" s="25" t="s">
        <v>45</v>
      </c>
      <c r="R65" s="13"/>
      <c r="S65" s="31" t="str">
        <f>"500,0"</f>
        <v>500,0</v>
      </c>
      <c r="T65" s="13" t="str">
        <f>"337,4500"</f>
        <v>337,4500</v>
      </c>
      <c r="U65" s="12" t="s">
        <v>147</v>
      </c>
    </row>
    <row r="66" spans="1:21">
      <c r="A66" s="13" t="s">
        <v>237</v>
      </c>
      <c r="B66" s="12" t="s">
        <v>365</v>
      </c>
      <c r="C66" s="12" t="s">
        <v>366</v>
      </c>
      <c r="D66" s="12" t="s">
        <v>367</v>
      </c>
      <c r="E66" s="12" t="s">
        <v>1262</v>
      </c>
      <c r="F66" s="12" t="s">
        <v>1195</v>
      </c>
      <c r="G66" s="24" t="s">
        <v>40</v>
      </c>
      <c r="H66" s="24" t="s">
        <v>108</v>
      </c>
      <c r="I66" s="25" t="s">
        <v>53</v>
      </c>
      <c r="J66" s="13"/>
      <c r="K66" s="24" t="s">
        <v>19</v>
      </c>
      <c r="L66" s="24" t="s">
        <v>107</v>
      </c>
      <c r="M66" s="25" t="s">
        <v>39</v>
      </c>
      <c r="N66" s="13"/>
      <c r="O66" s="24" t="s">
        <v>33</v>
      </c>
      <c r="P66" s="24" t="s">
        <v>120</v>
      </c>
      <c r="Q66" s="25" t="s">
        <v>158</v>
      </c>
      <c r="R66" s="13"/>
      <c r="S66" s="31" t="str">
        <f>"495,0"</f>
        <v>495,0</v>
      </c>
      <c r="T66" s="13" t="str">
        <f>"334,3230"</f>
        <v>334,3230</v>
      </c>
      <c r="U66" s="12"/>
    </row>
    <row r="67" spans="1:21">
      <c r="A67" s="13" t="s">
        <v>462</v>
      </c>
      <c r="B67" s="12" t="s">
        <v>351</v>
      </c>
      <c r="C67" s="12" t="s">
        <v>368</v>
      </c>
      <c r="D67" s="12" t="s">
        <v>353</v>
      </c>
      <c r="E67" s="12" t="s">
        <v>1262</v>
      </c>
      <c r="F67" s="12" t="s">
        <v>1195</v>
      </c>
      <c r="G67" s="25" t="s">
        <v>17</v>
      </c>
      <c r="H67" s="24" t="s">
        <v>30</v>
      </c>
      <c r="I67" s="25" t="s">
        <v>121</v>
      </c>
      <c r="J67" s="13"/>
      <c r="K67" s="24" t="s">
        <v>17</v>
      </c>
      <c r="L67" s="25" t="s">
        <v>260</v>
      </c>
      <c r="M67" s="25" t="s">
        <v>260</v>
      </c>
      <c r="N67" s="13"/>
      <c r="O67" s="24" t="s">
        <v>78</v>
      </c>
      <c r="P67" s="24" t="s">
        <v>44</v>
      </c>
      <c r="Q67" s="25" t="s">
        <v>20</v>
      </c>
      <c r="R67" s="13"/>
      <c r="S67" s="31" t="str">
        <f>"230,0"</f>
        <v>230,0</v>
      </c>
      <c r="T67" s="13" t="str">
        <f>"158,2860"</f>
        <v>158,2860</v>
      </c>
      <c r="U67" s="12" t="s">
        <v>1069</v>
      </c>
    </row>
    <row r="68" spans="1:21">
      <c r="A68" s="13" t="s">
        <v>233</v>
      </c>
      <c r="B68" s="12" t="s">
        <v>355</v>
      </c>
      <c r="C68" s="12" t="s">
        <v>1082</v>
      </c>
      <c r="D68" s="12" t="s">
        <v>357</v>
      </c>
      <c r="E68" s="12" t="s">
        <v>1265</v>
      </c>
      <c r="F68" s="12" t="s">
        <v>1195</v>
      </c>
      <c r="G68" s="24" t="s">
        <v>113</v>
      </c>
      <c r="H68" s="24" t="s">
        <v>177</v>
      </c>
      <c r="I68" s="24" t="s">
        <v>158</v>
      </c>
      <c r="J68" s="13"/>
      <c r="K68" s="24" t="s">
        <v>101</v>
      </c>
      <c r="L68" s="24" t="s">
        <v>27</v>
      </c>
      <c r="M68" s="24" t="s">
        <v>50</v>
      </c>
      <c r="N68" s="13"/>
      <c r="O68" s="25" t="s">
        <v>100</v>
      </c>
      <c r="P68" s="24" t="s">
        <v>122</v>
      </c>
      <c r="Q68" s="24" t="s">
        <v>102</v>
      </c>
      <c r="R68" s="13"/>
      <c r="S68" s="31" t="str">
        <f>"617,5"</f>
        <v>617,5</v>
      </c>
      <c r="T68" s="13" t="str">
        <f>"419,2825"</f>
        <v>419,2825</v>
      </c>
      <c r="U68" s="12"/>
    </row>
    <row r="69" spans="1:21">
      <c r="A69" s="15" t="s">
        <v>234</v>
      </c>
      <c r="B69" s="14" t="s">
        <v>369</v>
      </c>
      <c r="C69" s="14" t="s">
        <v>1083</v>
      </c>
      <c r="D69" s="14" t="s">
        <v>370</v>
      </c>
      <c r="E69" s="14" t="s">
        <v>1265</v>
      </c>
      <c r="F69" s="14" t="s">
        <v>1195</v>
      </c>
      <c r="G69" s="26" t="s">
        <v>121</v>
      </c>
      <c r="H69" s="26" t="s">
        <v>20</v>
      </c>
      <c r="I69" s="26" t="s">
        <v>107</v>
      </c>
      <c r="J69" s="15"/>
      <c r="K69" s="26" t="s">
        <v>288</v>
      </c>
      <c r="L69" s="26" t="s">
        <v>121</v>
      </c>
      <c r="M69" s="27" t="s">
        <v>19</v>
      </c>
      <c r="N69" s="15"/>
      <c r="O69" s="26" t="s">
        <v>121</v>
      </c>
      <c r="P69" s="26" t="s">
        <v>20</v>
      </c>
      <c r="Q69" s="26" t="s">
        <v>39</v>
      </c>
      <c r="R69" s="15"/>
      <c r="S69" s="30" t="str">
        <f>"395,0"</f>
        <v>395,0</v>
      </c>
      <c r="T69" s="15" t="str">
        <f>"279,3697"</f>
        <v>279,3697</v>
      </c>
      <c r="U69" s="14"/>
    </row>
    <row r="70" spans="1:21">
      <c r="B70" s="5" t="s">
        <v>8</v>
      </c>
    </row>
    <row r="71" spans="1:21" ht="16">
      <c r="A71" s="52" t="s">
        <v>124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</row>
    <row r="72" spans="1:21">
      <c r="A72" s="11" t="s">
        <v>233</v>
      </c>
      <c r="B72" s="10" t="s">
        <v>371</v>
      </c>
      <c r="C72" s="10" t="s">
        <v>372</v>
      </c>
      <c r="D72" s="10" t="s">
        <v>373</v>
      </c>
      <c r="E72" s="10" t="s">
        <v>1263</v>
      </c>
      <c r="F72" s="10" t="s">
        <v>1207</v>
      </c>
      <c r="G72" s="22" t="s">
        <v>270</v>
      </c>
      <c r="H72" s="22" t="s">
        <v>288</v>
      </c>
      <c r="I72" s="22" t="s">
        <v>279</v>
      </c>
      <c r="J72" s="11"/>
      <c r="K72" s="22" t="s">
        <v>59</v>
      </c>
      <c r="L72" s="22" t="s">
        <v>260</v>
      </c>
      <c r="M72" s="22" t="s">
        <v>60</v>
      </c>
      <c r="N72" s="11"/>
      <c r="O72" s="22" t="s">
        <v>288</v>
      </c>
      <c r="P72" s="22" t="s">
        <v>86</v>
      </c>
      <c r="Q72" s="22" t="s">
        <v>121</v>
      </c>
      <c r="R72" s="11"/>
      <c r="S72" s="29">
        <v>305</v>
      </c>
      <c r="T72" s="11" t="str">
        <f>"198,2195"</f>
        <v>198,2195</v>
      </c>
      <c r="U72" s="10"/>
    </row>
    <row r="73" spans="1:21">
      <c r="A73" s="13" t="s">
        <v>233</v>
      </c>
      <c r="B73" s="12" t="s">
        <v>374</v>
      </c>
      <c r="C73" s="12" t="s">
        <v>1084</v>
      </c>
      <c r="D73" s="12" t="s">
        <v>375</v>
      </c>
      <c r="E73" s="12" t="s">
        <v>1261</v>
      </c>
      <c r="F73" s="12" t="s">
        <v>376</v>
      </c>
      <c r="G73" s="24" t="s">
        <v>45</v>
      </c>
      <c r="H73" s="25" t="s">
        <v>46</v>
      </c>
      <c r="I73" s="25" t="s">
        <v>46</v>
      </c>
      <c r="J73" s="13"/>
      <c r="K73" s="24" t="s">
        <v>316</v>
      </c>
      <c r="L73" s="24" t="s">
        <v>101</v>
      </c>
      <c r="M73" s="24" t="s">
        <v>27</v>
      </c>
      <c r="N73" s="13"/>
      <c r="O73" s="24" t="s">
        <v>85</v>
      </c>
      <c r="P73" s="24" t="s">
        <v>164</v>
      </c>
      <c r="Q73" s="25" t="s">
        <v>377</v>
      </c>
      <c r="R73" s="13"/>
      <c r="S73" s="31">
        <v>585</v>
      </c>
      <c r="T73" s="13" t="str">
        <f>"375,1605"</f>
        <v>375,1605</v>
      </c>
      <c r="U73" s="12"/>
    </row>
    <row r="74" spans="1:21">
      <c r="A74" s="13" t="s">
        <v>234</v>
      </c>
      <c r="B74" s="12" t="s">
        <v>378</v>
      </c>
      <c r="C74" s="12" t="s">
        <v>1085</v>
      </c>
      <c r="D74" s="12" t="s">
        <v>379</v>
      </c>
      <c r="E74" s="12" t="s">
        <v>1261</v>
      </c>
      <c r="F74" s="12" t="s">
        <v>1196</v>
      </c>
      <c r="G74" s="24" t="s">
        <v>177</v>
      </c>
      <c r="H74" s="24" t="s">
        <v>158</v>
      </c>
      <c r="I74" s="25" t="s">
        <v>83</v>
      </c>
      <c r="J74" s="13"/>
      <c r="K74" s="24" t="s">
        <v>19</v>
      </c>
      <c r="L74" s="25" t="s">
        <v>107</v>
      </c>
      <c r="M74" s="25" t="s">
        <v>107</v>
      </c>
      <c r="N74" s="13"/>
      <c r="O74" s="24" t="s">
        <v>85</v>
      </c>
      <c r="P74" s="25" t="s">
        <v>99</v>
      </c>
      <c r="Q74" s="13"/>
      <c r="R74" s="13"/>
      <c r="S74" s="31">
        <v>570</v>
      </c>
      <c r="T74" s="13" t="str">
        <f>"374,0340"</f>
        <v>374,0340</v>
      </c>
      <c r="U74" s="12" t="s">
        <v>306</v>
      </c>
    </row>
    <row r="75" spans="1:21">
      <c r="A75" s="13" t="s">
        <v>233</v>
      </c>
      <c r="B75" s="12" t="s">
        <v>374</v>
      </c>
      <c r="C75" s="12" t="s">
        <v>380</v>
      </c>
      <c r="D75" s="12" t="s">
        <v>375</v>
      </c>
      <c r="E75" s="12" t="s">
        <v>1262</v>
      </c>
      <c r="F75" s="12" t="s">
        <v>376</v>
      </c>
      <c r="G75" s="24" t="s">
        <v>45</v>
      </c>
      <c r="H75" s="25" t="s">
        <v>46</v>
      </c>
      <c r="I75" s="25" t="s">
        <v>46</v>
      </c>
      <c r="J75" s="13"/>
      <c r="K75" s="24" t="s">
        <v>316</v>
      </c>
      <c r="L75" s="24" t="s">
        <v>101</v>
      </c>
      <c r="M75" s="24" t="s">
        <v>27</v>
      </c>
      <c r="N75" s="13"/>
      <c r="O75" s="24" t="s">
        <v>85</v>
      </c>
      <c r="P75" s="24" t="s">
        <v>164</v>
      </c>
      <c r="Q75" s="25" t="s">
        <v>377</v>
      </c>
      <c r="R75" s="13"/>
      <c r="S75" s="31">
        <v>585</v>
      </c>
      <c r="T75" s="13" t="str">
        <f>"375,1605"</f>
        <v>375,1605</v>
      </c>
      <c r="U75" s="12"/>
    </row>
    <row r="76" spans="1:21">
      <c r="A76" s="13" t="s">
        <v>234</v>
      </c>
      <c r="B76" s="12" t="s">
        <v>381</v>
      </c>
      <c r="C76" s="12" t="s">
        <v>382</v>
      </c>
      <c r="D76" s="12" t="s">
        <v>383</v>
      </c>
      <c r="E76" s="12" t="s">
        <v>1262</v>
      </c>
      <c r="F76" s="12" t="s">
        <v>1195</v>
      </c>
      <c r="G76" s="24" t="s">
        <v>41</v>
      </c>
      <c r="H76" s="25" t="s">
        <v>93</v>
      </c>
      <c r="I76" s="24" t="s">
        <v>93</v>
      </c>
      <c r="J76" s="13"/>
      <c r="K76" s="24" t="s">
        <v>288</v>
      </c>
      <c r="L76" s="24" t="s">
        <v>86</v>
      </c>
      <c r="M76" s="25" t="s">
        <v>121</v>
      </c>
      <c r="N76" s="13"/>
      <c r="O76" s="24" t="s">
        <v>33</v>
      </c>
      <c r="P76" s="24" t="s">
        <v>120</v>
      </c>
      <c r="Q76" s="24" t="s">
        <v>46</v>
      </c>
      <c r="R76" s="13"/>
      <c r="S76" s="31" t="str">
        <f>"490,0"</f>
        <v>490,0</v>
      </c>
      <c r="T76" s="13" t="str">
        <f>"316,2950"</f>
        <v>316,2950</v>
      </c>
      <c r="U76" s="12" t="s">
        <v>384</v>
      </c>
    </row>
    <row r="77" spans="1:21">
      <c r="A77" s="13" t="s">
        <v>236</v>
      </c>
      <c r="B77" s="12" t="s">
        <v>385</v>
      </c>
      <c r="C77" s="12" t="s">
        <v>386</v>
      </c>
      <c r="D77" s="12" t="s">
        <v>387</v>
      </c>
      <c r="E77" s="12" t="s">
        <v>1262</v>
      </c>
      <c r="F77" s="12" t="s">
        <v>1195</v>
      </c>
      <c r="G77" s="24" t="s">
        <v>19</v>
      </c>
      <c r="H77" s="24" t="s">
        <v>107</v>
      </c>
      <c r="I77" s="24" t="s">
        <v>50</v>
      </c>
      <c r="J77" s="13"/>
      <c r="K77" s="24" t="s">
        <v>44</v>
      </c>
      <c r="L77" s="24" t="s">
        <v>288</v>
      </c>
      <c r="M77" s="24" t="s">
        <v>271</v>
      </c>
      <c r="N77" s="13"/>
      <c r="O77" s="24" t="s">
        <v>28</v>
      </c>
      <c r="P77" s="24" t="s">
        <v>108</v>
      </c>
      <c r="Q77" s="24" t="s">
        <v>53</v>
      </c>
      <c r="R77" s="13"/>
      <c r="S77" s="31" t="str">
        <f>"430,0"</f>
        <v>430,0</v>
      </c>
      <c r="T77" s="13" t="str">
        <f>"277,7370"</f>
        <v>277,7370</v>
      </c>
      <c r="U77" s="12" t="s">
        <v>1070</v>
      </c>
    </row>
    <row r="78" spans="1:21">
      <c r="A78" s="13" t="s">
        <v>233</v>
      </c>
      <c r="B78" s="12" t="s">
        <v>388</v>
      </c>
      <c r="C78" s="12" t="s">
        <v>1086</v>
      </c>
      <c r="D78" s="12" t="s">
        <v>379</v>
      </c>
      <c r="E78" s="12" t="s">
        <v>1264</v>
      </c>
      <c r="F78" s="12" t="s">
        <v>1195</v>
      </c>
      <c r="G78" s="24" t="s">
        <v>40</v>
      </c>
      <c r="H78" s="24" t="s">
        <v>108</v>
      </c>
      <c r="I78" s="13"/>
      <c r="J78" s="13"/>
      <c r="K78" s="24" t="s">
        <v>20</v>
      </c>
      <c r="L78" s="24" t="s">
        <v>107</v>
      </c>
      <c r="M78" s="24" t="s">
        <v>39</v>
      </c>
      <c r="N78" s="13"/>
      <c r="O78" s="24" t="s">
        <v>108</v>
      </c>
      <c r="P78" s="24" t="s">
        <v>53</v>
      </c>
      <c r="Q78" s="13"/>
      <c r="R78" s="13"/>
      <c r="S78" s="31" t="str">
        <f>"470,0"</f>
        <v>470,0</v>
      </c>
      <c r="T78" s="13" t="str">
        <f>"349,1246"</f>
        <v>349,1246</v>
      </c>
      <c r="U78" s="12"/>
    </row>
    <row r="79" spans="1:21">
      <c r="A79" s="15" t="s">
        <v>233</v>
      </c>
      <c r="B79" s="14" t="s">
        <v>389</v>
      </c>
      <c r="C79" s="14" t="s">
        <v>1087</v>
      </c>
      <c r="D79" s="14" t="s">
        <v>390</v>
      </c>
      <c r="E79" s="14" t="s">
        <v>1266</v>
      </c>
      <c r="F79" s="14" t="s">
        <v>1208</v>
      </c>
      <c r="G79" s="26" t="s">
        <v>40</v>
      </c>
      <c r="H79" s="26" t="s">
        <v>93</v>
      </c>
      <c r="I79" s="27" t="s">
        <v>94</v>
      </c>
      <c r="J79" s="15"/>
      <c r="K79" s="26" t="s">
        <v>44</v>
      </c>
      <c r="L79" s="26" t="s">
        <v>288</v>
      </c>
      <c r="M79" s="27" t="s">
        <v>86</v>
      </c>
      <c r="N79" s="15"/>
      <c r="O79" s="26" t="s">
        <v>120</v>
      </c>
      <c r="P79" s="26" t="s">
        <v>46</v>
      </c>
      <c r="Q79" s="26" t="s">
        <v>83</v>
      </c>
      <c r="R79" s="15"/>
      <c r="S79" s="30" t="str">
        <f>"495,0"</f>
        <v>495,0</v>
      </c>
      <c r="T79" s="15" t="str">
        <f>"406,2480"</f>
        <v>406,2480</v>
      </c>
      <c r="U79" s="14" t="s">
        <v>391</v>
      </c>
    </row>
    <row r="80" spans="1:21">
      <c r="B80" s="5" t="s">
        <v>8</v>
      </c>
    </row>
    <row r="81" spans="1:21" ht="16">
      <c r="A81" s="52" t="s">
        <v>139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21">
      <c r="A82" s="11" t="s">
        <v>233</v>
      </c>
      <c r="B82" s="10" t="s">
        <v>392</v>
      </c>
      <c r="C82" s="10" t="s">
        <v>393</v>
      </c>
      <c r="D82" s="10" t="s">
        <v>394</v>
      </c>
      <c r="E82" s="10" t="s">
        <v>1262</v>
      </c>
      <c r="F82" s="10" t="s">
        <v>1195</v>
      </c>
      <c r="G82" s="22" t="s">
        <v>83</v>
      </c>
      <c r="H82" s="22" t="s">
        <v>85</v>
      </c>
      <c r="I82" s="22" t="s">
        <v>99</v>
      </c>
      <c r="J82" s="11"/>
      <c r="K82" s="22" t="s">
        <v>93</v>
      </c>
      <c r="L82" s="22" t="s">
        <v>53</v>
      </c>
      <c r="M82" s="23" t="s">
        <v>154</v>
      </c>
      <c r="N82" s="11"/>
      <c r="O82" s="22" t="s">
        <v>85</v>
      </c>
      <c r="P82" s="22" t="s">
        <v>164</v>
      </c>
      <c r="Q82" s="22" t="s">
        <v>122</v>
      </c>
      <c r="R82" s="11"/>
      <c r="S82" s="29">
        <v>655</v>
      </c>
      <c r="T82" s="11" t="str">
        <f>"417,8900"</f>
        <v>417,8900</v>
      </c>
      <c r="U82" s="10"/>
    </row>
    <row r="83" spans="1:21">
      <c r="A83" s="13" t="s">
        <v>234</v>
      </c>
      <c r="B83" s="12" t="s">
        <v>395</v>
      </c>
      <c r="C83" s="12" t="s">
        <v>396</v>
      </c>
      <c r="D83" s="12" t="s">
        <v>397</v>
      </c>
      <c r="E83" s="12" t="s">
        <v>1262</v>
      </c>
      <c r="F83" s="12" t="s">
        <v>1196</v>
      </c>
      <c r="G83" s="24" t="s">
        <v>177</v>
      </c>
      <c r="H83" s="24" t="s">
        <v>158</v>
      </c>
      <c r="I83" s="25" t="s">
        <v>83</v>
      </c>
      <c r="J83" s="13"/>
      <c r="K83" s="24" t="s">
        <v>41</v>
      </c>
      <c r="L83" s="25" t="s">
        <v>93</v>
      </c>
      <c r="M83" s="24" t="s">
        <v>93</v>
      </c>
      <c r="N83" s="13"/>
      <c r="O83" s="24" t="s">
        <v>100</v>
      </c>
      <c r="P83" s="24" t="s">
        <v>398</v>
      </c>
      <c r="Q83" s="24" t="s">
        <v>399</v>
      </c>
      <c r="R83" s="13"/>
      <c r="S83" s="31" t="str">
        <f>"637,5"</f>
        <v>637,5</v>
      </c>
      <c r="T83" s="13" t="str">
        <f>"393,5925"</f>
        <v>393,5925</v>
      </c>
      <c r="U83" s="12"/>
    </row>
    <row r="84" spans="1:21">
      <c r="A84" s="13" t="s">
        <v>236</v>
      </c>
      <c r="B84" s="12" t="s">
        <v>400</v>
      </c>
      <c r="C84" s="12" t="s">
        <v>401</v>
      </c>
      <c r="D84" s="12" t="s">
        <v>402</v>
      </c>
      <c r="E84" s="12" t="s">
        <v>1262</v>
      </c>
      <c r="F84" s="12" t="s">
        <v>1197</v>
      </c>
      <c r="G84" s="24" t="s">
        <v>158</v>
      </c>
      <c r="H84" s="24" t="s">
        <v>116</v>
      </c>
      <c r="I84" s="24" t="s">
        <v>85</v>
      </c>
      <c r="J84" s="13"/>
      <c r="K84" s="24" t="s">
        <v>41</v>
      </c>
      <c r="L84" s="24" t="s">
        <v>108</v>
      </c>
      <c r="M84" s="25" t="s">
        <v>93</v>
      </c>
      <c r="N84" s="13"/>
      <c r="O84" s="24" t="s">
        <v>84</v>
      </c>
      <c r="P84" s="24" t="s">
        <v>99</v>
      </c>
      <c r="Q84" s="24" t="s">
        <v>403</v>
      </c>
      <c r="R84" s="13"/>
      <c r="S84" s="31" t="str">
        <f>"632,5"</f>
        <v>632,5</v>
      </c>
      <c r="T84" s="13" t="str">
        <f>"388,4815"</f>
        <v>388,4815</v>
      </c>
      <c r="U84" s="12"/>
    </row>
    <row r="85" spans="1:21">
      <c r="A85" s="13" t="s">
        <v>237</v>
      </c>
      <c r="B85" s="12" t="s">
        <v>404</v>
      </c>
      <c r="C85" s="12" t="s">
        <v>405</v>
      </c>
      <c r="D85" s="12" t="s">
        <v>406</v>
      </c>
      <c r="E85" s="12" t="s">
        <v>1262</v>
      </c>
      <c r="F85" s="12" t="s">
        <v>1209</v>
      </c>
      <c r="G85" s="24" t="s">
        <v>83</v>
      </c>
      <c r="H85" s="24" t="s">
        <v>136</v>
      </c>
      <c r="I85" s="25" t="s">
        <v>99</v>
      </c>
      <c r="J85" s="13"/>
      <c r="K85" s="24" t="s">
        <v>108</v>
      </c>
      <c r="L85" s="24" t="s">
        <v>93</v>
      </c>
      <c r="M85" s="25" t="s">
        <v>53</v>
      </c>
      <c r="N85" s="13"/>
      <c r="O85" s="24" t="s">
        <v>83</v>
      </c>
      <c r="P85" s="24" t="s">
        <v>85</v>
      </c>
      <c r="Q85" s="24" t="s">
        <v>163</v>
      </c>
      <c r="R85" s="13"/>
      <c r="S85" s="31" t="str">
        <f>"630,0"</f>
        <v>630,0</v>
      </c>
      <c r="T85" s="13" t="str">
        <f>"395,3880"</f>
        <v>395,3880</v>
      </c>
      <c r="U85" s="12"/>
    </row>
    <row r="86" spans="1:21">
      <c r="A86" s="13" t="s">
        <v>462</v>
      </c>
      <c r="B86" s="12" t="s">
        <v>407</v>
      </c>
      <c r="C86" s="12" t="s">
        <v>408</v>
      </c>
      <c r="D86" s="12" t="s">
        <v>142</v>
      </c>
      <c r="E86" s="12" t="s">
        <v>1262</v>
      </c>
      <c r="F86" s="12" t="s">
        <v>1197</v>
      </c>
      <c r="G86" s="24" t="s">
        <v>120</v>
      </c>
      <c r="H86" s="24" t="s">
        <v>158</v>
      </c>
      <c r="I86" s="24" t="s">
        <v>83</v>
      </c>
      <c r="J86" s="13"/>
      <c r="K86" s="24" t="s">
        <v>20</v>
      </c>
      <c r="L86" s="24" t="s">
        <v>39</v>
      </c>
      <c r="M86" s="25" t="s">
        <v>50</v>
      </c>
      <c r="N86" s="13"/>
      <c r="O86" s="24" t="s">
        <v>83</v>
      </c>
      <c r="P86" s="24" t="s">
        <v>85</v>
      </c>
      <c r="Q86" s="24" t="s">
        <v>99</v>
      </c>
      <c r="R86" s="13"/>
      <c r="S86" s="31" t="str">
        <f>"595,0"</f>
        <v>595,0</v>
      </c>
      <c r="T86" s="13" t="str">
        <f>"363,4260"</f>
        <v>363,4260</v>
      </c>
      <c r="U86" s="12" t="s">
        <v>147</v>
      </c>
    </row>
    <row r="87" spans="1:21">
      <c r="A87" s="13" t="s">
        <v>463</v>
      </c>
      <c r="B87" s="12" t="s">
        <v>409</v>
      </c>
      <c r="C87" s="12" t="s">
        <v>410</v>
      </c>
      <c r="D87" s="12" t="s">
        <v>411</v>
      </c>
      <c r="E87" s="12" t="s">
        <v>1262</v>
      </c>
      <c r="F87" s="12" t="s">
        <v>1210</v>
      </c>
      <c r="G87" s="24" t="s">
        <v>94</v>
      </c>
      <c r="H87" s="24" t="s">
        <v>364</v>
      </c>
      <c r="I87" s="24" t="s">
        <v>120</v>
      </c>
      <c r="J87" s="13"/>
      <c r="K87" s="24" t="s">
        <v>50</v>
      </c>
      <c r="L87" s="25" t="s">
        <v>412</v>
      </c>
      <c r="M87" s="13"/>
      <c r="N87" s="13"/>
      <c r="O87" s="24" t="s">
        <v>84</v>
      </c>
      <c r="P87" s="25" t="s">
        <v>100</v>
      </c>
      <c r="Q87" s="24" t="s">
        <v>100</v>
      </c>
      <c r="R87" s="13"/>
      <c r="S87" s="31" t="str">
        <f>"582,5"</f>
        <v>582,5</v>
      </c>
      <c r="T87" s="13" t="str">
        <f>"357,1307"</f>
        <v>357,1307</v>
      </c>
      <c r="U87" s="12" t="s">
        <v>1071</v>
      </c>
    </row>
    <row r="88" spans="1:21">
      <c r="A88" s="13" t="s">
        <v>464</v>
      </c>
      <c r="B88" s="12" t="s">
        <v>413</v>
      </c>
      <c r="C88" s="12" t="s">
        <v>414</v>
      </c>
      <c r="D88" s="12" t="s">
        <v>415</v>
      </c>
      <c r="E88" s="12" t="s">
        <v>1262</v>
      </c>
      <c r="F88" s="12" t="s">
        <v>1195</v>
      </c>
      <c r="G88" s="24" t="s">
        <v>53</v>
      </c>
      <c r="H88" s="24" t="s">
        <v>32</v>
      </c>
      <c r="I88" s="24" t="s">
        <v>33</v>
      </c>
      <c r="J88" s="13"/>
      <c r="K88" s="24" t="s">
        <v>86</v>
      </c>
      <c r="L88" s="24" t="s">
        <v>19</v>
      </c>
      <c r="M88" s="25" t="s">
        <v>101</v>
      </c>
      <c r="N88" s="13"/>
      <c r="O88" s="24" t="s">
        <v>85</v>
      </c>
      <c r="P88" s="24" t="s">
        <v>164</v>
      </c>
      <c r="Q88" s="24" t="s">
        <v>377</v>
      </c>
      <c r="R88" s="13"/>
      <c r="S88" s="31" t="str">
        <f>"570,0"</f>
        <v>570,0</v>
      </c>
      <c r="T88" s="13" t="str">
        <f>"356,8200"</f>
        <v>356,8200</v>
      </c>
      <c r="U88" s="12" t="s">
        <v>1156</v>
      </c>
    </row>
    <row r="89" spans="1:21">
      <c r="A89" s="13" t="s">
        <v>465</v>
      </c>
      <c r="B89" s="12" t="s">
        <v>416</v>
      </c>
      <c r="C89" s="12" t="s">
        <v>417</v>
      </c>
      <c r="D89" s="12" t="s">
        <v>418</v>
      </c>
      <c r="E89" s="12" t="s">
        <v>1262</v>
      </c>
      <c r="F89" s="12" t="s">
        <v>1197</v>
      </c>
      <c r="G89" s="24" t="s">
        <v>53</v>
      </c>
      <c r="H89" s="24" t="s">
        <v>95</v>
      </c>
      <c r="I89" s="25" t="s">
        <v>109</v>
      </c>
      <c r="J89" s="13"/>
      <c r="K89" s="24" t="s">
        <v>19</v>
      </c>
      <c r="L89" s="25" t="s">
        <v>20</v>
      </c>
      <c r="M89" s="24" t="s">
        <v>20</v>
      </c>
      <c r="N89" s="13"/>
      <c r="O89" s="24" t="s">
        <v>46</v>
      </c>
      <c r="P89" s="24" t="s">
        <v>83</v>
      </c>
      <c r="Q89" s="13"/>
      <c r="R89" s="13"/>
      <c r="S89" s="31" t="str">
        <f>"527,5"</f>
        <v>527,5</v>
      </c>
      <c r="T89" s="13" t="str">
        <f>"321,8277"</f>
        <v>321,8277</v>
      </c>
      <c r="U89" s="12" t="s">
        <v>272</v>
      </c>
    </row>
    <row r="90" spans="1:21">
      <c r="A90" s="13" t="s">
        <v>466</v>
      </c>
      <c r="B90" s="12" t="s">
        <v>419</v>
      </c>
      <c r="C90" s="12" t="s">
        <v>420</v>
      </c>
      <c r="D90" s="12" t="s">
        <v>150</v>
      </c>
      <c r="E90" s="12" t="s">
        <v>1262</v>
      </c>
      <c r="F90" s="12" t="s">
        <v>1211</v>
      </c>
      <c r="G90" s="24" t="s">
        <v>39</v>
      </c>
      <c r="H90" s="24" t="s">
        <v>40</v>
      </c>
      <c r="I90" s="25" t="s">
        <v>108</v>
      </c>
      <c r="J90" s="13"/>
      <c r="K90" s="24" t="s">
        <v>52</v>
      </c>
      <c r="L90" s="24" t="s">
        <v>279</v>
      </c>
      <c r="M90" s="25" t="s">
        <v>271</v>
      </c>
      <c r="N90" s="13"/>
      <c r="O90" s="24" t="s">
        <v>33</v>
      </c>
      <c r="P90" s="24" t="s">
        <v>120</v>
      </c>
      <c r="Q90" s="25" t="s">
        <v>46</v>
      </c>
      <c r="R90" s="13"/>
      <c r="S90" s="31" t="str">
        <f>"462,5"</f>
        <v>462,5</v>
      </c>
      <c r="T90" s="13" t="str">
        <f>"285,4550"</f>
        <v>285,4550</v>
      </c>
      <c r="U90" s="12" t="s">
        <v>1054</v>
      </c>
    </row>
    <row r="91" spans="1:21">
      <c r="A91" s="15" t="s">
        <v>235</v>
      </c>
      <c r="B91" s="14" t="s">
        <v>421</v>
      </c>
      <c r="C91" s="14" t="s">
        <v>422</v>
      </c>
      <c r="D91" s="14" t="s">
        <v>423</v>
      </c>
      <c r="E91" s="14" t="s">
        <v>1262</v>
      </c>
      <c r="F91" s="14" t="s">
        <v>1195</v>
      </c>
      <c r="G91" s="27" t="s">
        <v>33</v>
      </c>
      <c r="H91" s="27" t="s">
        <v>120</v>
      </c>
      <c r="I91" s="27" t="s">
        <v>120</v>
      </c>
      <c r="J91" s="15"/>
      <c r="K91" s="27"/>
      <c r="L91" s="15"/>
      <c r="M91" s="15"/>
      <c r="N91" s="15"/>
      <c r="O91" s="27"/>
      <c r="P91" s="15"/>
      <c r="Q91" s="15"/>
      <c r="R91" s="15"/>
      <c r="S91" s="30">
        <v>0</v>
      </c>
      <c r="T91" s="15" t="str">
        <f>"0,0000"</f>
        <v>0,0000</v>
      </c>
      <c r="U91" s="14" t="s">
        <v>1072</v>
      </c>
    </row>
    <row r="92" spans="1:21">
      <c r="B92" s="5" t="s">
        <v>8</v>
      </c>
    </row>
    <row r="93" spans="1:21" ht="16">
      <c r="A93" s="52" t="s">
        <v>169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</row>
    <row r="94" spans="1:21">
      <c r="A94" s="11" t="s">
        <v>233</v>
      </c>
      <c r="B94" s="10" t="s">
        <v>424</v>
      </c>
      <c r="C94" s="10" t="s">
        <v>425</v>
      </c>
      <c r="D94" s="10" t="s">
        <v>426</v>
      </c>
      <c r="E94" s="10" t="s">
        <v>1263</v>
      </c>
      <c r="F94" s="10" t="s">
        <v>1202</v>
      </c>
      <c r="G94" s="22" t="s">
        <v>41</v>
      </c>
      <c r="H94" s="23" t="s">
        <v>93</v>
      </c>
      <c r="I94" s="22" t="s">
        <v>93</v>
      </c>
      <c r="J94" s="11"/>
      <c r="K94" s="22" t="s">
        <v>44</v>
      </c>
      <c r="L94" s="22" t="s">
        <v>52</v>
      </c>
      <c r="M94" s="22" t="s">
        <v>288</v>
      </c>
      <c r="N94" s="11"/>
      <c r="O94" s="22" t="s">
        <v>109</v>
      </c>
      <c r="P94" s="22" t="s">
        <v>120</v>
      </c>
      <c r="Q94" s="11"/>
      <c r="R94" s="11"/>
      <c r="S94" s="29" t="str">
        <f>"475,0"</f>
        <v>475,0</v>
      </c>
      <c r="T94" s="11" t="str">
        <f>"281,2475"</f>
        <v>281,2475</v>
      </c>
      <c r="U94" s="10" t="s">
        <v>1067</v>
      </c>
    </row>
    <row r="95" spans="1:21">
      <c r="A95" s="13" t="s">
        <v>233</v>
      </c>
      <c r="B95" s="12" t="s">
        <v>427</v>
      </c>
      <c r="C95" s="12" t="s">
        <v>428</v>
      </c>
      <c r="D95" s="12" t="s">
        <v>429</v>
      </c>
      <c r="E95" s="12" t="s">
        <v>1262</v>
      </c>
      <c r="F95" s="12" t="s">
        <v>1212</v>
      </c>
      <c r="G95" s="24" t="s">
        <v>164</v>
      </c>
      <c r="H95" s="24" t="s">
        <v>398</v>
      </c>
      <c r="I95" s="25" t="s">
        <v>102</v>
      </c>
      <c r="J95" s="13"/>
      <c r="K95" s="24" t="s">
        <v>108</v>
      </c>
      <c r="L95" s="24" t="s">
        <v>115</v>
      </c>
      <c r="M95" s="25" t="s">
        <v>154</v>
      </c>
      <c r="N95" s="13"/>
      <c r="O95" s="24" t="s">
        <v>100</v>
      </c>
      <c r="P95" s="24" t="s">
        <v>122</v>
      </c>
      <c r="Q95" s="13"/>
      <c r="R95" s="13"/>
      <c r="S95" s="31" t="str">
        <f>"670,0"</f>
        <v>670,0</v>
      </c>
      <c r="T95" s="13" t="str">
        <f>"395,0990"</f>
        <v>395,0990</v>
      </c>
      <c r="U95" s="12" t="s">
        <v>1073</v>
      </c>
    </row>
    <row r="96" spans="1:21">
      <c r="A96" s="13" t="s">
        <v>234</v>
      </c>
      <c r="B96" s="12" t="s">
        <v>430</v>
      </c>
      <c r="C96" s="12" t="s">
        <v>431</v>
      </c>
      <c r="D96" s="12" t="s">
        <v>432</v>
      </c>
      <c r="E96" s="12" t="s">
        <v>1262</v>
      </c>
      <c r="F96" s="12" t="s">
        <v>1195</v>
      </c>
      <c r="G96" s="24" t="s">
        <v>108</v>
      </c>
      <c r="H96" s="24" t="s">
        <v>53</v>
      </c>
      <c r="I96" s="24" t="s">
        <v>94</v>
      </c>
      <c r="J96" s="13"/>
      <c r="K96" s="24" t="s">
        <v>288</v>
      </c>
      <c r="L96" s="24" t="s">
        <v>121</v>
      </c>
      <c r="M96" s="25" t="s">
        <v>20</v>
      </c>
      <c r="N96" s="13"/>
      <c r="O96" s="24" t="s">
        <v>33</v>
      </c>
      <c r="P96" s="24" t="s">
        <v>46</v>
      </c>
      <c r="Q96" s="25" t="s">
        <v>158</v>
      </c>
      <c r="R96" s="13"/>
      <c r="S96" s="31" t="str">
        <f>"505,0"</f>
        <v>505,0</v>
      </c>
      <c r="T96" s="13" t="str">
        <f>"300,0205"</f>
        <v>300,0205</v>
      </c>
      <c r="U96" s="12" t="s">
        <v>433</v>
      </c>
    </row>
    <row r="97" spans="1:21">
      <c r="A97" s="15" t="s">
        <v>236</v>
      </c>
      <c r="B97" s="14" t="s">
        <v>434</v>
      </c>
      <c r="C97" s="14" t="s">
        <v>435</v>
      </c>
      <c r="D97" s="14" t="s">
        <v>436</v>
      </c>
      <c r="E97" s="14" t="s">
        <v>1262</v>
      </c>
      <c r="F97" s="14" t="s">
        <v>1195</v>
      </c>
      <c r="G97" s="26" t="s">
        <v>39</v>
      </c>
      <c r="H97" s="26" t="s">
        <v>40</v>
      </c>
      <c r="I97" s="27" t="s">
        <v>108</v>
      </c>
      <c r="J97" s="15"/>
      <c r="K97" s="26" t="s">
        <v>288</v>
      </c>
      <c r="L97" s="26" t="s">
        <v>86</v>
      </c>
      <c r="M97" s="27" t="s">
        <v>271</v>
      </c>
      <c r="N97" s="15"/>
      <c r="O97" s="26" t="s">
        <v>53</v>
      </c>
      <c r="P97" s="26" t="s">
        <v>54</v>
      </c>
      <c r="Q97" s="26" t="s">
        <v>113</v>
      </c>
      <c r="R97" s="15"/>
      <c r="S97" s="30" t="str">
        <f>"460,0"</f>
        <v>460,0</v>
      </c>
      <c r="T97" s="15" t="str">
        <f>"273,1020"</f>
        <v>273,1020</v>
      </c>
      <c r="U97" s="14" t="s">
        <v>147</v>
      </c>
    </row>
    <row r="98" spans="1:21">
      <c r="B98" s="5" t="s">
        <v>8</v>
      </c>
    </row>
    <row r="99" spans="1:21" ht="16">
      <c r="A99" s="52" t="s">
        <v>193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</row>
    <row r="100" spans="1:21">
      <c r="A100" s="11" t="s">
        <v>233</v>
      </c>
      <c r="B100" s="10" t="s">
        <v>437</v>
      </c>
      <c r="C100" s="10" t="s">
        <v>438</v>
      </c>
      <c r="D100" s="10" t="s">
        <v>439</v>
      </c>
      <c r="E100" s="10" t="s">
        <v>1262</v>
      </c>
      <c r="F100" s="10" t="s">
        <v>1197</v>
      </c>
      <c r="G100" s="22" t="s">
        <v>186</v>
      </c>
      <c r="H100" s="23" t="s">
        <v>187</v>
      </c>
      <c r="I100" s="22" t="s">
        <v>182</v>
      </c>
      <c r="J100" s="22" t="s">
        <v>440</v>
      </c>
      <c r="K100" s="22" t="s">
        <v>32</v>
      </c>
      <c r="L100" s="22" t="s">
        <v>441</v>
      </c>
      <c r="M100" s="22" t="s">
        <v>46</v>
      </c>
      <c r="N100" s="23" t="s">
        <v>442</v>
      </c>
      <c r="O100" s="22" t="s">
        <v>131</v>
      </c>
      <c r="P100" s="22" t="s">
        <v>182</v>
      </c>
      <c r="Q100" s="23" t="s">
        <v>144</v>
      </c>
      <c r="R100" s="11"/>
      <c r="S100" s="29" t="str">
        <f>"800,0"</f>
        <v>800,0</v>
      </c>
      <c r="T100" s="11" t="str">
        <f>"456,7200"</f>
        <v>456,7200</v>
      </c>
      <c r="U100" s="10" t="s">
        <v>443</v>
      </c>
    </row>
    <row r="101" spans="1:21">
      <c r="A101" s="15" t="s">
        <v>234</v>
      </c>
      <c r="B101" s="14" t="s">
        <v>444</v>
      </c>
      <c r="C101" s="14" t="s">
        <v>445</v>
      </c>
      <c r="D101" s="14" t="s">
        <v>446</v>
      </c>
      <c r="E101" s="14" t="s">
        <v>1262</v>
      </c>
      <c r="F101" s="14" t="s">
        <v>1195</v>
      </c>
      <c r="G101" s="27" t="s">
        <v>53</v>
      </c>
      <c r="H101" s="26" t="s">
        <v>32</v>
      </c>
      <c r="I101" s="26" t="s">
        <v>54</v>
      </c>
      <c r="J101" s="15"/>
      <c r="K101" s="26" t="s">
        <v>107</v>
      </c>
      <c r="L101" s="27" t="s">
        <v>39</v>
      </c>
      <c r="M101" s="27" t="s">
        <v>39</v>
      </c>
      <c r="N101" s="15"/>
      <c r="O101" s="26" t="s">
        <v>83</v>
      </c>
      <c r="P101" s="27" t="s">
        <v>136</v>
      </c>
      <c r="Q101" s="15"/>
      <c r="R101" s="15"/>
      <c r="S101" s="30">
        <v>540</v>
      </c>
      <c r="T101" s="15" t="str">
        <f>"310,0680"</f>
        <v>310,0680</v>
      </c>
      <c r="U101" s="14" t="s">
        <v>1074</v>
      </c>
    </row>
    <row r="102" spans="1:21">
      <c r="B102" s="5" t="s">
        <v>8</v>
      </c>
    </row>
    <row r="105" spans="1:21" ht="18">
      <c r="B105" s="7" t="s">
        <v>7</v>
      </c>
      <c r="C105" s="7"/>
    </row>
    <row r="106" spans="1:21" ht="16">
      <c r="B106" s="16" t="s">
        <v>202</v>
      </c>
      <c r="C106" s="16"/>
    </row>
    <row r="107" spans="1:21" ht="14">
      <c r="B107" s="17"/>
      <c r="C107" s="18" t="s">
        <v>210</v>
      </c>
    </row>
    <row r="108" spans="1:21" ht="14">
      <c r="B108" s="19" t="s">
        <v>203</v>
      </c>
      <c r="C108" s="19" t="s">
        <v>204</v>
      </c>
      <c r="D108" s="19" t="s">
        <v>1053</v>
      </c>
      <c r="E108" s="19" t="s">
        <v>205</v>
      </c>
      <c r="F108" s="19" t="s">
        <v>206</v>
      </c>
    </row>
    <row r="109" spans="1:21">
      <c r="B109" s="5" t="s">
        <v>319</v>
      </c>
      <c r="C109" s="5" t="s">
        <v>210</v>
      </c>
      <c r="D109" s="6" t="s">
        <v>208</v>
      </c>
      <c r="E109" s="6" t="s">
        <v>451</v>
      </c>
      <c r="F109" s="6" t="s">
        <v>452</v>
      </c>
    </row>
    <row r="110" spans="1:21">
      <c r="B110" s="5" t="s">
        <v>286</v>
      </c>
      <c r="C110" s="5" t="s">
        <v>210</v>
      </c>
      <c r="D110" s="6" t="s">
        <v>211</v>
      </c>
      <c r="E110" s="6" t="s">
        <v>448</v>
      </c>
      <c r="F110" s="6" t="s">
        <v>449</v>
      </c>
    </row>
    <row r="111" spans="1:21">
      <c r="B111" s="5" t="s">
        <v>290</v>
      </c>
      <c r="C111" s="5" t="s">
        <v>210</v>
      </c>
      <c r="D111" s="6" t="s">
        <v>211</v>
      </c>
      <c r="E111" s="6" t="s">
        <v>450</v>
      </c>
      <c r="F111" s="6" t="s">
        <v>453</v>
      </c>
    </row>
    <row r="113" spans="2:6" ht="16">
      <c r="B113" s="16" t="s">
        <v>220</v>
      </c>
      <c r="C113" s="16"/>
    </row>
    <row r="114" spans="2:6" ht="14">
      <c r="B114" s="17"/>
      <c r="C114" s="18" t="s">
        <v>210</v>
      </c>
    </row>
    <row r="115" spans="2:6" ht="14">
      <c r="B115" s="19" t="s">
        <v>203</v>
      </c>
      <c r="C115" s="19" t="s">
        <v>204</v>
      </c>
      <c r="D115" s="19" t="s">
        <v>1053</v>
      </c>
      <c r="E115" s="19" t="s">
        <v>205</v>
      </c>
      <c r="F115" s="19" t="s">
        <v>206</v>
      </c>
    </row>
    <row r="116" spans="2:6">
      <c r="B116" s="5" t="s">
        <v>437</v>
      </c>
      <c r="C116" s="5" t="s">
        <v>210</v>
      </c>
      <c r="D116" s="6" t="s">
        <v>232</v>
      </c>
      <c r="E116" s="6" t="s">
        <v>456</v>
      </c>
      <c r="F116" s="6" t="s">
        <v>457</v>
      </c>
    </row>
    <row r="117" spans="2:6">
      <c r="B117" s="5" t="s">
        <v>355</v>
      </c>
      <c r="C117" s="5" t="s">
        <v>210</v>
      </c>
      <c r="D117" s="6" t="s">
        <v>223</v>
      </c>
      <c r="E117" s="6" t="s">
        <v>458</v>
      </c>
      <c r="F117" s="6" t="s">
        <v>459</v>
      </c>
    </row>
    <row r="118" spans="2:6">
      <c r="B118" s="5" t="s">
        <v>392</v>
      </c>
      <c r="C118" s="5" t="s">
        <v>210</v>
      </c>
      <c r="D118" s="6" t="s">
        <v>225</v>
      </c>
      <c r="E118" s="6" t="s">
        <v>460</v>
      </c>
      <c r="F118" s="6" t="s">
        <v>461</v>
      </c>
    </row>
  </sheetData>
  <mergeCells count="28">
    <mergeCell ref="A93:R93"/>
    <mergeCell ref="A99:R99"/>
    <mergeCell ref="B3:B4"/>
    <mergeCell ref="A47:R47"/>
    <mergeCell ref="A50:R50"/>
    <mergeCell ref="A54:R54"/>
    <mergeCell ref="A60:R60"/>
    <mergeCell ref="A71:R71"/>
    <mergeCell ref="A81:R81"/>
    <mergeCell ref="A9:R9"/>
    <mergeCell ref="A14:R14"/>
    <mergeCell ref="A18:R18"/>
    <mergeCell ref="A26:R26"/>
    <mergeCell ref="A36:R36"/>
    <mergeCell ref="A43:R4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73"/>
  <sheetViews>
    <sheetView topLeftCell="A23" workbookViewId="0">
      <selection activeCell="E57" sqref="E57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7.5" style="5" bestFit="1" customWidth="1"/>
    <col min="14" max="16384" width="9.1640625" style="3"/>
  </cols>
  <sheetData>
    <row r="1" spans="1:13" s="2" customFormat="1" ht="29" customHeight="1">
      <c r="A1" s="41" t="s">
        <v>1039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3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22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1" t="s">
        <v>233</v>
      </c>
      <c r="B6" s="10" t="s">
        <v>23</v>
      </c>
      <c r="C6" s="10" t="s">
        <v>24</v>
      </c>
      <c r="D6" s="10" t="s">
        <v>25</v>
      </c>
      <c r="E6" s="10" t="s">
        <v>1262</v>
      </c>
      <c r="F6" s="10" t="s">
        <v>1200</v>
      </c>
      <c r="G6" s="22" t="s">
        <v>29</v>
      </c>
      <c r="H6" s="22" t="s">
        <v>30</v>
      </c>
      <c r="I6" s="22" t="s">
        <v>31</v>
      </c>
      <c r="J6" s="11"/>
      <c r="K6" s="29" t="str">
        <f>"82,5"</f>
        <v>82,5</v>
      </c>
      <c r="L6" s="11" t="str">
        <f>"97,0695"</f>
        <v>97,0695</v>
      </c>
      <c r="M6" s="10" t="s">
        <v>21</v>
      </c>
    </row>
    <row r="7" spans="1:13">
      <c r="A7" s="15" t="s">
        <v>233</v>
      </c>
      <c r="B7" s="14" t="s">
        <v>467</v>
      </c>
      <c r="C7" s="14" t="s">
        <v>1096</v>
      </c>
      <c r="D7" s="14" t="s">
        <v>469</v>
      </c>
      <c r="E7" s="14" t="s">
        <v>1267</v>
      </c>
      <c r="F7" s="14" t="s">
        <v>376</v>
      </c>
      <c r="G7" s="26" t="s">
        <v>30</v>
      </c>
      <c r="H7" s="26" t="s">
        <v>73</v>
      </c>
      <c r="I7" s="26" t="s">
        <v>65</v>
      </c>
      <c r="J7" s="15"/>
      <c r="K7" s="30" t="str">
        <f>"90,0"</f>
        <v>90,0</v>
      </c>
      <c r="L7" s="15" t="str">
        <f>"123,1650"</f>
        <v>123,1650</v>
      </c>
      <c r="M7" s="14" t="s">
        <v>26</v>
      </c>
    </row>
    <row r="8" spans="1:13">
      <c r="B8" s="5" t="s">
        <v>8</v>
      </c>
    </row>
    <row r="9" spans="1:13" ht="16">
      <c r="A9" s="52" t="s">
        <v>124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9" t="s">
        <v>233</v>
      </c>
      <c r="B10" s="8" t="s">
        <v>519</v>
      </c>
      <c r="C10" s="8" t="s">
        <v>520</v>
      </c>
      <c r="D10" s="8" t="s">
        <v>521</v>
      </c>
      <c r="E10" s="8" t="s">
        <v>1262</v>
      </c>
      <c r="F10" s="8" t="s">
        <v>1236</v>
      </c>
      <c r="G10" s="21" t="s">
        <v>20</v>
      </c>
      <c r="H10" s="21" t="s">
        <v>107</v>
      </c>
      <c r="I10" s="20" t="s">
        <v>39</v>
      </c>
      <c r="J10" s="9"/>
      <c r="K10" s="32" t="str">
        <f>"135,0"</f>
        <v>135,0</v>
      </c>
      <c r="L10" s="9" t="str">
        <f>"118,1925"</f>
        <v>118,1925</v>
      </c>
      <c r="M10" s="8" t="s">
        <v>522</v>
      </c>
    </row>
    <row r="11" spans="1:13">
      <c r="B11" s="5" t="s">
        <v>8</v>
      </c>
    </row>
    <row r="12" spans="1:13" ht="16">
      <c r="A12" s="52" t="s">
        <v>35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9" t="s">
        <v>233</v>
      </c>
      <c r="B13" s="8" t="s">
        <v>523</v>
      </c>
      <c r="C13" s="8" t="s">
        <v>524</v>
      </c>
      <c r="D13" s="8" t="s">
        <v>305</v>
      </c>
      <c r="E13" s="8" t="s">
        <v>1263</v>
      </c>
      <c r="F13" s="8" t="s">
        <v>1195</v>
      </c>
      <c r="G13" s="21" t="s">
        <v>62</v>
      </c>
      <c r="H13" s="21" t="s">
        <v>283</v>
      </c>
      <c r="I13" s="20" t="s">
        <v>63</v>
      </c>
      <c r="J13" s="9"/>
      <c r="K13" s="32" t="str">
        <f>"32,5"</f>
        <v>32,5</v>
      </c>
      <c r="L13" s="9" t="str">
        <f>"28,5123"</f>
        <v>28,5123</v>
      </c>
      <c r="M13" s="8" t="s">
        <v>74</v>
      </c>
    </row>
    <row r="14" spans="1:13">
      <c r="B14" s="5" t="s">
        <v>8</v>
      </c>
    </row>
    <row r="15" spans="1:13" ht="16">
      <c r="A15" s="52" t="s">
        <v>89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1" t="s">
        <v>233</v>
      </c>
      <c r="B16" s="10" t="s">
        <v>525</v>
      </c>
      <c r="C16" s="10" t="s">
        <v>526</v>
      </c>
      <c r="D16" s="10" t="s">
        <v>326</v>
      </c>
      <c r="E16" s="10" t="s">
        <v>1262</v>
      </c>
      <c r="F16" s="10" t="s">
        <v>1195</v>
      </c>
      <c r="G16" s="22" t="s">
        <v>165</v>
      </c>
      <c r="H16" s="22" t="s">
        <v>41</v>
      </c>
      <c r="I16" s="23" t="s">
        <v>114</v>
      </c>
      <c r="J16" s="11"/>
      <c r="K16" s="29" t="str">
        <f>"155,0"</f>
        <v>155,0</v>
      </c>
      <c r="L16" s="11" t="str">
        <f>"111,1815"</f>
        <v>111,1815</v>
      </c>
      <c r="M16" s="10"/>
    </row>
    <row r="17" spans="1:13">
      <c r="A17" s="15" t="s">
        <v>233</v>
      </c>
      <c r="B17" s="14" t="s">
        <v>527</v>
      </c>
      <c r="C17" s="14" t="s">
        <v>1128</v>
      </c>
      <c r="D17" s="14" t="s">
        <v>494</v>
      </c>
      <c r="E17" s="14" t="s">
        <v>1270</v>
      </c>
      <c r="F17" s="14" t="s">
        <v>1195</v>
      </c>
      <c r="G17" s="26" t="s">
        <v>302</v>
      </c>
      <c r="H17" s="26" t="s">
        <v>78</v>
      </c>
      <c r="I17" s="26" t="s">
        <v>245</v>
      </c>
      <c r="J17" s="15"/>
      <c r="K17" s="30" t="str">
        <f>"62,5"</f>
        <v>62,5</v>
      </c>
      <c r="L17" s="15" t="str">
        <f>"85,9088"</f>
        <v>85,9088</v>
      </c>
      <c r="M17" s="14" t="s">
        <v>528</v>
      </c>
    </row>
    <row r="18" spans="1:13">
      <c r="B18" s="5" t="s">
        <v>8</v>
      </c>
    </row>
    <row r="19" spans="1:13" ht="16">
      <c r="A19" s="52" t="s">
        <v>79</v>
      </c>
      <c r="B19" s="52"/>
      <c r="C19" s="52"/>
      <c r="D19" s="52"/>
      <c r="E19" s="52"/>
      <c r="F19" s="52"/>
      <c r="G19" s="52"/>
      <c r="H19" s="52"/>
      <c r="I19" s="52"/>
      <c r="J19" s="52"/>
    </row>
    <row r="20" spans="1:13">
      <c r="A20" s="11" t="s">
        <v>233</v>
      </c>
      <c r="B20" s="10" t="s">
        <v>529</v>
      </c>
      <c r="C20" s="10" t="s">
        <v>530</v>
      </c>
      <c r="D20" s="10" t="s">
        <v>531</v>
      </c>
      <c r="E20" s="10" t="s">
        <v>1262</v>
      </c>
      <c r="F20" s="10" t="s">
        <v>1177</v>
      </c>
      <c r="G20" s="23" t="s">
        <v>32</v>
      </c>
      <c r="H20" s="22" t="s">
        <v>32</v>
      </c>
      <c r="I20" s="23" t="s">
        <v>364</v>
      </c>
      <c r="J20" s="11"/>
      <c r="K20" s="29" t="str">
        <f>"180,0"</f>
        <v>180,0</v>
      </c>
      <c r="L20" s="11" t="str">
        <f>"121,1220"</f>
        <v>121,1220</v>
      </c>
      <c r="M20" s="10" t="s">
        <v>532</v>
      </c>
    </row>
    <row r="21" spans="1:13">
      <c r="A21" s="13" t="s">
        <v>234</v>
      </c>
      <c r="B21" s="12" t="s">
        <v>110</v>
      </c>
      <c r="C21" s="12" t="s">
        <v>111</v>
      </c>
      <c r="D21" s="12" t="s">
        <v>112</v>
      </c>
      <c r="E21" s="12" t="s">
        <v>1262</v>
      </c>
      <c r="F21" s="12" t="s">
        <v>1195</v>
      </c>
      <c r="G21" s="24" t="s">
        <v>114</v>
      </c>
      <c r="H21" s="24" t="s">
        <v>93</v>
      </c>
      <c r="I21" s="24" t="s">
        <v>115</v>
      </c>
      <c r="J21" s="13"/>
      <c r="K21" s="31" t="str">
        <f>"167,5"</f>
        <v>167,5</v>
      </c>
      <c r="L21" s="13" t="str">
        <f>"112,4595"</f>
        <v>112,4595</v>
      </c>
      <c r="M21" s="12" t="s">
        <v>21</v>
      </c>
    </row>
    <row r="22" spans="1:13">
      <c r="A22" s="13" t="s">
        <v>236</v>
      </c>
      <c r="B22" s="12" t="s">
        <v>533</v>
      </c>
      <c r="C22" s="12" t="s">
        <v>534</v>
      </c>
      <c r="D22" s="12" t="s">
        <v>535</v>
      </c>
      <c r="E22" s="12" t="s">
        <v>1262</v>
      </c>
      <c r="F22" s="12" t="s">
        <v>1197</v>
      </c>
      <c r="G22" s="24" t="s">
        <v>27</v>
      </c>
      <c r="H22" s="25" t="s">
        <v>50</v>
      </c>
      <c r="I22" s="24" t="s">
        <v>28</v>
      </c>
      <c r="J22" s="13"/>
      <c r="K22" s="31" t="str">
        <f>"145,0"</f>
        <v>145,0</v>
      </c>
      <c r="L22" s="13" t="str">
        <f>"99,0640"</f>
        <v>99,0640</v>
      </c>
      <c r="M22" s="12" t="s">
        <v>536</v>
      </c>
    </row>
    <row r="23" spans="1:13">
      <c r="A23" s="15" t="s">
        <v>237</v>
      </c>
      <c r="B23" s="14" t="s">
        <v>537</v>
      </c>
      <c r="C23" s="14" t="s">
        <v>538</v>
      </c>
      <c r="D23" s="14" t="s">
        <v>539</v>
      </c>
      <c r="E23" s="14" t="s">
        <v>1262</v>
      </c>
      <c r="F23" s="14" t="s">
        <v>1237</v>
      </c>
      <c r="G23" s="26" t="s">
        <v>50</v>
      </c>
      <c r="H23" s="27" t="s">
        <v>40</v>
      </c>
      <c r="I23" s="27" t="s">
        <v>40</v>
      </c>
      <c r="J23" s="15"/>
      <c r="K23" s="30" t="str">
        <f>"142,5"</f>
        <v>142,5</v>
      </c>
      <c r="L23" s="15" t="str">
        <f>"96,3870"</f>
        <v>96,3870</v>
      </c>
      <c r="M23" s="14" t="s">
        <v>540</v>
      </c>
    </row>
    <row r="24" spans="1:13">
      <c r="B24" s="5" t="s">
        <v>8</v>
      </c>
    </row>
    <row r="25" spans="1:13" ht="16">
      <c r="A25" s="52" t="s">
        <v>124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3">
      <c r="A26" s="11" t="s">
        <v>233</v>
      </c>
      <c r="B26" s="10" t="s">
        <v>541</v>
      </c>
      <c r="C26" s="10" t="s">
        <v>542</v>
      </c>
      <c r="D26" s="10" t="s">
        <v>127</v>
      </c>
      <c r="E26" s="10" t="s">
        <v>1262</v>
      </c>
      <c r="F26" s="10" t="s">
        <v>1195</v>
      </c>
      <c r="G26" s="22" t="s">
        <v>177</v>
      </c>
      <c r="H26" s="22" t="s">
        <v>158</v>
      </c>
      <c r="I26" s="22" t="s">
        <v>543</v>
      </c>
      <c r="J26" s="11"/>
      <c r="K26" s="29" t="str">
        <f>"220,5"</f>
        <v>220,5</v>
      </c>
      <c r="L26" s="11" t="str">
        <f>"141,0759"</f>
        <v>141,0759</v>
      </c>
      <c r="M26" s="10"/>
    </row>
    <row r="27" spans="1:13">
      <c r="A27" s="13" t="s">
        <v>234</v>
      </c>
      <c r="B27" s="12" t="s">
        <v>471</v>
      </c>
      <c r="C27" s="12" t="s">
        <v>472</v>
      </c>
      <c r="D27" s="12" t="s">
        <v>473</v>
      </c>
      <c r="E27" s="12" t="s">
        <v>1262</v>
      </c>
      <c r="F27" s="12" t="s">
        <v>376</v>
      </c>
      <c r="G27" s="24" t="s">
        <v>28</v>
      </c>
      <c r="H27" s="24" t="s">
        <v>41</v>
      </c>
      <c r="I27" s="25" t="s">
        <v>108</v>
      </c>
      <c r="J27" s="13"/>
      <c r="K27" s="31" t="str">
        <f>"155,0"</f>
        <v>155,0</v>
      </c>
      <c r="L27" s="13" t="str">
        <f>"99,2930"</f>
        <v>99,2930</v>
      </c>
      <c r="M27" s="12" t="s">
        <v>26</v>
      </c>
    </row>
    <row r="28" spans="1:13">
      <c r="A28" s="13" t="s">
        <v>235</v>
      </c>
      <c r="B28" s="12" t="s">
        <v>544</v>
      </c>
      <c r="C28" s="12" t="s">
        <v>545</v>
      </c>
      <c r="D28" s="12" t="s">
        <v>546</v>
      </c>
      <c r="E28" s="12" t="s">
        <v>1262</v>
      </c>
      <c r="F28" s="12" t="s">
        <v>1238</v>
      </c>
      <c r="G28" s="25" t="s">
        <v>93</v>
      </c>
      <c r="H28" s="13"/>
      <c r="I28" s="13"/>
      <c r="J28" s="13"/>
      <c r="K28" s="31">
        <v>0</v>
      </c>
      <c r="L28" s="13" t="str">
        <f>"0,0000"</f>
        <v>0,0000</v>
      </c>
      <c r="M28" s="12" t="s">
        <v>547</v>
      </c>
    </row>
    <row r="29" spans="1:13">
      <c r="A29" s="15" t="s">
        <v>233</v>
      </c>
      <c r="B29" s="14" t="s">
        <v>541</v>
      </c>
      <c r="C29" s="14" t="s">
        <v>1129</v>
      </c>
      <c r="D29" s="14" t="s">
        <v>127</v>
      </c>
      <c r="E29" s="14" t="s">
        <v>1265</v>
      </c>
      <c r="F29" s="14" t="s">
        <v>1195</v>
      </c>
      <c r="G29" s="26" t="s">
        <v>177</v>
      </c>
      <c r="H29" s="26" t="s">
        <v>158</v>
      </c>
      <c r="I29" s="26" t="s">
        <v>543</v>
      </c>
      <c r="J29" s="15"/>
      <c r="K29" s="30" t="str">
        <f>"220,5"</f>
        <v>220,5</v>
      </c>
      <c r="L29" s="15" t="str">
        <f>"141,7813"</f>
        <v>141,7813</v>
      </c>
      <c r="M29" s="14"/>
    </row>
    <row r="30" spans="1:13">
      <c r="B30" s="5" t="s">
        <v>8</v>
      </c>
    </row>
    <row r="31" spans="1:13" ht="16">
      <c r="A31" s="52" t="s">
        <v>139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3">
      <c r="A32" s="11" t="s">
        <v>233</v>
      </c>
      <c r="B32" s="10" t="s">
        <v>548</v>
      </c>
      <c r="C32" s="10" t="s">
        <v>549</v>
      </c>
      <c r="D32" s="10" t="s">
        <v>550</v>
      </c>
      <c r="E32" s="10" t="s">
        <v>1262</v>
      </c>
      <c r="F32" s="10" t="s">
        <v>1197</v>
      </c>
      <c r="G32" s="22" t="s">
        <v>120</v>
      </c>
      <c r="H32" s="22" t="s">
        <v>46</v>
      </c>
      <c r="I32" s="23" t="s">
        <v>158</v>
      </c>
      <c r="J32" s="11"/>
      <c r="K32" s="29" t="str">
        <f>"210,0"</f>
        <v>210,0</v>
      </c>
      <c r="L32" s="11" t="str">
        <f>"129,8430"</f>
        <v>129,8430</v>
      </c>
      <c r="M32" s="10" t="s">
        <v>551</v>
      </c>
    </row>
    <row r="33" spans="1:13">
      <c r="A33" s="13" t="s">
        <v>234</v>
      </c>
      <c r="B33" s="12" t="s">
        <v>552</v>
      </c>
      <c r="C33" s="12" t="s">
        <v>553</v>
      </c>
      <c r="D33" s="12" t="s">
        <v>554</v>
      </c>
      <c r="E33" s="12" t="s">
        <v>1262</v>
      </c>
      <c r="F33" s="12" t="s">
        <v>1197</v>
      </c>
      <c r="G33" s="24" t="s">
        <v>113</v>
      </c>
      <c r="H33" s="24" t="s">
        <v>177</v>
      </c>
      <c r="I33" s="25" t="s">
        <v>158</v>
      </c>
      <c r="J33" s="13"/>
      <c r="K33" s="31" t="str">
        <f>"205,0"</f>
        <v>205,0</v>
      </c>
      <c r="L33" s="13" t="str">
        <f>"125,9520"</f>
        <v>125,9520</v>
      </c>
      <c r="M33" s="12" t="s">
        <v>555</v>
      </c>
    </row>
    <row r="34" spans="1:13">
      <c r="A34" s="13" t="s">
        <v>236</v>
      </c>
      <c r="B34" s="12" t="s">
        <v>556</v>
      </c>
      <c r="C34" s="12" t="s">
        <v>557</v>
      </c>
      <c r="D34" s="12" t="s">
        <v>162</v>
      </c>
      <c r="E34" s="12" t="s">
        <v>1262</v>
      </c>
      <c r="F34" s="12" t="s">
        <v>1197</v>
      </c>
      <c r="G34" s="24" t="s">
        <v>33</v>
      </c>
      <c r="H34" s="24" t="s">
        <v>120</v>
      </c>
      <c r="I34" s="25" t="s">
        <v>177</v>
      </c>
      <c r="J34" s="13"/>
      <c r="K34" s="31" t="str">
        <f>"200,0"</f>
        <v>200,0</v>
      </c>
      <c r="L34" s="13" t="str">
        <f>"121,8600"</f>
        <v>121,8600</v>
      </c>
      <c r="M34" s="12"/>
    </row>
    <row r="35" spans="1:13">
      <c r="A35" s="13" t="s">
        <v>237</v>
      </c>
      <c r="B35" s="12" t="s">
        <v>558</v>
      </c>
      <c r="C35" s="12" t="s">
        <v>559</v>
      </c>
      <c r="D35" s="12" t="s">
        <v>411</v>
      </c>
      <c r="E35" s="12" t="s">
        <v>1262</v>
      </c>
      <c r="F35" s="12" t="s">
        <v>1199</v>
      </c>
      <c r="G35" s="24" t="s">
        <v>54</v>
      </c>
      <c r="H35" s="24" t="s">
        <v>113</v>
      </c>
      <c r="I35" s="25" t="s">
        <v>45</v>
      </c>
      <c r="J35" s="13"/>
      <c r="K35" s="31" t="str">
        <f>"195,0"</f>
        <v>195,0</v>
      </c>
      <c r="L35" s="13" t="str">
        <f>"119,5545"</f>
        <v>119,5545</v>
      </c>
      <c r="M35" s="12" t="s">
        <v>560</v>
      </c>
    </row>
    <row r="36" spans="1:13">
      <c r="A36" s="13" t="s">
        <v>462</v>
      </c>
      <c r="B36" s="12" t="s">
        <v>561</v>
      </c>
      <c r="C36" s="12" t="s">
        <v>562</v>
      </c>
      <c r="D36" s="12" t="s">
        <v>563</v>
      </c>
      <c r="E36" s="12" t="s">
        <v>1262</v>
      </c>
      <c r="F36" s="12" t="s">
        <v>1203</v>
      </c>
      <c r="G36" s="25" t="s">
        <v>109</v>
      </c>
      <c r="H36" s="24" t="s">
        <v>109</v>
      </c>
      <c r="I36" s="24" t="s">
        <v>181</v>
      </c>
      <c r="J36" s="13"/>
      <c r="K36" s="31" t="str">
        <f>"187,5"</f>
        <v>187,5</v>
      </c>
      <c r="L36" s="13" t="str">
        <f>"115,8750"</f>
        <v>115,8750</v>
      </c>
      <c r="M36" s="12" t="s">
        <v>564</v>
      </c>
    </row>
    <row r="37" spans="1:13">
      <c r="A37" s="13" t="s">
        <v>463</v>
      </c>
      <c r="B37" s="12" t="s">
        <v>565</v>
      </c>
      <c r="C37" s="12" t="s">
        <v>566</v>
      </c>
      <c r="D37" s="12" t="s">
        <v>418</v>
      </c>
      <c r="E37" s="12" t="s">
        <v>1262</v>
      </c>
      <c r="F37" s="12" t="s">
        <v>1195</v>
      </c>
      <c r="G37" s="24" t="s">
        <v>94</v>
      </c>
      <c r="H37" s="25" t="s">
        <v>32</v>
      </c>
      <c r="I37" s="25" t="s">
        <v>32</v>
      </c>
      <c r="J37" s="13"/>
      <c r="K37" s="31" t="str">
        <f>"175,0"</f>
        <v>175,0</v>
      </c>
      <c r="L37" s="13" t="str">
        <f>"106,7675"</f>
        <v>106,7675</v>
      </c>
      <c r="M37" s="12" t="s">
        <v>567</v>
      </c>
    </row>
    <row r="38" spans="1:13">
      <c r="A38" s="13" t="s">
        <v>235</v>
      </c>
      <c r="B38" s="12" t="s">
        <v>568</v>
      </c>
      <c r="C38" s="12" t="s">
        <v>569</v>
      </c>
      <c r="D38" s="12" t="s">
        <v>570</v>
      </c>
      <c r="E38" s="12" t="s">
        <v>1262</v>
      </c>
      <c r="F38" s="12" t="s">
        <v>1239</v>
      </c>
      <c r="G38" s="25" t="s">
        <v>181</v>
      </c>
      <c r="H38" s="25" t="s">
        <v>181</v>
      </c>
      <c r="I38" s="13"/>
      <c r="J38" s="13"/>
      <c r="K38" s="31">
        <v>0</v>
      </c>
      <c r="L38" s="13" t="str">
        <f>"0,0000"</f>
        <v>0,0000</v>
      </c>
      <c r="M38" s="12" t="s">
        <v>571</v>
      </c>
    </row>
    <row r="39" spans="1:13">
      <c r="A39" s="13" t="s">
        <v>235</v>
      </c>
      <c r="B39" s="12" t="s">
        <v>572</v>
      </c>
      <c r="C39" s="12" t="s">
        <v>573</v>
      </c>
      <c r="D39" s="12" t="s">
        <v>574</v>
      </c>
      <c r="E39" s="12" t="s">
        <v>1262</v>
      </c>
      <c r="F39" s="12" t="s">
        <v>1200</v>
      </c>
      <c r="G39" s="25" t="s">
        <v>53</v>
      </c>
      <c r="H39" s="25" t="s">
        <v>53</v>
      </c>
      <c r="I39" s="13"/>
      <c r="J39" s="13"/>
      <c r="K39" s="31">
        <v>0</v>
      </c>
      <c r="L39" s="13" t="str">
        <f>"0,0000"</f>
        <v>0,0000</v>
      </c>
      <c r="M39" s="12"/>
    </row>
    <row r="40" spans="1:13">
      <c r="A40" s="13" t="s">
        <v>233</v>
      </c>
      <c r="B40" s="12" t="s">
        <v>575</v>
      </c>
      <c r="C40" s="12" t="s">
        <v>1130</v>
      </c>
      <c r="D40" s="12" t="s">
        <v>576</v>
      </c>
      <c r="E40" s="12" t="s">
        <v>1265</v>
      </c>
      <c r="F40" s="12" t="s">
        <v>1195</v>
      </c>
      <c r="G40" s="24" t="s">
        <v>32</v>
      </c>
      <c r="H40" s="24" t="s">
        <v>33</v>
      </c>
      <c r="I40" s="24" t="s">
        <v>120</v>
      </c>
      <c r="J40" s="13"/>
      <c r="K40" s="31" t="str">
        <f>"200,0"</f>
        <v>200,0</v>
      </c>
      <c r="L40" s="13" t="str">
        <f>"123,6552"</f>
        <v>123,6552</v>
      </c>
      <c r="M40" s="12"/>
    </row>
    <row r="41" spans="1:13">
      <c r="A41" s="13" t="s">
        <v>233</v>
      </c>
      <c r="B41" s="12" t="s">
        <v>556</v>
      </c>
      <c r="C41" s="12" t="s">
        <v>1131</v>
      </c>
      <c r="D41" s="12" t="s">
        <v>162</v>
      </c>
      <c r="E41" s="12" t="s">
        <v>1264</v>
      </c>
      <c r="F41" s="12" t="s">
        <v>1197</v>
      </c>
      <c r="G41" s="24" t="s">
        <v>33</v>
      </c>
      <c r="H41" s="24" t="s">
        <v>120</v>
      </c>
      <c r="I41" s="25" t="s">
        <v>177</v>
      </c>
      <c r="J41" s="13"/>
      <c r="K41" s="31" t="str">
        <f>"200,0"</f>
        <v>200,0</v>
      </c>
      <c r="L41" s="13" t="str">
        <f>"129,1716"</f>
        <v>129,1716</v>
      </c>
      <c r="M41" s="12"/>
    </row>
    <row r="42" spans="1:13">
      <c r="A42" s="15" t="s">
        <v>233</v>
      </c>
      <c r="B42" s="14" t="s">
        <v>577</v>
      </c>
      <c r="C42" s="14" t="s">
        <v>1132</v>
      </c>
      <c r="D42" s="14" t="s">
        <v>578</v>
      </c>
      <c r="E42" s="14" t="s">
        <v>1266</v>
      </c>
      <c r="F42" s="14" t="s">
        <v>1197</v>
      </c>
      <c r="G42" s="26" t="s">
        <v>20</v>
      </c>
      <c r="H42" s="26" t="s">
        <v>107</v>
      </c>
      <c r="I42" s="26" t="s">
        <v>39</v>
      </c>
      <c r="J42" s="15"/>
      <c r="K42" s="30" t="str">
        <f>"140,0"</f>
        <v>140,0</v>
      </c>
      <c r="L42" s="15" t="str">
        <f>"115,3974"</f>
        <v>115,3974</v>
      </c>
      <c r="M42" s="14" t="s">
        <v>579</v>
      </c>
    </row>
    <row r="43" spans="1:13">
      <c r="B43" s="5" t="s">
        <v>8</v>
      </c>
    </row>
    <row r="44" spans="1:13" ht="16">
      <c r="A44" s="52" t="s">
        <v>169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3">
      <c r="A45" s="11" t="s">
        <v>233</v>
      </c>
      <c r="B45" s="10" t="s">
        <v>580</v>
      </c>
      <c r="C45" s="10" t="s">
        <v>581</v>
      </c>
      <c r="D45" s="10" t="s">
        <v>582</v>
      </c>
      <c r="E45" s="10" t="s">
        <v>1262</v>
      </c>
      <c r="F45" s="10" t="s">
        <v>1197</v>
      </c>
      <c r="G45" s="22" t="s">
        <v>158</v>
      </c>
      <c r="H45" s="22" t="s">
        <v>116</v>
      </c>
      <c r="I45" s="22" t="s">
        <v>84</v>
      </c>
      <c r="J45" s="11"/>
      <c r="K45" s="29" t="str">
        <f>"225,0"</f>
        <v>225,0</v>
      </c>
      <c r="L45" s="11" t="str">
        <f>"133,9200"</f>
        <v>133,9200</v>
      </c>
      <c r="M45" s="10"/>
    </row>
    <row r="46" spans="1:13">
      <c r="A46" s="13" t="s">
        <v>234</v>
      </c>
      <c r="B46" s="12" t="s">
        <v>583</v>
      </c>
      <c r="C46" s="12" t="s">
        <v>584</v>
      </c>
      <c r="D46" s="12" t="s">
        <v>585</v>
      </c>
      <c r="E46" s="12" t="s">
        <v>1262</v>
      </c>
      <c r="F46" s="12" t="s">
        <v>1215</v>
      </c>
      <c r="G46" s="24" t="s">
        <v>32</v>
      </c>
      <c r="H46" s="25" t="s">
        <v>54</v>
      </c>
      <c r="I46" s="24" t="s">
        <v>54</v>
      </c>
      <c r="J46" s="13"/>
      <c r="K46" s="31" t="str">
        <f>"185,0"</f>
        <v>185,0</v>
      </c>
      <c r="L46" s="13" t="str">
        <f>"109,0575"</f>
        <v>109,0575</v>
      </c>
      <c r="M46" s="12" t="s">
        <v>586</v>
      </c>
    </row>
    <row r="47" spans="1:13">
      <c r="A47" s="13" t="s">
        <v>236</v>
      </c>
      <c r="B47" s="12" t="s">
        <v>587</v>
      </c>
      <c r="C47" s="12" t="s">
        <v>588</v>
      </c>
      <c r="D47" s="12" t="s">
        <v>429</v>
      </c>
      <c r="E47" s="12" t="s">
        <v>1262</v>
      </c>
      <c r="F47" s="12" t="s">
        <v>1240</v>
      </c>
      <c r="G47" s="24" t="s">
        <v>93</v>
      </c>
      <c r="H47" s="25" t="s">
        <v>154</v>
      </c>
      <c r="I47" s="25" t="s">
        <v>94</v>
      </c>
      <c r="J47" s="13"/>
      <c r="K47" s="31" t="str">
        <f>"165,0"</f>
        <v>165,0</v>
      </c>
      <c r="L47" s="13" t="str">
        <f>"97,3005"</f>
        <v>97,3005</v>
      </c>
      <c r="M47" s="12" t="s">
        <v>589</v>
      </c>
    </row>
    <row r="48" spans="1:13">
      <c r="A48" s="15" t="s">
        <v>233</v>
      </c>
      <c r="B48" s="14" t="s">
        <v>587</v>
      </c>
      <c r="C48" s="14" t="s">
        <v>1133</v>
      </c>
      <c r="D48" s="14" t="s">
        <v>429</v>
      </c>
      <c r="E48" s="14" t="s">
        <v>1264</v>
      </c>
      <c r="F48" s="14" t="s">
        <v>1240</v>
      </c>
      <c r="G48" s="26" t="s">
        <v>93</v>
      </c>
      <c r="H48" s="27" t="s">
        <v>154</v>
      </c>
      <c r="I48" s="27" t="s">
        <v>94</v>
      </c>
      <c r="J48" s="15"/>
      <c r="K48" s="30" t="str">
        <f>"165,0"</f>
        <v>165,0</v>
      </c>
      <c r="L48" s="15" t="str">
        <f>"106,6413"</f>
        <v>106,6413</v>
      </c>
      <c r="M48" s="14" t="s">
        <v>589</v>
      </c>
    </row>
    <row r="49" spans="1:13">
      <c r="B49" s="5" t="s">
        <v>8</v>
      </c>
    </row>
    <row r="50" spans="1:13" ht="16">
      <c r="A50" s="52" t="s">
        <v>193</v>
      </c>
      <c r="B50" s="52"/>
      <c r="C50" s="52"/>
      <c r="D50" s="52"/>
      <c r="E50" s="52"/>
      <c r="F50" s="52"/>
      <c r="G50" s="52"/>
      <c r="H50" s="52"/>
      <c r="I50" s="52"/>
      <c r="J50" s="52"/>
    </row>
    <row r="51" spans="1:13">
      <c r="A51" s="11" t="s">
        <v>233</v>
      </c>
      <c r="B51" s="10" t="s">
        <v>590</v>
      </c>
      <c r="C51" s="10" t="s">
        <v>591</v>
      </c>
      <c r="D51" s="10" t="s">
        <v>592</v>
      </c>
      <c r="E51" s="10" t="s">
        <v>1262</v>
      </c>
      <c r="F51" s="10" t="s">
        <v>1195</v>
      </c>
      <c r="G51" s="22" t="s">
        <v>46</v>
      </c>
      <c r="H51" s="22" t="s">
        <v>158</v>
      </c>
      <c r="I51" s="23" t="s">
        <v>84</v>
      </c>
      <c r="J51" s="11"/>
      <c r="K51" s="29" t="str">
        <f>"215,0"</f>
        <v>215,0</v>
      </c>
      <c r="L51" s="11" t="str">
        <f>"125,6460"</f>
        <v>125,6460</v>
      </c>
      <c r="M51" s="10"/>
    </row>
    <row r="52" spans="1:13">
      <c r="A52" s="13" t="s">
        <v>233</v>
      </c>
      <c r="B52" s="12" t="s">
        <v>593</v>
      </c>
      <c r="C52" s="12" t="s">
        <v>1134</v>
      </c>
      <c r="D52" s="12" t="s">
        <v>594</v>
      </c>
      <c r="E52" s="12" t="s">
        <v>1265</v>
      </c>
      <c r="F52" s="12" t="s">
        <v>1195</v>
      </c>
      <c r="G52" s="24" t="s">
        <v>95</v>
      </c>
      <c r="H52" s="24" t="s">
        <v>54</v>
      </c>
      <c r="I52" s="24" t="s">
        <v>364</v>
      </c>
      <c r="J52" s="13"/>
      <c r="K52" s="31" t="str">
        <f>"192,5"</f>
        <v>192,5</v>
      </c>
      <c r="L52" s="13" t="str">
        <f>"112,5371"</f>
        <v>112,5371</v>
      </c>
      <c r="M52" s="12"/>
    </row>
    <row r="53" spans="1:13">
      <c r="A53" s="15" t="s">
        <v>233</v>
      </c>
      <c r="B53" s="14" t="s">
        <v>595</v>
      </c>
      <c r="C53" s="14" t="s">
        <v>1135</v>
      </c>
      <c r="D53" s="14" t="s">
        <v>596</v>
      </c>
      <c r="E53" s="14" t="s">
        <v>1268</v>
      </c>
      <c r="F53" s="14" t="s">
        <v>1195</v>
      </c>
      <c r="G53" s="26" t="s">
        <v>94</v>
      </c>
      <c r="H53" s="26" t="s">
        <v>54</v>
      </c>
      <c r="I53" s="26" t="s">
        <v>33</v>
      </c>
      <c r="J53" s="15"/>
      <c r="K53" s="30" t="str">
        <f>"190,0"</f>
        <v>190,0</v>
      </c>
      <c r="L53" s="15" t="str">
        <f>"160,0560"</f>
        <v>160,0560</v>
      </c>
      <c r="M53" s="14"/>
    </row>
    <row r="54" spans="1:13">
      <c r="B54" s="5" t="s">
        <v>8</v>
      </c>
    </row>
    <row r="55" spans="1:13" ht="16">
      <c r="A55" s="52" t="s">
        <v>597</v>
      </c>
      <c r="B55" s="52"/>
      <c r="C55" s="52"/>
      <c r="D55" s="52"/>
      <c r="E55" s="52"/>
      <c r="F55" s="52"/>
      <c r="G55" s="52"/>
      <c r="H55" s="52"/>
      <c r="I55" s="52"/>
      <c r="J55" s="52"/>
    </row>
    <row r="56" spans="1:13">
      <c r="A56" s="9" t="s">
        <v>235</v>
      </c>
      <c r="B56" s="8" t="s">
        <v>598</v>
      </c>
      <c r="C56" s="8" t="s">
        <v>599</v>
      </c>
      <c r="D56" s="8" t="s">
        <v>600</v>
      </c>
      <c r="E56" s="8" t="s">
        <v>1262</v>
      </c>
      <c r="F56" s="8" t="s">
        <v>1195</v>
      </c>
      <c r="G56" s="20" t="s">
        <v>158</v>
      </c>
      <c r="H56" s="20" t="s">
        <v>158</v>
      </c>
      <c r="I56" s="20" t="s">
        <v>158</v>
      </c>
      <c r="J56" s="9"/>
      <c r="K56" s="32">
        <v>0</v>
      </c>
      <c r="L56" s="9" t="str">
        <f>"0,0000"</f>
        <v>0,0000</v>
      </c>
      <c r="M56" s="8" t="s">
        <v>601</v>
      </c>
    </row>
    <row r="57" spans="1:13">
      <c r="B57" s="5" t="s">
        <v>8</v>
      </c>
    </row>
    <row r="60" spans="1:13" ht="18">
      <c r="B60" s="7" t="s">
        <v>7</v>
      </c>
      <c r="C60" s="7"/>
    </row>
    <row r="61" spans="1:13" ht="16">
      <c r="B61" s="16" t="s">
        <v>220</v>
      </c>
      <c r="C61" s="16"/>
    </row>
    <row r="62" spans="1:13" ht="14">
      <c r="B62" s="17"/>
      <c r="C62" s="18" t="s">
        <v>210</v>
      </c>
    </row>
    <row r="63" spans="1:13" ht="14">
      <c r="B63" s="19" t="s">
        <v>203</v>
      </c>
      <c r="C63" s="19" t="s">
        <v>204</v>
      </c>
      <c r="D63" s="19" t="s">
        <v>1053</v>
      </c>
      <c r="E63" s="19" t="s">
        <v>602</v>
      </c>
      <c r="F63" s="19" t="s">
        <v>206</v>
      </c>
    </row>
    <row r="64" spans="1:13">
      <c r="B64" s="5" t="s">
        <v>541</v>
      </c>
      <c r="C64" s="5" t="s">
        <v>210</v>
      </c>
      <c r="D64" s="6" t="s">
        <v>455</v>
      </c>
      <c r="E64" s="6" t="s">
        <v>543</v>
      </c>
      <c r="F64" s="6" t="s">
        <v>603</v>
      </c>
    </row>
    <row r="65" spans="2:6">
      <c r="B65" s="5" t="s">
        <v>580</v>
      </c>
      <c r="C65" s="5" t="s">
        <v>210</v>
      </c>
      <c r="D65" s="6" t="s">
        <v>224</v>
      </c>
      <c r="E65" s="6" t="s">
        <v>84</v>
      </c>
      <c r="F65" s="6" t="s">
        <v>604</v>
      </c>
    </row>
    <row r="66" spans="2:6">
      <c r="B66" s="5" t="s">
        <v>548</v>
      </c>
      <c r="C66" s="5" t="s">
        <v>210</v>
      </c>
      <c r="D66" s="6" t="s">
        <v>225</v>
      </c>
      <c r="E66" s="6" t="s">
        <v>46</v>
      </c>
      <c r="F66" s="6" t="s">
        <v>605</v>
      </c>
    </row>
    <row r="68" spans="2:6" ht="14">
      <c r="B68" s="17"/>
      <c r="C68" s="18" t="s">
        <v>219</v>
      </c>
    </row>
    <row r="69" spans="2:6" ht="14">
      <c r="B69" s="19" t="s">
        <v>203</v>
      </c>
      <c r="C69" s="19" t="s">
        <v>204</v>
      </c>
      <c r="D69" s="19" t="s">
        <v>1053</v>
      </c>
      <c r="E69" s="19" t="s">
        <v>602</v>
      </c>
      <c r="F69" s="19" t="s">
        <v>206</v>
      </c>
    </row>
    <row r="70" spans="2:6">
      <c r="B70" s="5" t="s">
        <v>595</v>
      </c>
      <c r="C70" s="5" t="s">
        <v>1136</v>
      </c>
      <c r="D70" s="6" t="s">
        <v>232</v>
      </c>
      <c r="E70" s="6" t="s">
        <v>33</v>
      </c>
      <c r="F70" s="6" t="s">
        <v>606</v>
      </c>
    </row>
    <row r="71" spans="2:6">
      <c r="B71" s="5" t="s">
        <v>541</v>
      </c>
      <c r="C71" s="5" t="s">
        <v>1137</v>
      </c>
      <c r="D71" s="6" t="s">
        <v>455</v>
      </c>
      <c r="E71" s="6" t="s">
        <v>543</v>
      </c>
      <c r="F71" s="6" t="s">
        <v>607</v>
      </c>
    </row>
    <row r="72" spans="2:6">
      <c r="B72" s="5" t="s">
        <v>556</v>
      </c>
      <c r="C72" s="5" t="s">
        <v>1127</v>
      </c>
      <c r="D72" s="6" t="s">
        <v>225</v>
      </c>
      <c r="E72" s="6" t="s">
        <v>120</v>
      </c>
      <c r="F72" s="6" t="s">
        <v>608</v>
      </c>
    </row>
    <row r="73" spans="2:6">
      <c r="B73" s="5" t="s">
        <v>8</v>
      </c>
    </row>
  </sheetData>
  <mergeCells count="21">
    <mergeCell ref="A44:J44"/>
    <mergeCell ref="A50:J50"/>
    <mergeCell ref="A55:J55"/>
    <mergeCell ref="B3:B4"/>
    <mergeCell ref="A9:J9"/>
    <mergeCell ref="A12:J12"/>
    <mergeCell ref="A15:J15"/>
    <mergeCell ref="A19:J19"/>
    <mergeCell ref="A25:J25"/>
    <mergeCell ref="A31:J3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28" bestFit="1" customWidth="1"/>
    <col min="12" max="12" width="7.5" style="6" bestFit="1" customWidth="1"/>
    <col min="13" max="13" width="23.83203125" style="5" bestFit="1" customWidth="1"/>
    <col min="14" max="16384" width="9.1640625" style="3"/>
  </cols>
  <sheetData>
    <row r="1" spans="1:13" s="2" customFormat="1" ht="29" customHeight="1">
      <c r="A1" s="41" t="s">
        <v>1040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3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238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239</v>
      </c>
      <c r="C6" s="8" t="s">
        <v>1075</v>
      </c>
      <c r="D6" s="8" t="s">
        <v>240</v>
      </c>
      <c r="E6" s="8" t="s">
        <v>1261</v>
      </c>
      <c r="F6" s="8" t="s">
        <v>1194</v>
      </c>
      <c r="G6" s="21" t="s">
        <v>64</v>
      </c>
      <c r="H6" s="21" t="s">
        <v>241</v>
      </c>
      <c r="I6" s="20" t="s">
        <v>242</v>
      </c>
      <c r="J6" s="9"/>
      <c r="K6" s="32" t="str">
        <f>"40,0"</f>
        <v>40,0</v>
      </c>
      <c r="L6" s="9" t="str">
        <f>"56,7520"</f>
        <v>56,7520</v>
      </c>
      <c r="M6" s="8" t="s">
        <v>1054</v>
      </c>
    </row>
    <row r="7" spans="1:13">
      <c r="B7" s="5" t="s">
        <v>8</v>
      </c>
    </row>
    <row r="8" spans="1:13" ht="16">
      <c r="A8" s="52" t="s">
        <v>139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235</v>
      </c>
      <c r="B9" s="8" t="s">
        <v>802</v>
      </c>
      <c r="C9" s="8" t="s">
        <v>803</v>
      </c>
      <c r="D9" s="8" t="s">
        <v>759</v>
      </c>
      <c r="E9" s="8" t="s">
        <v>1262</v>
      </c>
      <c r="F9" s="8" t="s">
        <v>1201</v>
      </c>
      <c r="G9" s="20" t="s">
        <v>85</v>
      </c>
      <c r="H9" s="20" t="s">
        <v>85</v>
      </c>
      <c r="I9" s="20" t="s">
        <v>85</v>
      </c>
      <c r="J9" s="9"/>
      <c r="K9" s="32">
        <v>0</v>
      </c>
      <c r="L9" s="9" t="str">
        <f>"0,0000"</f>
        <v>0,0000</v>
      </c>
      <c r="M9" s="8" t="s">
        <v>188</v>
      </c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1" t="s">
        <v>1041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139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795</v>
      </c>
      <c r="C6" s="8" t="s">
        <v>796</v>
      </c>
      <c r="D6" s="8" t="s">
        <v>167</v>
      </c>
      <c r="E6" s="8" t="s">
        <v>1262</v>
      </c>
      <c r="F6" s="8" t="s">
        <v>1226</v>
      </c>
      <c r="G6" s="21" t="s">
        <v>100</v>
      </c>
      <c r="H6" s="21" t="s">
        <v>797</v>
      </c>
      <c r="I6" s="21" t="s">
        <v>398</v>
      </c>
      <c r="J6" s="9"/>
      <c r="K6" s="9" t="str">
        <f>"252,5"</f>
        <v>252,5</v>
      </c>
      <c r="L6" s="9" t="str">
        <f>"154,9340"</f>
        <v>154,9340</v>
      </c>
      <c r="M6" s="8"/>
    </row>
    <row r="7" spans="1:13">
      <c r="B7" s="5" t="s">
        <v>8</v>
      </c>
    </row>
    <row r="8" spans="1:13" ht="16">
      <c r="A8" s="52" t="s">
        <v>169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798</v>
      </c>
      <c r="C9" s="8" t="s">
        <v>799</v>
      </c>
      <c r="D9" s="8" t="s">
        <v>800</v>
      </c>
      <c r="E9" s="8" t="s">
        <v>1262</v>
      </c>
      <c r="F9" s="8" t="s">
        <v>1241</v>
      </c>
      <c r="G9" s="21" t="s">
        <v>120</v>
      </c>
      <c r="H9" s="20" t="s">
        <v>177</v>
      </c>
      <c r="I9" s="20" t="s">
        <v>177</v>
      </c>
      <c r="J9" s="9"/>
      <c r="K9" s="9" t="str">
        <f>"200,0"</f>
        <v>200,0</v>
      </c>
      <c r="L9" s="9" t="str">
        <f>"119,1600"</f>
        <v>119,1600</v>
      </c>
      <c r="M9" s="8" t="s">
        <v>801</v>
      </c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41" t="s">
        <v>1042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89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937</v>
      </c>
      <c r="C6" s="8" t="s">
        <v>573</v>
      </c>
      <c r="D6" s="8" t="s">
        <v>916</v>
      </c>
      <c r="E6" s="8" t="s">
        <v>1262</v>
      </c>
      <c r="F6" s="8" t="s">
        <v>1195</v>
      </c>
      <c r="G6" s="21" t="s">
        <v>39</v>
      </c>
      <c r="H6" s="20" t="s">
        <v>735</v>
      </c>
      <c r="I6" s="20" t="s">
        <v>735</v>
      </c>
      <c r="J6" s="9"/>
      <c r="K6" s="9" t="str">
        <f>"140,0"</f>
        <v>140,0</v>
      </c>
      <c r="L6" s="9" t="str">
        <f>"96,9710"</f>
        <v>96,9710</v>
      </c>
      <c r="M6" s="8" t="s">
        <v>938</v>
      </c>
    </row>
    <row r="7" spans="1:13">
      <c r="B7" s="5" t="s">
        <v>8</v>
      </c>
    </row>
    <row r="8" spans="1:13" ht="16">
      <c r="A8" s="52" t="s">
        <v>124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1" t="s">
        <v>233</v>
      </c>
      <c r="B9" s="10" t="s">
        <v>939</v>
      </c>
      <c r="C9" s="10" t="s">
        <v>940</v>
      </c>
      <c r="D9" s="10" t="s">
        <v>734</v>
      </c>
      <c r="E9" s="10" t="s">
        <v>1262</v>
      </c>
      <c r="F9" s="10" t="s">
        <v>1195</v>
      </c>
      <c r="G9" s="22" t="s">
        <v>54</v>
      </c>
      <c r="H9" s="23" t="s">
        <v>113</v>
      </c>
      <c r="I9" s="23" t="s">
        <v>113</v>
      </c>
      <c r="J9" s="11"/>
      <c r="K9" s="11" t="str">
        <f>"185,0"</f>
        <v>185,0</v>
      </c>
      <c r="L9" s="11" t="str">
        <f>"114,2005"</f>
        <v>114,2005</v>
      </c>
      <c r="M9" s="10" t="s">
        <v>941</v>
      </c>
    </row>
    <row r="10" spans="1:13">
      <c r="A10" s="15" t="s">
        <v>233</v>
      </c>
      <c r="B10" s="14" t="s">
        <v>939</v>
      </c>
      <c r="C10" s="14" t="s">
        <v>1138</v>
      </c>
      <c r="D10" s="14" t="s">
        <v>734</v>
      </c>
      <c r="E10" s="14" t="s">
        <v>1265</v>
      </c>
      <c r="F10" s="14" t="s">
        <v>1195</v>
      </c>
      <c r="G10" s="26" t="s">
        <v>54</v>
      </c>
      <c r="H10" s="27" t="s">
        <v>113</v>
      </c>
      <c r="I10" s="27" t="s">
        <v>113</v>
      </c>
      <c r="J10" s="15"/>
      <c r="K10" s="15" t="str">
        <f>"185,0"</f>
        <v>185,0</v>
      </c>
      <c r="L10" s="15" t="str">
        <f>"115,3425"</f>
        <v>115,3425</v>
      </c>
      <c r="M10" s="14" t="s">
        <v>941</v>
      </c>
    </row>
    <row r="11" spans="1:13">
      <c r="B11" s="5" t="s">
        <v>8</v>
      </c>
    </row>
    <row r="12" spans="1:13" ht="16">
      <c r="A12" s="52" t="s">
        <v>169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1" t="s">
        <v>233</v>
      </c>
      <c r="B13" s="10" t="s">
        <v>942</v>
      </c>
      <c r="C13" s="10" t="s">
        <v>943</v>
      </c>
      <c r="D13" s="10" t="s">
        <v>944</v>
      </c>
      <c r="E13" s="10" t="s">
        <v>1262</v>
      </c>
      <c r="F13" s="10" t="s">
        <v>1242</v>
      </c>
      <c r="G13" s="22" t="s">
        <v>83</v>
      </c>
      <c r="H13" s="23" t="s">
        <v>85</v>
      </c>
      <c r="I13" s="22" t="s">
        <v>85</v>
      </c>
      <c r="J13" s="11"/>
      <c r="K13" s="11" t="str">
        <f>"230,0"</f>
        <v>230,0</v>
      </c>
      <c r="L13" s="11" t="str">
        <f>"129,3750"</f>
        <v>129,3750</v>
      </c>
      <c r="M13" s="10"/>
    </row>
    <row r="14" spans="1:13">
      <c r="A14" s="15" t="s">
        <v>233</v>
      </c>
      <c r="B14" s="14" t="s">
        <v>942</v>
      </c>
      <c r="C14" s="14" t="s">
        <v>1139</v>
      </c>
      <c r="D14" s="14" t="s">
        <v>944</v>
      </c>
      <c r="E14" s="14" t="s">
        <v>1264</v>
      </c>
      <c r="F14" s="14" t="s">
        <v>1242</v>
      </c>
      <c r="G14" s="26" t="s">
        <v>83</v>
      </c>
      <c r="H14" s="27" t="s">
        <v>85</v>
      </c>
      <c r="I14" s="26" t="s">
        <v>85</v>
      </c>
      <c r="J14" s="15"/>
      <c r="K14" s="15" t="str">
        <f>"230,0"</f>
        <v>230,0</v>
      </c>
      <c r="L14" s="15" t="str">
        <f>"153,1800"</f>
        <v>153,1800</v>
      </c>
      <c r="M14" s="14"/>
    </row>
    <row r="15" spans="1:13">
      <c r="B15" s="5" t="s">
        <v>8</v>
      </c>
    </row>
    <row r="16" spans="1:13" ht="16">
      <c r="A16" s="52" t="s">
        <v>197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1" t="s">
        <v>233</v>
      </c>
      <c r="B17" s="10" t="s">
        <v>945</v>
      </c>
      <c r="C17" s="10" t="s">
        <v>946</v>
      </c>
      <c r="D17" s="10" t="s">
        <v>947</v>
      </c>
      <c r="E17" s="10" t="s">
        <v>1262</v>
      </c>
      <c r="F17" s="10" t="s">
        <v>1197</v>
      </c>
      <c r="G17" s="22" t="s">
        <v>102</v>
      </c>
      <c r="H17" s="22" t="s">
        <v>130</v>
      </c>
      <c r="I17" s="23" t="s">
        <v>131</v>
      </c>
      <c r="J17" s="11"/>
      <c r="K17" s="11" t="str">
        <f>"272,5"</f>
        <v>272,5</v>
      </c>
      <c r="L17" s="11" t="str">
        <f>"147,2372"</f>
        <v>147,2372</v>
      </c>
      <c r="M17" s="10" t="s">
        <v>941</v>
      </c>
    </row>
    <row r="18" spans="1:13">
      <c r="A18" s="15" t="s">
        <v>233</v>
      </c>
      <c r="B18" s="14" t="s">
        <v>945</v>
      </c>
      <c r="C18" s="14" t="s">
        <v>1140</v>
      </c>
      <c r="D18" s="14" t="s">
        <v>947</v>
      </c>
      <c r="E18" s="14" t="s">
        <v>1265</v>
      </c>
      <c r="F18" s="14" t="s">
        <v>1197</v>
      </c>
      <c r="G18" s="26" t="s">
        <v>102</v>
      </c>
      <c r="H18" s="26" t="s">
        <v>130</v>
      </c>
      <c r="I18" s="27" t="s">
        <v>131</v>
      </c>
      <c r="J18" s="15"/>
      <c r="K18" s="15" t="str">
        <f>"272,5"</f>
        <v>272,5</v>
      </c>
      <c r="L18" s="15" t="str">
        <f>"150,1819"</f>
        <v>150,1819</v>
      </c>
      <c r="M18" s="14" t="s">
        <v>941</v>
      </c>
    </row>
    <row r="19" spans="1:13">
      <c r="B19" s="5" t="s">
        <v>8</v>
      </c>
    </row>
  </sheetData>
  <mergeCells count="15">
    <mergeCell ref="A8:J8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1" t="s">
        <v>1043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139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11" t="s">
        <v>233</v>
      </c>
      <c r="B6" s="10" t="s">
        <v>927</v>
      </c>
      <c r="C6" s="10" t="s">
        <v>928</v>
      </c>
      <c r="D6" s="10" t="s">
        <v>929</v>
      </c>
      <c r="E6" s="10" t="s">
        <v>1262</v>
      </c>
      <c r="F6" s="10" t="s">
        <v>1199</v>
      </c>
      <c r="G6" s="23" t="s">
        <v>100</v>
      </c>
      <c r="H6" s="23" t="s">
        <v>100</v>
      </c>
      <c r="I6" s="22" t="s">
        <v>100</v>
      </c>
      <c r="J6" s="11"/>
      <c r="K6" s="11" t="str">
        <f>"240,0"</f>
        <v>240,0</v>
      </c>
      <c r="L6" s="11" t="str">
        <f>"141,4560"</f>
        <v>141,4560</v>
      </c>
      <c r="M6" s="10" t="s">
        <v>930</v>
      </c>
    </row>
    <row r="7" spans="1:13">
      <c r="A7" s="15" t="s">
        <v>233</v>
      </c>
      <c r="B7" s="14" t="s">
        <v>931</v>
      </c>
      <c r="C7" s="14" t="s">
        <v>932</v>
      </c>
      <c r="D7" s="14" t="s">
        <v>550</v>
      </c>
      <c r="E7" s="14" t="s">
        <v>1267</v>
      </c>
      <c r="F7" s="14" t="s">
        <v>1197</v>
      </c>
      <c r="G7" s="26" t="s">
        <v>33</v>
      </c>
      <c r="H7" s="27" t="s">
        <v>120</v>
      </c>
      <c r="I7" s="26" t="s">
        <v>120</v>
      </c>
      <c r="J7" s="15"/>
      <c r="K7" s="15" t="str">
        <f>"200,0"</f>
        <v>200,0</v>
      </c>
      <c r="L7" s="15" t="str">
        <f>"174,9656"</f>
        <v>174,9656</v>
      </c>
      <c r="M7" s="14"/>
    </row>
    <row r="8" spans="1:13">
      <c r="B8" s="5" t="s">
        <v>8</v>
      </c>
    </row>
    <row r="9" spans="1:13" ht="16">
      <c r="A9" s="52" t="s">
        <v>169</v>
      </c>
      <c r="B9" s="52"/>
      <c r="C9" s="52"/>
      <c r="D9" s="52"/>
      <c r="E9" s="52"/>
      <c r="F9" s="52"/>
      <c r="G9" s="52"/>
      <c r="H9" s="52"/>
      <c r="I9" s="52"/>
      <c r="J9" s="52"/>
    </row>
    <row r="10" spans="1:13">
      <c r="A10" s="9" t="s">
        <v>233</v>
      </c>
      <c r="B10" s="8" t="s">
        <v>933</v>
      </c>
      <c r="C10" s="8" t="s">
        <v>934</v>
      </c>
      <c r="D10" s="8" t="s">
        <v>935</v>
      </c>
      <c r="E10" s="8" t="s">
        <v>1267</v>
      </c>
      <c r="F10" s="8" t="s">
        <v>1195</v>
      </c>
      <c r="G10" s="21" t="s">
        <v>83</v>
      </c>
      <c r="H10" s="20" t="s">
        <v>85</v>
      </c>
      <c r="I10" s="9"/>
      <c r="J10" s="9"/>
      <c r="K10" s="9" t="str">
        <f>"220,0"</f>
        <v>220,0</v>
      </c>
      <c r="L10" s="9" t="str">
        <f>"176,0919"</f>
        <v>176,0919</v>
      </c>
      <c r="M10" s="8"/>
    </row>
    <row r="11" spans="1:13">
      <c r="B11" s="5" t="s">
        <v>8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1" t="s">
        <v>1044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139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961</v>
      </c>
      <c r="C6" s="8" t="s">
        <v>962</v>
      </c>
      <c r="D6" s="8" t="s">
        <v>142</v>
      </c>
      <c r="E6" s="8" t="s">
        <v>1262</v>
      </c>
      <c r="F6" s="8" t="s">
        <v>1197</v>
      </c>
      <c r="G6" s="21" t="s">
        <v>377</v>
      </c>
      <c r="H6" s="21" t="s">
        <v>102</v>
      </c>
      <c r="I6" s="21" t="s">
        <v>474</v>
      </c>
      <c r="J6" s="9"/>
      <c r="K6" s="9" t="str">
        <f>"265,0"</f>
        <v>265,0</v>
      </c>
      <c r="L6" s="9" t="str">
        <f>"154,6407"</f>
        <v>154,6407</v>
      </c>
      <c r="M6" s="8" t="s">
        <v>1178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6" style="5" customWidth="1"/>
    <col min="14" max="16384" width="9.1640625" style="3"/>
  </cols>
  <sheetData>
    <row r="1" spans="1:13" s="2" customFormat="1" ht="29" customHeight="1">
      <c r="A1" s="41" t="s">
        <v>1045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79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948</v>
      </c>
      <c r="C6" s="8" t="s">
        <v>949</v>
      </c>
      <c r="D6" s="8" t="s">
        <v>950</v>
      </c>
      <c r="E6" s="8" t="s">
        <v>1262</v>
      </c>
      <c r="F6" s="8" t="s">
        <v>1243</v>
      </c>
      <c r="G6" s="21" t="s">
        <v>85</v>
      </c>
      <c r="H6" s="21" t="s">
        <v>122</v>
      </c>
      <c r="I6" s="20" t="s">
        <v>951</v>
      </c>
      <c r="J6" s="9"/>
      <c r="K6" s="9" t="str">
        <f>"250,0"</f>
        <v>250,0</v>
      </c>
      <c r="L6" s="9" t="str">
        <f>"163,2250"</f>
        <v>163,2250</v>
      </c>
      <c r="M6" s="8" t="s">
        <v>952</v>
      </c>
    </row>
    <row r="7" spans="1:13">
      <c r="B7" s="5" t="s">
        <v>8</v>
      </c>
    </row>
    <row r="8" spans="1:13" ht="16">
      <c r="A8" s="52" t="s">
        <v>169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825</v>
      </c>
      <c r="C9" s="8" t="s">
        <v>826</v>
      </c>
      <c r="D9" s="8" t="s">
        <v>827</v>
      </c>
      <c r="E9" s="8" t="s">
        <v>1262</v>
      </c>
      <c r="F9" s="8" t="s">
        <v>1195</v>
      </c>
      <c r="G9" s="21" t="s">
        <v>100</v>
      </c>
      <c r="H9" s="21" t="s">
        <v>122</v>
      </c>
      <c r="I9" s="20" t="s">
        <v>399</v>
      </c>
      <c r="J9" s="9"/>
      <c r="K9" s="9" t="str">
        <f>"250,0"</f>
        <v>250,0</v>
      </c>
      <c r="L9" s="9" t="str">
        <f>"143,1875"</f>
        <v>143,1875</v>
      </c>
      <c r="M9" s="8" t="s">
        <v>820</v>
      </c>
    </row>
    <row r="10" spans="1:13">
      <c r="B10" s="5" t="s">
        <v>8</v>
      </c>
    </row>
    <row r="11" spans="1:13" ht="16">
      <c r="A11" s="52" t="s">
        <v>193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9" t="s">
        <v>233</v>
      </c>
      <c r="B12" s="8" t="s">
        <v>953</v>
      </c>
      <c r="C12" s="8" t="s">
        <v>954</v>
      </c>
      <c r="D12" s="8" t="s">
        <v>955</v>
      </c>
      <c r="E12" s="8" t="s">
        <v>1262</v>
      </c>
      <c r="F12" s="8" t="s">
        <v>1197</v>
      </c>
      <c r="G12" s="21" t="s">
        <v>131</v>
      </c>
      <c r="H12" s="20" t="s">
        <v>956</v>
      </c>
      <c r="I12" s="21" t="s">
        <v>956</v>
      </c>
      <c r="J12" s="9"/>
      <c r="K12" s="9" t="str">
        <f>"350,0"</f>
        <v>350,0</v>
      </c>
      <c r="L12" s="9" t="str">
        <f>"193,6025"</f>
        <v>193,6025</v>
      </c>
      <c r="M12" s="8" t="s">
        <v>957</v>
      </c>
    </row>
    <row r="13" spans="1:13">
      <c r="B13" s="5" t="s">
        <v>8</v>
      </c>
    </row>
    <row r="14" spans="1:13" ht="16">
      <c r="A14" s="52" t="s">
        <v>197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9" t="s">
        <v>233</v>
      </c>
      <c r="B15" s="8" t="s">
        <v>958</v>
      </c>
      <c r="C15" s="8" t="s">
        <v>959</v>
      </c>
      <c r="D15" s="8" t="s">
        <v>960</v>
      </c>
      <c r="E15" s="8" t="s">
        <v>1262</v>
      </c>
      <c r="F15" s="8" t="s">
        <v>1197</v>
      </c>
      <c r="G15" s="20" t="s">
        <v>484</v>
      </c>
      <c r="H15" s="20" t="s">
        <v>484</v>
      </c>
      <c r="I15" s="21" t="s">
        <v>484</v>
      </c>
      <c r="J15" s="9"/>
      <c r="K15" s="9" t="str">
        <f>"340,0"</f>
        <v>340,0</v>
      </c>
      <c r="L15" s="9" t="str">
        <f>"182,3624"</f>
        <v>182,3624</v>
      </c>
      <c r="M15" s="8"/>
    </row>
    <row r="16" spans="1:13">
      <c r="B16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33203125" style="6" customWidth="1"/>
    <col min="11" max="11" width="10.5" style="6" bestFit="1" customWidth="1"/>
    <col min="12" max="12" width="7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41" t="s">
        <v>1179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55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1028</v>
      </c>
      <c r="C6" s="8" t="s">
        <v>1029</v>
      </c>
      <c r="D6" s="8" t="s">
        <v>321</v>
      </c>
      <c r="E6" s="8" t="s">
        <v>1265</v>
      </c>
      <c r="F6" s="8" t="s">
        <v>1201</v>
      </c>
      <c r="G6" s="21" t="s">
        <v>42</v>
      </c>
      <c r="H6" s="21" t="s">
        <v>66</v>
      </c>
      <c r="I6" s="21" t="s">
        <v>43</v>
      </c>
      <c r="J6" s="9"/>
      <c r="K6" s="9" t="str">
        <f>"95,0"</f>
        <v>95,0</v>
      </c>
      <c r="L6" s="9" t="str">
        <f>"78,4590"</f>
        <v>78,4590</v>
      </c>
      <c r="M6" s="8"/>
    </row>
    <row r="7" spans="1:13">
      <c r="B7" s="5" t="s">
        <v>8</v>
      </c>
    </row>
    <row r="8" spans="1:13">
      <c r="B8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91"/>
  <sheetViews>
    <sheetView workbookViewId="0">
      <selection activeCell="F67" sqref="F6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41" t="s">
        <v>1046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238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239</v>
      </c>
      <c r="C6" s="8" t="s">
        <v>1075</v>
      </c>
      <c r="D6" s="8" t="s">
        <v>240</v>
      </c>
      <c r="E6" s="8" t="s">
        <v>1261</v>
      </c>
      <c r="F6" s="8" t="s">
        <v>1194</v>
      </c>
      <c r="G6" s="21" t="s">
        <v>30</v>
      </c>
      <c r="H6" s="21" t="s">
        <v>42</v>
      </c>
      <c r="I6" s="21" t="s">
        <v>73</v>
      </c>
      <c r="J6" s="9"/>
      <c r="K6" s="9" t="str">
        <f>"87,5"</f>
        <v>87,5</v>
      </c>
      <c r="L6" s="9" t="str">
        <f>"124,1450"</f>
        <v>124,1450</v>
      </c>
      <c r="M6" s="8" t="s">
        <v>1054</v>
      </c>
    </row>
    <row r="7" spans="1:13">
      <c r="B7" s="5" t="s">
        <v>8</v>
      </c>
    </row>
    <row r="8" spans="1:13" ht="16">
      <c r="A8" s="52" t="s">
        <v>12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1" t="s">
        <v>233</v>
      </c>
      <c r="B9" s="10" t="s">
        <v>831</v>
      </c>
      <c r="C9" s="10" t="s">
        <v>832</v>
      </c>
      <c r="D9" s="10" t="s">
        <v>833</v>
      </c>
      <c r="E9" s="10" t="s">
        <v>1262</v>
      </c>
      <c r="F9" s="10" t="s">
        <v>1201</v>
      </c>
      <c r="G9" s="22" t="s">
        <v>245</v>
      </c>
      <c r="H9" s="22" t="s">
        <v>59</v>
      </c>
      <c r="I9" s="23" t="s">
        <v>70</v>
      </c>
      <c r="J9" s="11"/>
      <c r="K9" s="11" t="str">
        <f>"65,0"</f>
        <v>65,0</v>
      </c>
      <c r="L9" s="11" t="str">
        <f>"87,0155"</f>
        <v>87,0155</v>
      </c>
      <c r="M9" s="10" t="s">
        <v>1180</v>
      </c>
    </row>
    <row r="10" spans="1:13">
      <c r="A10" s="15" t="s">
        <v>233</v>
      </c>
      <c r="B10" s="14" t="s">
        <v>834</v>
      </c>
      <c r="C10" s="14" t="s">
        <v>1142</v>
      </c>
      <c r="D10" s="14" t="s">
        <v>835</v>
      </c>
      <c r="E10" s="14" t="s">
        <v>1264</v>
      </c>
      <c r="F10" s="14" t="s">
        <v>1215</v>
      </c>
      <c r="G10" s="26" t="s">
        <v>65</v>
      </c>
      <c r="H10" s="26" t="s">
        <v>44</v>
      </c>
      <c r="I10" s="26" t="s">
        <v>288</v>
      </c>
      <c r="J10" s="15"/>
      <c r="K10" s="15" t="str">
        <f>"110,0"</f>
        <v>110,0</v>
      </c>
      <c r="L10" s="15" t="str">
        <f>"164,8040"</f>
        <v>164,8040</v>
      </c>
      <c r="M10" s="14" t="s">
        <v>1181</v>
      </c>
    </row>
    <row r="11" spans="1:13">
      <c r="B11" s="5" t="s">
        <v>8</v>
      </c>
    </row>
    <row r="12" spans="1:13" ht="16">
      <c r="A12" s="52" t="s">
        <v>256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1" t="s">
        <v>233</v>
      </c>
      <c r="B13" s="10" t="s">
        <v>257</v>
      </c>
      <c r="C13" s="10" t="s">
        <v>258</v>
      </c>
      <c r="D13" s="10" t="s">
        <v>259</v>
      </c>
      <c r="E13" s="10" t="s">
        <v>1262</v>
      </c>
      <c r="F13" s="10" t="s">
        <v>1194</v>
      </c>
      <c r="G13" s="22" t="s">
        <v>65</v>
      </c>
      <c r="H13" s="22" t="s">
        <v>51</v>
      </c>
      <c r="I13" s="22" t="s">
        <v>16</v>
      </c>
      <c r="J13" s="11"/>
      <c r="K13" s="11" t="str">
        <f>"102,5"</f>
        <v>102,5</v>
      </c>
      <c r="L13" s="11" t="str">
        <f>"128,7400"</f>
        <v>128,7400</v>
      </c>
      <c r="M13" s="10" t="s">
        <v>1054</v>
      </c>
    </row>
    <row r="14" spans="1:13">
      <c r="A14" s="15" t="s">
        <v>234</v>
      </c>
      <c r="B14" s="14" t="s">
        <v>617</v>
      </c>
      <c r="C14" s="14" t="s">
        <v>618</v>
      </c>
      <c r="D14" s="14" t="s">
        <v>619</v>
      </c>
      <c r="E14" s="14" t="s">
        <v>1262</v>
      </c>
      <c r="F14" s="14" t="s">
        <v>1220</v>
      </c>
      <c r="G14" s="26" t="s">
        <v>65</v>
      </c>
      <c r="H14" s="26" t="s">
        <v>44</v>
      </c>
      <c r="I14" s="27" t="s">
        <v>288</v>
      </c>
      <c r="J14" s="15"/>
      <c r="K14" s="15" t="str">
        <f>"100,0"</f>
        <v>100,0</v>
      </c>
      <c r="L14" s="15" t="str">
        <f>"126,9200"</f>
        <v>126,9200</v>
      </c>
      <c r="M14" s="14" t="s">
        <v>1182</v>
      </c>
    </row>
    <row r="15" spans="1:13">
      <c r="B15" s="5" t="s">
        <v>8</v>
      </c>
    </row>
    <row r="16" spans="1:13" ht="16">
      <c r="A16" s="52" t="s">
        <v>22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1" t="s">
        <v>233</v>
      </c>
      <c r="B17" s="10" t="s">
        <v>836</v>
      </c>
      <c r="C17" s="10" t="s">
        <v>837</v>
      </c>
      <c r="D17" s="10" t="s">
        <v>838</v>
      </c>
      <c r="E17" s="10" t="s">
        <v>1262</v>
      </c>
      <c r="F17" s="10" t="s">
        <v>1244</v>
      </c>
      <c r="G17" s="22" t="s">
        <v>121</v>
      </c>
      <c r="H17" s="22" t="s">
        <v>19</v>
      </c>
      <c r="I17" s="23" t="s">
        <v>316</v>
      </c>
      <c r="J17" s="11"/>
      <c r="K17" s="11" t="str">
        <f>"125,0"</f>
        <v>125,0</v>
      </c>
      <c r="L17" s="11" t="str">
        <f>"148,9500"</f>
        <v>148,9500</v>
      </c>
      <c r="M17" s="10" t="s">
        <v>839</v>
      </c>
    </row>
    <row r="18" spans="1:13">
      <c r="A18" s="15" t="s">
        <v>234</v>
      </c>
      <c r="B18" s="14" t="s">
        <v>840</v>
      </c>
      <c r="C18" s="14" t="s">
        <v>841</v>
      </c>
      <c r="D18" s="14" t="s">
        <v>838</v>
      </c>
      <c r="E18" s="14" t="s">
        <v>1262</v>
      </c>
      <c r="F18" s="14" t="s">
        <v>1195</v>
      </c>
      <c r="G18" s="26" t="s">
        <v>270</v>
      </c>
      <c r="H18" s="26" t="s">
        <v>288</v>
      </c>
      <c r="I18" s="26" t="s">
        <v>279</v>
      </c>
      <c r="J18" s="15"/>
      <c r="K18" s="15" t="str">
        <f>"112,5"</f>
        <v>112,5</v>
      </c>
      <c r="L18" s="15" t="str">
        <f>"134,0550"</f>
        <v>134,0550</v>
      </c>
      <c r="M18" s="14" t="s">
        <v>842</v>
      </c>
    </row>
    <row r="19" spans="1:13">
      <c r="B19" s="5" t="s">
        <v>8</v>
      </c>
    </row>
    <row r="20" spans="1:13" ht="16">
      <c r="A20" s="52" t="s">
        <v>35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11" t="s">
        <v>233</v>
      </c>
      <c r="B21" s="10" t="s">
        <v>843</v>
      </c>
      <c r="C21" s="10" t="s">
        <v>844</v>
      </c>
      <c r="D21" s="10" t="s">
        <v>625</v>
      </c>
      <c r="E21" s="10" t="s">
        <v>1263</v>
      </c>
      <c r="F21" s="10" t="s">
        <v>1195</v>
      </c>
      <c r="G21" s="22" t="s">
        <v>121</v>
      </c>
      <c r="H21" s="22" t="s">
        <v>316</v>
      </c>
      <c r="I21" s="23" t="s">
        <v>107</v>
      </c>
      <c r="J21" s="11"/>
      <c r="K21" s="11" t="str">
        <f>"127,5"</f>
        <v>127,5</v>
      </c>
      <c r="L21" s="11" t="str">
        <f>"147,7470"</f>
        <v>147,7470</v>
      </c>
      <c r="M21" s="10" t="s">
        <v>1183</v>
      </c>
    </row>
    <row r="22" spans="1:13">
      <c r="A22" s="13" t="s">
        <v>234</v>
      </c>
      <c r="B22" s="12" t="s">
        <v>845</v>
      </c>
      <c r="C22" s="12" t="s">
        <v>846</v>
      </c>
      <c r="D22" s="12" t="s">
        <v>847</v>
      </c>
      <c r="E22" s="12" t="s">
        <v>1263</v>
      </c>
      <c r="F22" s="12" t="s">
        <v>1245</v>
      </c>
      <c r="G22" s="24" t="s">
        <v>29</v>
      </c>
      <c r="H22" s="24" t="s">
        <v>42</v>
      </c>
      <c r="I22" s="25" t="s">
        <v>66</v>
      </c>
      <c r="J22" s="13"/>
      <c r="K22" s="13" t="str">
        <f>"85,0"</f>
        <v>85,0</v>
      </c>
      <c r="L22" s="13" t="str">
        <f>"97,9625"</f>
        <v>97,9625</v>
      </c>
      <c r="M22" s="12" t="s">
        <v>1184</v>
      </c>
    </row>
    <row r="23" spans="1:13">
      <c r="A23" s="13" t="s">
        <v>233</v>
      </c>
      <c r="B23" s="12" t="s">
        <v>848</v>
      </c>
      <c r="C23" s="12" t="s">
        <v>849</v>
      </c>
      <c r="D23" s="12" t="s">
        <v>850</v>
      </c>
      <c r="E23" s="12" t="s">
        <v>1262</v>
      </c>
      <c r="F23" s="12" t="s">
        <v>1197</v>
      </c>
      <c r="G23" s="24" t="s">
        <v>121</v>
      </c>
      <c r="H23" s="24" t="s">
        <v>20</v>
      </c>
      <c r="I23" s="24" t="s">
        <v>101</v>
      </c>
      <c r="J23" s="13"/>
      <c r="K23" s="13" t="str">
        <f>"132,5"</f>
        <v>132,5</v>
      </c>
      <c r="L23" s="13" t="str">
        <f>"152,0835"</f>
        <v>152,0835</v>
      </c>
      <c r="M23" s="12" t="s">
        <v>816</v>
      </c>
    </row>
    <row r="24" spans="1:13">
      <c r="A24" s="15" t="s">
        <v>234</v>
      </c>
      <c r="B24" s="14" t="s">
        <v>851</v>
      </c>
      <c r="C24" s="14" t="s">
        <v>852</v>
      </c>
      <c r="D24" s="14" t="s">
        <v>638</v>
      </c>
      <c r="E24" s="14" t="s">
        <v>1262</v>
      </c>
      <c r="F24" s="14" t="s">
        <v>1195</v>
      </c>
      <c r="G24" s="26" t="s">
        <v>44</v>
      </c>
      <c r="H24" s="27" t="s">
        <v>270</v>
      </c>
      <c r="I24" s="27" t="s">
        <v>270</v>
      </c>
      <c r="J24" s="15"/>
      <c r="K24" s="15" t="str">
        <f>"100,0"</f>
        <v>100,0</v>
      </c>
      <c r="L24" s="15" t="str">
        <f>"114,0100"</f>
        <v>114,0100</v>
      </c>
      <c r="M24" s="14" t="s">
        <v>540</v>
      </c>
    </row>
    <row r="25" spans="1:13">
      <c r="B25" s="5" t="s">
        <v>8</v>
      </c>
    </row>
    <row r="26" spans="1:13" ht="16">
      <c r="A26" s="52" t="s">
        <v>55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11" t="s">
        <v>233</v>
      </c>
      <c r="B27" s="10" t="s">
        <v>853</v>
      </c>
      <c r="C27" s="10" t="s">
        <v>854</v>
      </c>
      <c r="D27" s="10" t="s">
        <v>855</v>
      </c>
      <c r="E27" s="10" t="s">
        <v>1263</v>
      </c>
      <c r="F27" s="10" t="s">
        <v>1246</v>
      </c>
      <c r="G27" s="22" t="s">
        <v>107</v>
      </c>
      <c r="H27" s="11"/>
      <c r="I27" s="11"/>
      <c r="J27" s="11"/>
      <c r="K27" s="11" t="str">
        <f>"135,0"</f>
        <v>135,0</v>
      </c>
      <c r="L27" s="11" t="str">
        <f>"141,4665"</f>
        <v>141,4665</v>
      </c>
      <c r="M27" s="10" t="s">
        <v>1185</v>
      </c>
    </row>
    <row r="28" spans="1:13">
      <c r="A28" s="13" t="s">
        <v>233</v>
      </c>
      <c r="B28" s="12" t="s">
        <v>856</v>
      </c>
      <c r="C28" s="12" t="s">
        <v>857</v>
      </c>
      <c r="D28" s="12" t="s">
        <v>855</v>
      </c>
      <c r="E28" s="12" t="s">
        <v>1262</v>
      </c>
      <c r="F28" s="12" t="s">
        <v>1195</v>
      </c>
      <c r="G28" s="24" t="s">
        <v>20</v>
      </c>
      <c r="H28" s="25" t="s">
        <v>39</v>
      </c>
      <c r="I28" s="25" t="s">
        <v>39</v>
      </c>
      <c r="J28" s="13"/>
      <c r="K28" s="13" t="str">
        <f>"130,0"</f>
        <v>130,0</v>
      </c>
      <c r="L28" s="13" t="str">
        <f>"136,2270"</f>
        <v>136,2270</v>
      </c>
      <c r="M28" s="12" t="s">
        <v>1186</v>
      </c>
    </row>
    <row r="29" spans="1:13">
      <c r="A29" s="15" t="s">
        <v>234</v>
      </c>
      <c r="B29" s="14" t="s">
        <v>489</v>
      </c>
      <c r="C29" s="14" t="s">
        <v>490</v>
      </c>
      <c r="D29" s="14" t="s">
        <v>491</v>
      </c>
      <c r="E29" s="14" t="s">
        <v>1262</v>
      </c>
      <c r="F29" s="14" t="s">
        <v>1221</v>
      </c>
      <c r="G29" s="26" t="s">
        <v>270</v>
      </c>
      <c r="H29" s="26" t="s">
        <v>52</v>
      </c>
      <c r="I29" s="26" t="s">
        <v>288</v>
      </c>
      <c r="J29" s="15"/>
      <c r="K29" s="15" t="str">
        <f>"110,0"</f>
        <v>110,0</v>
      </c>
      <c r="L29" s="15" t="str">
        <f>"117,4360"</f>
        <v>117,4360</v>
      </c>
      <c r="M29" s="14"/>
    </row>
    <row r="30" spans="1:13">
      <c r="B30" s="5" t="s">
        <v>8</v>
      </c>
    </row>
    <row r="31" spans="1:13" ht="16">
      <c r="A31" s="52" t="s">
        <v>124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3">
      <c r="A32" s="9" t="s">
        <v>233</v>
      </c>
      <c r="B32" s="8" t="s">
        <v>858</v>
      </c>
      <c r="C32" s="8" t="s">
        <v>859</v>
      </c>
      <c r="D32" s="8" t="s">
        <v>383</v>
      </c>
      <c r="E32" s="8" t="s">
        <v>1262</v>
      </c>
      <c r="F32" s="8" t="s">
        <v>1197</v>
      </c>
      <c r="G32" s="21" t="s">
        <v>50</v>
      </c>
      <c r="H32" s="21" t="s">
        <v>40</v>
      </c>
      <c r="I32" s="20" t="s">
        <v>114</v>
      </c>
      <c r="J32" s="9"/>
      <c r="K32" s="9" t="str">
        <f>"150,0"</f>
        <v>150,0</v>
      </c>
      <c r="L32" s="9" t="str">
        <f>"130,8000"</f>
        <v>130,8000</v>
      </c>
      <c r="M32" s="8" t="s">
        <v>147</v>
      </c>
    </row>
    <row r="33" spans="1:13">
      <c r="B33" s="5" t="s">
        <v>8</v>
      </c>
    </row>
    <row r="34" spans="1:13" ht="16">
      <c r="A34" s="52" t="s">
        <v>22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13">
      <c r="A35" s="9" t="s">
        <v>233</v>
      </c>
      <c r="B35" s="8" t="s">
        <v>860</v>
      </c>
      <c r="C35" s="8" t="s">
        <v>861</v>
      </c>
      <c r="D35" s="8" t="s">
        <v>862</v>
      </c>
      <c r="E35" s="8" t="s">
        <v>1263</v>
      </c>
      <c r="F35" s="8" t="s">
        <v>1216</v>
      </c>
      <c r="G35" s="21" t="s">
        <v>66</v>
      </c>
      <c r="H35" s="21" t="s">
        <v>51</v>
      </c>
      <c r="I35" s="21" t="s">
        <v>16</v>
      </c>
      <c r="J35" s="9"/>
      <c r="K35" s="9" t="str">
        <f>"102,5"</f>
        <v>102,5</v>
      </c>
      <c r="L35" s="9" t="str">
        <f>"98,2257"</f>
        <v>98,2257</v>
      </c>
      <c r="M35" s="8" t="s">
        <v>863</v>
      </c>
    </row>
    <row r="36" spans="1:13">
      <c r="B36" s="5" t="s">
        <v>8</v>
      </c>
    </row>
    <row r="37" spans="1:13" ht="16">
      <c r="A37" s="52" t="s">
        <v>35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3">
      <c r="A38" s="9" t="s">
        <v>233</v>
      </c>
      <c r="B38" s="8" t="s">
        <v>666</v>
      </c>
      <c r="C38" s="8" t="s">
        <v>1100</v>
      </c>
      <c r="D38" s="8" t="s">
        <v>667</v>
      </c>
      <c r="E38" s="8" t="s">
        <v>1261</v>
      </c>
      <c r="F38" s="8" t="s">
        <v>1224</v>
      </c>
      <c r="G38" s="21" t="s">
        <v>40</v>
      </c>
      <c r="H38" s="21" t="s">
        <v>93</v>
      </c>
      <c r="I38" s="20" t="s">
        <v>94</v>
      </c>
      <c r="J38" s="9"/>
      <c r="K38" s="9" t="str">
        <f>"165,0"</f>
        <v>165,0</v>
      </c>
      <c r="L38" s="9" t="str">
        <f>"147,1635"</f>
        <v>147,1635</v>
      </c>
      <c r="M38" s="8" t="s">
        <v>668</v>
      </c>
    </row>
    <row r="39" spans="1:13">
      <c r="B39" s="5" t="s">
        <v>8</v>
      </c>
    </row>
    <row r="40" spans="1:13" ht="16">
      <c r="A40" s="52" t="s">
        <v>55</v>
      </c>
      <c r="B40" s="52"/>
      <c r="C40" s="52"/>
      <c r="D40" s="52"/>
      <c r="E40" s="52"/>
      <c r="F40" s="52"/>
      <c r="G40" s="52"/>
      <c r="H40" s="52"/>
      <c r="I40" s="52"/>
      <c r="J40" s="52"/>
    </row>
    <row r="41" spans="1:13">
      <c r="A41" s="11" t="s">
        <v>233</v>
      </c>
      <c r="B41" s="10" t="s">
        <v>864</v>
      </c>
      <c r="C41" s="10" t="s">
        <v>865</v>
      </c>
      <c r="D41" s="10" t="s">
        <v>315</v>
      </c>
      <c r="E41" s="10" t="s">
        <v>1263</v>
      </c>
      <c r="F41" s="10" t="s">
        <v>1195</v>
      </c>
      <c r="G41" s="23" t="s">
        <v>39</v>
      </c>
      <c r="H41" s="22" t="s">
        <v>40</v>
      </c>
      <c r="I41" s="23" t="s">
        <v>93</v>
      </c>
      <c r="J41" s="11"/>
      <c r="K41" s="11" t="str">
        <f>"150,0"</f>
        <v>150,0</v>
      </c>
      <c r="L41" s="11" t="str">
        <f>"118,2150"</f>
        <v>118,2150</v>
      </c>
      <c r="M41" s="10" t="s">
        <v>1183</v>
      </c>
    </row>
    <row r="42" spans="1:13">
      <c r="A42" s="13" t="s">
        <v>234</v>
      </c>
      <c r="B42" s="12" t="s">
        <v>866</v>
      </c>
      <c r="C42" s="12" t="s">
        <v>867</v>
      </c>
      <c r="D42" s="12" t="s">
        <v>868</v>
      </c>
      <c r="E42" s="12" t="s">
        <v>1263</v>
      </c>
      <c r="F42" s="12" t="s">
        <v>1216</v>
      </c>
      <c r="G42" s="24" t="s">
        <v>279</v>
      </c>
      <c r="H42" s="24" t="s">
        <v>121</v>
      </c>
      <c r="I42" s="24" t="s">
        <v>20</v>
      </c>
      <c r="J42" s="13"/>
      <c r="K42" s="13" t="str">
        <f>"130,0"</f>
        <v>130,0</v>
      </c>
      <c r="L42" s="13" t="str">
        <f>"101,5690"</f>
        <v>101,5690</v>
      </c>
      <c r="M42" s="12" t="s">
        <v>863</v>
      </c>
    </row>
    <row r="43" spans="1:13">
      <c r="A43" s="15" t="s">
        <v>233</v>
      </c>
      <c r="B43" s="14" t="s">
        <v>336</v>
      </c>
      <c r="C43" s="14" t="s">
        <v>337</v>
      </c>
      <c r="D43" s="14" t="s">
        <v>338</v>
      </c>
      <c r="E43" s="14" t="s">
        <v>1262</v>
      </c>
      <c r="F43" s="14" t="s">
        <v>1194</v>
      </c>
      <c r="G43" s="26" t="s">
        <v>40</v>
      </c>
      <c r="H43" s="26" t="s">
        <v>108</v>
      </c>
      <c r="I43" s="27" t="s">
        <v>53</v>
      </c>
      <c r="J43" s="15"/>
      <c r="K43" s="15" t="str">
        <f>"160,0"</f>
        <v>160,0</v>
      </c>
      <c r="L43" s="15" t="str">
        <f>"125,1680"</f>
        <v>125,1680</v>
      </c>
      <c r="M43" s="14" t="s">
        <v>1054</v>
      </c>
    </row>
    <row r="44" spans="1:13">
      <c r="B44" s="5" t="s">
        <v>8</v>
      </c>
    </row>
    <row r="45" spans="1:13" ht="16">
      <c r="A45" s="52" t="s">
        <v>89</v>
      </c>
      <c r="B45" s="52"/>
      <c r="C45" s="52"/>
      <c r="D45" s="52"/>
      <c r="E45" s="52"/>
      <c r="F45" s="52"/>
      <c r="G45" s="52"/>
      <c r="H45" s="52"/>
      <c r="I45" s="52"/>
      <c r="J45" s="52"/>
    </row>
    <row r="46" spans="1:13">
      <c r="A46" s="11" t="s">
        <v>233</v>
      </c>
      <c r="B46" s="10" t="s">
        <v>869</v>
      </c>
      <c r="C46" s="10" t="s">
        <v>870</v>
      </c>
      <c r="D46" s="10" t="s">
        <v>679</v>
      </c>
      <c r="E46" s="10" t="s">
        <v>1262</v>
      </c>
      <c r="F46" s="10" t="s">
        <v>1247</v>
      </c>
      <c r="G46" s="22" t="s">
        <v>144</v>
      </c>
      <c r="H46" s="23" t="s">
        <v>447</v>
      </c>
      <c r="I46" s="23" t="s">
        <v>447</v>
      </c>
      <c r="J46" s="11"/>
      <c r="K46" s="11" t="str">
        <f>"300,0"</f>
        <v>300,0</v>
      </c>
      <c r="L46" s="11" t="str">
        <f>"216,2100"</f>
        <v>216,2100</v>
      </c>
      <c r="M46" s="10"/>
    </row>
    <row r="47" spans="1:13">
      <c r="A47" s="13" t="s">
        <v>234</v>
      </c>
      <c r="B47" s="12" t="s">
        <v>495</v>
      </c>
      <c r="C47" s="12" t="s">
        <v>496</v>
      </c>
      <c r="D47" s="12" t="s">
        <v>497</v>
      </c>
      <c r="E47" s="12" t="s">
        <v>1262</v>
      </c>
      <c r="F47" s="12" t="s">
        <v>1222</v>
      </c>
      <c r="G47" s="24" t="s">
        <v>83</v>
      </c>
      <c r="H47" s="24" t="s">
        <v>85</v>
      </c>
      <c r="I47" s="25" t="s">
        <v>99</v>
      </c>
      <c r="J47" s="13"/>
      <c r="K47" s="13" t="str">
        <f>"230,0"</f>
        <v>230,0</v>
      </c>
      <c r="L47" s="13" t="str">
        <f>"168,4060"</f>
        <v>168,4060</v>
      </c>
      <c r="M47" s="12"/>
    </row>
    <row r="48" spans="1:13">
      <c r="A48" s="13" t="s">
        <v>236</v>
      </c>
      <c r="B48" s="12" t="s">
        <v>871</v>
      </c>
      <c r="C48" s="12" t="s">
        <v>872</v>
      </c>
      <c r="D48" s="12" t="s">
        <v>815</v>
      </c>
      <c r="E48" s="12" t="s">
        <v>1262</v>
      </c>
      <c r="F48" s="12" t="s">
        <v>1189</v>
      </c>
      <c r="G48" s="24" t="s">
        <v>113</v>
      </c>
      <c r="H48" s="24" t="s">
        <v>209</v>
      </c>
      <c r="I48" s="24" t="s">
        <v>116</v>
      </c>
      <c r="J48" s="13"/>
      <c r="K48" s="13" t="str">
        <f>"222,5"</f>
        <v>222,5</v>
      </c>
      <c r="L48" s="13" t="str">
        <f>"159,1320"</f>
        <v>159,1320</v>
      </c>
      <c r="M48" s="12"/>
    </row>
    <row r="49" spans="1:13">
      <c r="A49" s="13" t="s">
        <v>237</v>
      </c>
      <c r="B49" s="12" t="s">
        <v>345</v>
      </c>
      <c r="C49" s="12" t="s">
        <v>346</v>
      </c>
      <c r="D49" s="12" t="s">
        <v>347</v>
      </c>
      <c r="E49" s="12" t="s">
        <v>1262</v>
      </c>
      <c r="F49" s="12" t="s">
        <v>1205</v>
      </c>
      <c r="G49" s="24" t="s">
        <v>209</v>
      </c>
      <c r="H49" s="24" t="s">
        <v>83</v>
      </c>
      <c r="I49" s="25" t="s">
        <v>85</v>
      </c>
      <c r="J49" s="13"/>
      <c r="K49" s="13" t="str">
        <f>"220,0"</f>
        <v>220,0</v>
      </c>
      <c r="L49" s="13" t="str">
        <f>"164,6920"</f>
        <v>164,6920</v>
      </c>
      <c r="M49" s="12" t="s">
        <v>1068</v>
      </c>
    </row>
    <row r="50" spans="1:13">
      <c r="A50" s="13" t="s">
        <v>462</v>
      </c>
      <c r="B50" s="12" t="s">
        <v>692</v>
      </c>
      <c r="C50" s="12" t="s">
        <v>693</v>
      </c>
      <c r="D50" s="12" t="s">
        <v>500</v>
      </c>
      <c r="E50" s="12" t="s">
        <v>1262</v>
      </c>
      <c r="F50" s="12" t="s">
        <v>1197</v>
      </c>
      <c r="G50" s="24" t="s">
        <v>32</v>
      </c>
      <c r="H50" s="24" t="s">
        <v>33</v>
      </c>
      <c r="I50" s="25" t="s">
        <v>441</v>
      </c>
      <c r="J50" s="13"/>
      <c r="K50" s="13" t="str">
        <f>"190,0"</f>
        <v>190,0</v>
      </c>
      <c r="L50" s="13" t="str">
        <f>"136,8000"</f>
        <v>136,8000</v>
      </c>
      <c r="M50" s="12"/>
    </row>
    <row r="51" spans="1:13">
      <c r="A51" s="15" t="s">
        <v>463</v>
      </c>
      <c r="B51" s="14" t="s">
        <v>873</v>
      </c>
      <c r="C51" s="14" t="s">
        <v>874</v>
      </c>
      <c r="D51" s="14" t="s">
        <v>875</v>
      </c>
      <c r="E51" s="14" t="s">
        <v>1262</v>
      </c>
      <c r="F51" s="14" t="s">
        <v>1204</v>
      </c>
      <c r="G51" s="26" t="s">
        <v>94</v>
      </c>
      <c r="H51" s="26" t="s">
        <v>109</v>
      </c>
      <c r="I51" s="27" t="s">
        <v>54</v>
      </c>
      <c r="J51" s="15"/>
      <c r="K51" s="15" t="str">
        <f>"182,5"</f>
        <v>182,5</v>
      </c>
      <c r="L51" s="15" t="str">
        <f>"130,4145"</f>
        <v>130,4145</v>
      </c>
      <c r="M51" s="14" t="s">
        <v>1067</v>
      </c>
    </row>
    <row r="52" spans="1:13">
      <c r="B52" s="5" t="s">
        <v>8</v>
      </c>
    </row>
    <row r="53" spans="1:13" ht="16">
      <c r="A53" s="52" t="s">
        <v>79</v>
      </c>
      <c r="B53" s="52"/>
      <c r="C53" s="52"/>
      <c r="D53" s="52"/>
      <c r="E53" s="52"/>
      <c r="F53" s="52"/>
      <c r="G53" s="52"/>
      <c r="H53" s="52"/>
      <c r="I53" s="52"/>
      <c r="J53" s="52"/>
    </row>
    <row r="54" spans="1:13">
      <c r="A54" s="11" t="s">
        <v>233</v>
      </c>
      <c r="B54" s="10" t="s">
        <v>876</v>
      </c>
      <c r="C54" s="10" t="s">
        <v>877</v>
      </c>
      <c r="D54" s="10" t="s">
        <v>119</v>
      </c>
      <c r="E54" s="10" t="s">
        <v>1263</v>
      </c>
      <c r="F54" s="10" t="s">
        <v>1195</v>
      </c>
      <c r="G54" s="22" t="s">
        <v>40</v>
      </c>
      <c r="H54" s="22" t="s">
        <v>108</v>
      </c>
      <c r="I54" s="23" t="s">
        <v>54</v>
      </c>
      <c r="J54" s="11"/>
      <c r="K54" s="11" t="str">
        <f>"160,0"</f>
        <v>160,0</v>
      </c>
      <c r="L54" s="11" t="str">
        <f>"108,3040"</f>
        <v>108,3040</v>
      </c>
      <c r="M54" s="10" t="s">
        <v>1183</v>
      </c>
    </row>
    <row r="55" spans="1:13">
      <c r="A55" s="13" t="s">
        <v>233</v>
      </c>
      <c r="B55" s="12" t="s">
        <v>355</v>
      </c>
      <c r="C55" s="12" t="s">
        <v>356</v>
      </c>
      <c r="D55" s="12" t="s">
        <v>357</v>
      </c>
      <c r="E55" s="12" t="s">
        <v>1262</v>
      </c>
      <c r="F55" s="12" t="s">
        <v>1195</v>
      </c>
      <c r="G55" s="25" t="s">
        <v>100</v>
      </c>
      <c r="H55" s="24" t="s">
        <v>122</v>
      </c>
      <c r="I55" s="24" t="s">
        <v>102</v>
      </c>
      <c r="J55" s="13"/>
      <c r="K55" s="13" t="str">
        <f>"260,0"</f>
        <v>260,0</v>
      </c>
      <c r="L55" s="13" t="str">
        <f>"176,5400"</f>
        <v>176,5400</v>
      </c>
      <c r="M55" s="12"/>
    </row>
    <row r="56" spans="1:13">
      <c r="A56" s="15" t="s">
        <v>233</v>
      </c>
      <c r="B56" s="14" t="s">
        <v>369</v>
      </c>
      <c r="C56" s="14" t="s">
        <v>1083</v>
      </c>
      <c r="D56" s="14" t="s">
        <v>370</v>
      </c>
      <c r="E56" s="14" t="s">
        <v>1265</v>
      </c>
      <c r="F56" s="14" t="s">
        <v>1195</v>
      </c>
      <c r="G56" s="26" t="s">
        <v>121</v>
      </c>
      <c r="H56" s="26" t="s">
        <v>20</v>
      </c>
      <c r="I56" s="26" t="s">
        <v>39</v>
      </c>
      <c r="J56" s="15"/>
      <c r="K56" s="15" t="str">
        <f>"140,0"</f>
        <v>140,0</v>
      </c>
      <c r="L56" s="15" t="str">
        <f>"99,0171"</f>
        <v>99,0171</v>
      </c>
      <c r="M56" s="14"/>
    </row>
    <row r="57" spans="1:13">
      <c r="B57" s="5" t="s">
        <v>8</v>
      </c>
    </row>
    <row r="58" spans="1:13" ht="16">
      <c r="A58" s="52" t="s">
        <v>124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3">
      <c r="A59" s="11" t="s">
        <v>233</v>
      </c>
      <c r="B59" s="10" t="s">
        <v>374</v>
      </c>
      <c r="C59" s="10" t="s">
        <v>1084</v>
      </c>
      <c r="D59" s="10" t="s">
        <v>375</v>
      </c>
      <c r="E59" s="10" t="s">
        <v>1261</v>
      </c>
      <c r="F59" s="10" t="s">
        <v>376</v>
      </c>
      <c r="G59" s="22" t="s">
        <v>85</v>
      </c>
      <c r="H59" s="22" t="s">
        <v>164</v>
      </c>
      <c r="I59" s="23" t="s">
        <v>377</v>
      </c>
      <c r="J59" s="11"/>
      <c r="K59" s="11" t="str">
        <f>"245,0"</f>
        <v>245,0</v>
      </c>
      <c r="L59" s="11" t="str">
        <f>"157,1185"</f>
        <v>157,1185</v>
      </c>
      <c r="M59" s="10"/>
    </row>
    <row r="60" spans="1:13">
      <c r="A60" s="13" t="s">
        <v>234</v>
      </c>
      <c r="B60" s="12" t="s">
        <v>878</v>
      </c>
      <c r="C60" s="12" t="s">
        <v>1143</v>
      </c>
      <c r="D60" s="12" t="s">
        <v>819</v>
      </c>
      <c r="E60" s="12" t="s">
        <v>1261</v>
      </c>
      <c r="F60" s="12" t="s">
        <v>1248</v>
      </c>
      <c r="G60" s="24" t="s">
        <v>54</v>
      </c>
      <c r="H60" s="25" t="s">
        <v>45</v>
      </c>
      <c r="I60" s="24" t="s">
        <v>45</v>
      </c>
      <c r="J60" s="13"/>
      <c r="K60" s="13" t="str">
        <f>"202,5"</f>
        <v>202,5</v>
      </c>
      <c r="L60" s="13" t="str">
        <f>"130,6327"</f>
        <v>130,6327</v>
      </c>
      <c r="M60" s="12" t="s">
        <v>1187</v>
      </c>
    </row>
    <row r="61" spans="1:13">
      <c r="A61" s="13" t="s">
        <v>233</v>
      </c>
      <c r="B61" s="12" t="s">
        <v>879</v>
      </c>
      <c r="C61" s="12" t="s">
        <v>880</v>
      </c>
      <c r="D61" s="12" t="s">
        <v>738</v>
      </c>
      <c r="E61" s="12" t="s">
        <v>1262</v>
      </c>
      <c r="F61" s="12" t="s">
        <v>1197</v>
      </c>
      <c r="G61" s="24" t="s">
        <v>158</v>
      </c>
      <c r="H61" s="24" t="s">
        <v>85</v>
      </c>
      <c r="I61" s="25" t="s">
        <v>100</v>
      </c>
      <c r="J61" s="13"/>
      <c r="K61" s="13" t="str">
        <f>"230,0"</f>
        <v>230,0</v>
      </c>
      <c r="L61" s="13" t="str">
        <f>"147,5910"</f>
        <v>147,5910</v>
      </c>
      <c r="M61" s="12"/>
    </row>
    <row r="62" spans="1:13">
      <c r="A62" s="13" t="s">
        <v>233</v>
      </c>
      <c r="B62" s="12" t="s">
        <v>739</v>
      </c>
      <c r="C62" s="12" t="s">
        <v>1116</v>
      </c>
      <c r="D62" s="12" t="s">
        <v>738</v>
      </c>
      <c r="E62" s="12" t="s">
        <v>1265</v>
      </c>
      <c r="F62" s="12" t="s">
        <v>1195</v>
      </c>
      <c r="G62" s="24" t="s">
        <v>177</v>
      </c>
      <c r="H62" s="24" t="s">
        <v>46</v>
      </c>
      <c r="I62" s="24" t="s">
        <v>158</v>
      </c>
      <c r="J62" s="13"/>
      <c r="K62" s="13" t="str">
        <f>"215,0"</f>
        <v>215,0</v>
      </c>
      <c r="L62" s="13" t="str">
        <f>"137,9655"</f>
        <v>137,9655</v>
      </c>
      <c r="M62" s="12" t="s">
        <v>1174</v>
      </c>
    </row>
    <row r="63" spans="1:13">
      <c r="A63" s="15" t="s">
        <v>233</v>
      </c>
      <c r="B63" s="14" t="s">
        <v>881</v>
      </c>
      <c r="C63" s="14" t="s">
        <v>1144</v>
      </c>
      <c r="D63" s="14" t="s">
        <v>882</v>
      </c>
      <c r="E63" s="14" t="s">
        <v>1266</v>
      </c>
      <c r="F63" s="14" t="s">
        <v>1195</v>
      </c>
      <c r="G63" s="26" t="s">
        <v>40</v>
      </c>
      <c r="H63" s="26" t="s">
        <v>41</v>
      </c>
      <c r="I63" s="26" t="s">
        <v>108</v>
      </c>
      <c r="J63" s="15"/>
      <c r="K63" s="15" t="str">
        <f>"160,0"</f>
        <v>160,0</v>
      </c>
      <c r="L63" s="15" t="str">
        <f>"130,5589"</f>
        <v>130,5589</v>
      </c>
      <c r="M63" s="14" t="s">
        <v>1174</v>
      </c>
    </row>
    <row r="64" spans="1:13">
      <c r="B64" s="5" t="s">
        <v>8</v>
      </c>
    </row>
    <row r="65" spans="1:13" ht="16">
      <c r="A65" s="52" t="s">
        <v>139</v>
      </c>
      <c r="B65" s="52"/>
      <c r="C65" s="52"/>
      <c r="D65" s="52"/>
      <c r="E65" s="52"/>
      <c r="F65" s="52"/>
      <c r="G65" s="52"/>
      <c r="H65" s="52"/>
      <c r="I65" s="52"/>
      <c r="J65" s="52"/>
    </row>
    <row r="66" spans="1:13">
      <c r="A66" s="11" t="s">
        <v>233</v>
      </c>
      <c r="B66" s="10" t="s">
        <v>883</v>
      </c>
      <c r="C66" s="10" t="s">
        <v>884</v>
      </c>
      <c r="D66" s="10" t="s">
        <v>885</v>
      </c>
      <c r="E66" s="10" t="s">
        <v>1262</v>
      </c>
      <c r="F66" s="10" t="s">
        <v>1188</v>
      </c>
      <c r="G66" s="22" t="s">
        <v>144</v>
      </c>
      <c r="H66" s="23" t="s">
        <v>146</v>
      </c>
      <c r="I66" s="22" t="s">
        <v>447</v>
      </c>
      <c r="J66" s="11"/>
      <c r="K66" s="11" t="str">
        <f>"315,0"</f>
        <v>315,0</v>
      </c>
      <c r="L66" s="11" t="str">
        <f>"193,2210"</f>
        <v>193,2210</v>
      </c>
      <c r="M66" s="10"/>
    </row>
    <row r="67" spans="1:13">
      <c r="A67" s="13" t="s">
        <v>234</v>
      </c>
      <c r="B67" s="12" t="s">
        <v>886</v>
      </c>
      <c r="C67" s="12" t="s">
        <v>887</v>
      </c>
      <c r="D67" s="12" t="s">
        <v>570</v>
      </c>
      <c r="E67" s="12" t="s">
        <v>1262</v>
      </c>
      <c r="F67" s="12" t="s">
        <v>1197</v>
      </c>
      <c r="G67" s="24" t="s">
        <v>102</v>
      </c>
      <c r="H67" s="25" t="s">
        <v>131</v>
      </c>
      <c r="I67" s="25" t="s">
        <v>131</v>
      </c>
      <c r="J67" s="13"/>
      <c r="K67" s="13" t="str">
        <f>"260,0"</f>
        <v>260,0</v>
      </c>
      <c r="L67" s="13" t="str">
        <f>"159,1980"</f>
        <v>159,1980</v>
      </c>
      <c r="M67" s="12" t="s">
        <v>888</v>
      </c>
    </row>
    <row r="68" spans="1:13">
      <c r="A68" s="13" t="s">
        <v>236</v>
      </c>
      <c r="B68" s="12" t="s">
        <v>409</v>
      </c>
      <c r="C68" s="12" t="s">
        <v>410</v>
      </c>
      <c r="D68" s="12" t="s">
        <v>411</v>
      </c>
      <c r="E68" s="12" t="s">
        <v>1262</v>
      </c>
      <c r="F68" s="12" t="s">
        <v>1210</v>
      </c>
      <c r="G68" s="24" t="s">
        <v>84</v>
      </c>
      <c r="H68" s="25" t="s">
        <v>100</v>
      </c>
      <c r="I68" s="24" t="s">
        <v>100</v>
      </c>
      <c r="J68" s="13"/>
      <c r="K68" s="13" t="str">
        <f>"240,0"</f>
        <v>240,0</v>
      </c>
      <c r="L68" s="13" t="str">
        <f>"147,1440"</f>
        <v>147,1440</v>
      </c>
      <c r="M68" s="12" t="s">
        <v>1071</v>
      </c>
    </row>
    <row r="69" spans="1:13">
      <c r="A69" s="15" t="s">
        <v>237</v>
      </c>
      <c r="B69" s="14" t="s">
        <v>419</v>
      </c>
      <c r="C69" s="14" t="s">
        <v>420</v>
      </c>
      <c r="D69" s="14" t="s">
        <v>150</v>
      </c>
      <c r="E69" s="14" t="s">
        <v>1262</v>
      </c>
      <c r="F69" s="14" t="s">
        <v>1249</v>
      </c>
      <c r="G69" s="26" t="s">
        <v>33</v>
      </c>
      <c r="H69" s="26" t="s">
        <v>120</v>
      </c>
      <c r="I69" s="27" t="s">
        <v>46</v>
      </c>
      <c r="J69" s="15"/>
      <c r="K69" s="15" t="str">
        <f>"200,0"</f>
        <v>200,0</v>
      </c>
      <c r="L69" s="15" t="str">
        <f>"123,4400"</f>
        <v>123,4400</v>
      </c>
      <c r="M69" s="14" t="s">
        <v>1054</v>
      </c>
    </row>
    <row r="70" spans="1:13">
      <c r="B70" s="5" t="s">
        <v>8</v>
      </c>
    </row>
    <row r="71" spans="1:13" ht="16">
      <c r="A71" s="52" t="s">
        <v>169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3">
      <c r="A72" s="11" t="s">
        <v>233</v>
      </c>
      <c r="B72" s="10" t="s">
        <v>889</v>
      </c>
      <c r="C72" s="10" t="s">
        <v>1145</v>
      </c>
      <c r="D72" s="10" t="s">
        <v>890</v>
      </c>
      <c r="E72" s="10" t="s">
        <v>1261</v>
      </c>
      <c r="F72" s="10" t="s">
        <v>1197</v>
      </c>
      <c r="G72" s="22" t="s">
        <v>99</v>
      </c>
      <c r="H72" s="22" t="s">
        <v>164</v>
      </c>
      <c r="I72" s="11"/>
      <c r="J72" s="11"/>
      <c r="K72" s="11" t="str">
        <f>"245,0"</f>
        <v>245,0</v>
      </c>
      <c r="L72" s="11" t="str">
        <f>"145,6770"</f>
        <v>145,6770</v>
      </c>
      <c r="M72" s="10"/>
    </row>
    <row r="73" spans="1:13">
      <c r="A73" s="13" t="s">
        <v>233</v>
      </c>
      <c r="B73" s="12" t="s">
        <v>891</v>
      </c>
      <c r="C73" s="12" t="s">
        <v>892</v>
      </c>
      <c r="D73" s="12" t="s">
        <v>893</v>
      </c>
      <c r="E73" s="12" t="s">
        <v>1262</v>
      </c>
      <c r="F73" s="12" t="s">
        <v>1195</v>
      </c>
      <c r="G73" s="24" t="s">
        <v>143</v>
      </c>
      <c r="H73" s="24" t="s">
        <v>201</v>
      </c>
      <c r="I73" s="25" t="s">
        <v>144</v>
      </c>
      <c r="J73" s="13"/>
      <c r="K73" s="13" t="str">
        <f>"282,5"</f>
        <v>282,5</v>
      </c>
      <c r="L73" s="13" t="str">
        <f>"170,6582"</f>
        <v>170,6582</v>
      </c>
      <c r="M73" s="12"/>
    </row>
    <row r="74" spans="1:13">
      <c r="A74" s="13" t="s">
        <v>234</v>
      </c>
      <c r="B74" s="12" t="s">
        <v>894</v>
      </c>
      <c r="C74" s="12" t="s">
        <v>895</v>
      </c>
      <c r="D74" s="12" t="s">
        <v>896</v>
      </c>
      <c r="E74" s="12" t="s">
        <v>1262</v>
      </c>
      <c r="F74" s="12" t="s">
        <v>1195</v>
      </c>
      <c r="G74" s="24" t="s">
        <v>377</v>
      </c>
      <c r="H74" s="24" t="s">
        <v>143</v>
      </c>
      <c r="I74" s="25" t="s">
        <v>201</v>
      </c>
      <c r="J74" s="13"/>
      <c r="K74" s="13" t="str">
        <f>"270,0"</f>
        <v>270,0</v>
      </c>
      <c r="L74" s="13" t="str">
        <f>"160,5150"</f>
        <v>160,5150</v>
      </c>
      <c r="M74" s="12" t="s">
        <v>147</v>
      </c>
    </row>
    <row r="75" spans="1:13">
      <c r="A75" s="15" t="s">
        <v>233</v>
      </c>
      <c r="B75" s="14" t="s">
        <v>897</v>
      </c>
      <c r="C75" s="14" t="s">
        <v>1102</v>
      </c>
      <c r="D75" s="14" t="s">
        <v>429</v>
      </c>
      <c r="E75" s="14" t="s">
        <v>1265</v>
      </c>
      <c r="F75" s="14" t="s">
        <v>1195</v>
      </c>
      <c r="G75" s="26" t="s">
        <v>85</v>
      </c>
      <c r="H75" s="26" t="s">
        <v>164</v>
      </c>
      <c r="I75" s="26" t="s">
        <v>102</v>
      </c>
      <c r="J75" s="15"/>
      <c r="K75" s="15" t="str">
        <f>"260,0"</f>
        <v>260,0</v>
      </c>
      <c r="L75" s="15" t="str">
        <f>"157,6150"</f>
        <v>157,6150</v>
      </c>
      <c r="M75" s="14"/>
    </row>
    <row r="76" spans="1:13">
      <c r="B76" s="5" t="s">
        <v>8</v>
      </c>
    </row>
    <row r="77" spans="1:13" ht="16">
      <c r="A77" s="52" t="s">
        <v>193</v>
      </c>
      <c r="B77" s="52"/>
      <c r="C77" s="52"/>
      <c r="D77" s="52"/>
      <c r="E77" s="52"/>
      <c r="F77" s="52"/>
      <c r="G77" s="52"/>
      <c r="H77" s="52"/>
      <c r="I77" s="52"/>
      <c r="J77" s="52"/>
    </row>
    <row r="78" spans="1:13">
      <c r="A78" s="11" t="s">
        <v>233</v>
      </c>
      <c r="B78" s="10" t="s">
        <v>898</v>
      </c>
      <c r="C78" s="10" t="s">
        <v>899</v>
      </c>
      <c r="D78" s="10" t="s">
        <v>900</v>
      </c>
      <c r="E78" s="10" t="s">
        <v>1262</v>
      </c>
      <c r="F78" s="10" t="s">
        <v>1202</v>
      </c>
      <c r="G78" s="22" t="s">
        <v>122</v>
      </c>
      <c r="H78" s="22" t="s">
        <v>143</v>
      </c>
      <c r="I78" s="23" t="s">
        <v>131</v>
      </c>
      <c r="J78" s="11"/>
      <c r="K78" s="11" t="str">
        <f>"270,0"</f>
        <v>270,0</v>
      </c>
      <c r="L78" s="11" t="str">
        <f>"156,2760"</f>
        <v>156,2760</v>
      </c>
      <c r="M78" s="10"/>
    </row>
    <row r="79" spans="1:13">
      <c r="A79" s="15" t="s">
        <v>234</v>
      </c>
      <c r="B79" s="14" t="s">
        <v>901</v>
      </c>
      <c r="C79" s="14" t="s">
        <v>902</v>
      </c>
      <c r="D79" s="14" t="s">
        <v>903</v>
      </c>
      <c r="E79" s="14" t="s">
        <v>1262</v>
      </c>
      <c r="F79" s="14" t="s">
        <v>376</v>
      </c>
      <c r="G79" s="26" t="s">
        <v>85</v>
      </c>
      <c r="H79" s="26" t="s">
        <v>403</v>
      </c>
      <c r="I79" s="15"/>
      <c r="J79" s="15"/>
      <c r="K79" s="15" t="str">
        <f>"242,5"</f>
        <v>242,5</v>
      </c>
      <c r="L79" s="15" t="str">
        <f>"140,6258"</f>
        <v>140,6258</v>
      </c>
      <c r="M79" s="14"/>
    </row>
    <row r="80" spans="1:13">
      <c r="B80" s="5" t="s">
        <v>8</v>
      </c>
    </row>
    <row r="83" spans="2:6" ht="18">
      <c r="B83" s="7" t="s">
        <v>7</v>
      </c>
      <c r="C83" s="7"/>
    </row>
    <row r="84" spans="2:6" ht="16">
      <c r="B84" s="16" t="s">
        <v>220</v>
      </c>
      <c r="C84" s="16"/>
    </row>
    <row r="85" spans="2:6" ht="14">
      <c r="B85" s="17"/>
      <c r="C85" s="18" t="s">
        <v>210</v>
      </c>
    </row>
    <row r="86" spans="2:6" ht="14">
      <c r="B86" s="19" t="s">
        <v>203</v>
      </c>
      <c r="C86" s="19" t="s">
        <v>204</v>
      </c>
      <c r="D86" s="19" t="s">
        <v>1053</v>
      </c>
      <c r="E86" s="19" t="s">
        <v>602</v>
      </c>
      <c r="F86" s="19" t="s">
        <v>206</v>
      </c>
    </row>
    <row r="87" spans="2:6">
      <c r="B87" s="5" t="s">
        <v>869</v>
      </c>
      <c r="C87" s="5" t="s">
        <v>210</v>
      </c>
      <c r="D87" s="6" t="s">
        <v>222</v>
      </c>
      <c r="E87" s="6" t="s">
        <v>144</v>
      </c>
      <c r="F87" s="6" t="s">
        <v>904</v>
      </c>
    </row>
    <row r="88" spans="2:6">
      <c r="B88" s="5" t="s">
        <v>883</v>
      </c>
      <c r="C88" s="5" t="s">
        <v>210</v>
      </c>
      <c r="D88" s="6" t="s">
        <v>225</v>
      </c>
      <c r="E88" s="6" t="s">
        <v>447</v>
      </c>
      <c r="F88" s="6" t="s">
        <v>905</v>
      </c>
    </row>
    <row r="89" spans="2:6">
      <c r="B89" s="5" t="s">
        <v>355</v>
      </c>
      <c r="C89" s="5" t="s">
        <v>210</v>
      </c>
      <c r="D89" s="6" t="s">
        <v>223</v>
      </c>
      <c r="E89" s="6" t="s">
        <v>102</v>
      </c>
      <c r="F89" s="6" t="s">
        <v>906</v>
      </c>
    </row>
    <row r="90" spans="2:6">
      <c r="B90" s="5" t="s">
        <v>8</v>
      </c>
    </row>
    <row r="91" spans="2:6">
      <c r="B91" s="5" t="s">
        <v>8</v>
      </c>
    </row>
  </sheetData>
  <mergeCells count="27">
    <mergeCell ref="A65:J65"/>
    <mergeCell ref="A71:J71"/>
    <mergeCell ref="A77:J77"/>
    <mergeCell ref="B3:B4"/>
    <mergeCell ref="A34:J34"/>
    <mergeCell ref="A37:J37"/>
    <mergeCell ref="A40:J40"/>
    <mergeCell ref="A45:J45"/>
    <mergeCell ref="A53:J53"/>
    <mergeCell ref="A58:J58"/>
    <mergeCell ref="A8:J8"/>
    <mergeCell ref="A12:J12"/>
    <mergeCell ref="A16:J16"/>
    <mergeCell ref="A20:J20"/>
    <mergeCell ref="A26:J26"/>
    <mergeCell ref="A31:J3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36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5" style="5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1" t="s">
        <v>1047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</v>
      </c>
      <c r="H3" s="35"/>
      <c r="I3" s="35"/>
      <c r="J3" s="35"/>
      <c r="K3" s="33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22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23</v>
      </c>
      <c r="C6" s="8" t="s">
        <v>24</v>
      </c>
      <c r="D6" s="8" t="s">
        <v>25</v>
      </c>
      <c r="E6" s="8" t="s">
        <v>1262</v>
      </c>
      <c r="F6" s="8" t="s">
        <v>1213</v>
      </c>
      <c r="G6" s="21" t="s">
        <v>32</v>
      </c>
      <c r="H6" s="21" t="s">
        <v>33</v>
      </c>
      <c r="I6" s="20" t="s">
        <v>34</v>
      </c>
      <c r="J6" s="9"/>
      <c r="K6" s="32" t="str">
        <f>"190,0"</f>
        <v>190,0</v>
      </c>
      <c r="L6" s="9" t="str">
        <f>"223,5540"</f>
        <v>223,5540</v>
      </c>
      <c r="M6" s="8" t="s">
        <v>21</v>
      </c>
    </row>
    <row r="7" spans="1:13">
      <c r="B7" s="5" t="s">
        <v>8</v>
      </c>
    </row>
    <row r="8" spans="1:13" ht="16">
      <c r="A8" s="52" t="s">
        <v>35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36</v>
      </c>
      <c r="C9" s="8" t="s">
        <v>37</v>
      </c>
      <c r="D9" s="8" t="s">
        <v>38</v>
      </c>
      <c r="E9" s="8" t="s">
        <v>1262</v>
      </c>
      <c r="F9" s="8" t="s">
        <v>1214</v>
      </c>
      <c r="G9" s="21" t="s">
        <v>45</v>
      </c>
      <c r="H9" s="21" t="s">
        <v>46</v>
      </c>
      <c r="I9" s="9"/>
      <c r="J9" s="9"/>
      <c r="K9" s="32" t="str">
        <f>"210,0"</f>
        <v>210,0</v>
      </c>
      <c r="L9" s="9" t="str">
        <f>"235,6410"</f>
        <v>235,6410</v>
      </c>
      <c r="M9" s="8" t="s">
        <v>1157</v>
      </c>
    </row>
    <row r="10" spans="1:13">
      <c r="B10" s="5" t="s">
        <v>8</v>
      </c>
    </row>
    <row r="11" spans="1:13" ht="16">
      <c r="A11" s="52" t="s">
        <v>89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1" t="s">
        <v>233</v>
      </c>
      <c r="B12" s="10" t="s">
        <v>804</v>
      </c>
      <c r="C12" s="10" t="s">
        <v>805</v>
      </c>
      <c r="D12" s="10" t="s">
        <v>806</v>
      </c>
      <c r="E12" s="10" t="s">
        <v>1262</v>
      </c>
      <c r="F12" s="10" t="s">
        <v>1250</v>
      </c>
      <c r="G12" s="22" t="s">
        <v>40</v>
      </c>
      <c r="H12" s="22" t="s">
        <v>108</v>
      </c>
      <c r="I12" s="23" t="s">
        <v>115</v>
      </c>
      <c r="J12" s="11"/>
      <c r="K12" s="29" t="str">
        <f>"160,0"</f>
        <v>160,0</v>
      </c>
      <c r="L12" s="11" t="str">
        <f>"154,2080"</f>
        <v>154,2080</v>
      </c>
      <c r="M12" s="10" t="s">
        <v>807</v>
      </c>
    </row>
    <row r="13" spans="1:13">
      <c r="A13" s="15" t="s">
        <v>233</v>
      </c>
      <c r="B13" s="14" t="s">
        <v>808</v>
      </c>
      <c r="C13" s="14" t="s">
        <v>1146</v>
      </c>
      <c r="D13" s="14" t="s">
        <v>347</v>
      </c>
      <c r="E13" s="14" t="s">
        <v>1265</v>
      </c>
      <c r="F13" s="14" t="s">
        <v>1215</v>
      </c>
      <c r="G13" s="26" t="s">
        <v>101</v>
      </c>
      <c r="H13" s="26" t="s">
        <v>27</v>
      </c>
      <c r="I13" s="27" t="s">
        <v>28</v>
      </c>
      <c r="J13" s="15"/>
      <c r="K13" s="30" t="str">
        <f>"137,5"</f>
        <v>137,5</v>
      </c>
      <c r="L13" s="15" t="str">
        <f>"137,3446"</f>
        <v>137,3446</v>
      </c>
      <c r="M13" s="14" t="s">
        <v>809</v>
      </c>
    </row>
    <row r="14" spans="1:13">
      <c r="B14" s="5" t="s">
        <v>8</v>
      </c>
    </row>
    <row r="15" spans="1:13" ht="16">
      <c r="A15" s="52" t="s">
        <v>124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9" t="s">
        <v>233</v>
      </c>
      <c r="B16" s="8" t="s">
        <v>810</v>
      </c>
      <c r="C16" s="8" t="s">
        <v>811</v>
      </c>
      <c r="D16" s="8" t="s">
        <v>812</v>
      </c>
      <c r="E16" s="8" t="s">
        <v>1262</v>
      </c>
      <c r="F16" s="8" t="s">
        <v>1194</v>
      </c>
      <c r="G16" s="21" t="s">
        <v>122</v>
      </c>
      <c r="H16" s="20" t="s">
        <v>102</v>
      </c>
      <c r="I16" s="20" t="s">
        <v>102</v>
      </c>
      <c r="J16" s="9"/>
      <c r="K16" s="32" t="str">
        <f>"250,0"</f>
        <v>250,0</v>
      </c>
      <c r="L16" s="9" t="str">
        <f>"216,3250"</f>
        <v>216,3250</v>
      </c>
      <c r="M16" s="8"/>
    </row>
    <row r="17" spans="1:13">
      <c r="B17" s="5" t="s">
        <v>8</v>
      </c>
    </row>
    <row r="18" spans="1:13" ht="16">
      <c r="A18" s="52" t="s">
        <v>89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>
      <c r="A19" s="11" t="s">
        <v>233</v>
      </c>
      <c r="B19" s="10" t="s">
        <v>96</v>
      </c>
      <c r="C19" s="10" t="s">
        <v>97</v>
      </c>
      <c r="D19" s="10" t="s">
        <v>98</v>
      </c>
      <c r="E19" s="10" t="s">
        <v>1262</v>
      </c>
      <c r="F19" s="10" t="s">
        <v>1215</v>
      </c>
      <c r="G19" s="22" t="s">
        <v>100</v>
      </c>
      <c r="H19" s="22" t="s">
        <v>122</v>
      </c>
      <c r="I19" s="23" t="s">
        <v>398</v>
      </c>
      <c r="J19" s="11"/>
      <c r="K19" s="29" t="str">
        <f>"250,0"</f>
        <v>250,0</v>
      </c>
      <c r="L19" s="11" t="str">
        <f>"181,6000"</f>
        <v>181,6000</v>
      </c>
      <c r="M19" s="10" t="s">
        <v>103</v>
      </c>
    </row>
    <row r="20" spans="1:13">
      <c r="A20" s="13" t="s">
        <v>234</v>
      </c>
      <c r="B20" s="12" t="s">
        <v>813</v>
      </c>
      <c r="C20" s="12" t="s">
        <v>814</v>
      </c>
      <c r="D20" s="12" t="s">
        <v>815</v>
      </c>
      <c r="E20" s="12" t="s">
        <v>1262</v>
      </c>
      <c r="F20" s="12" t="s">
        <v>1251</v>
      </c>
      <c r="G20" s="24" t="s">
        <v>120</v>
      </c>
      <c r="H20" s="24" t="s">
        <v>158</v>
      </c>
      <c r="I20" s="25" t="s">
        <v>85</v>
      </c>
      <c r="J20" s="13"/>
      <c r="K20" s="31" t="str">
        <f>"215,0"</f>
        <v>215,0</v>
      </c>
      <c r="L20" s="13" t="str">
        <f>"153,7680"</f>
        <v>153,7680</v>
      </c>
      <c r="M20" s="12" t="s">
        <v>816</v>
      </c>
    </row>
    <row r="21" spans="1:13">
      <c r="A21" s="15" t="s">
        <v>235</v>
      </c>
      <c r="B21" s="14" t="s">
        <v>96</v>
      </c>
      <c r="C21" s="14" t="s">
        <v>97</v>
      </c>
      <c r="D21" s="14" t="s">
        <v>98</v>
      </c>
      <c r="E21" s="14" t="s">
        <v>1262</v>
      </c>
      <c r="F21" s="14" t="s">
        <v>1215</v>
      </c>
      <c r="G21" s="27" t="s">
        <v>102</v>
      </c>
      <c r="H21" s="27" t="s">
        <v>102</v>
      </c>
      <c r="I21" s="27" t="s">
        <v>102</v>
      </c>
      <c r="J21" s="15"/>
      <c r="K21" s="30">
        <v>0</v>
      </c>
      <c r="L21" s="15" t="str">
        <f>"0,0000"</f>
        <v>0,0000</v>
      </c>
      <c r="M21" s="14" t="s">
        <v>103</v>
      </c>
    </row>
    <row r="22" spans="1:13">
      <c r="B22" s="5" t="s">
        <v>8</v>
      </c>
    </row>
    <row r="23" spans="1:13" ht="16">
      <c r="A23" s="52" t="s">
        <v>79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3">
      <c r="A24" s="9" t="s">
        <v>235</v>
      </c>
      <c r="B24" s="8" t="s">
        <v>817</v>
      </c>
      <c r="C24" s="8" t="s">
        <v>1147</v>
      </c>
      <c r="D24" s="8" t="s">
        <v>539</v>
      </c>
      <c r="E24" s="8" t="s">
        <v>1266</v>
      </c>
      <c r="F24" s="8" t="s">
        <v>1195</v>
      </c>
      <c r="G24" s="20" t="s">
        <v>83</v>
      </c>
      <c r="H24" s="20" t="s">
        <v>83</v>
      </c>
      <c r="I24" s="9"/>
      <c r="J24" s="9"/>
      <c r="K24" s="32">
        <v>0</v>
      </c>
      <c r="L24" s="9" t="str">
        <f>"0,0000"</f>
        <v>0,0000</v>
      </c>
      <c r="M24" s="8"/>
    </row>
    <row r="25" spans="1:13">
      <c r="B25" s="5" t="s">
        <v>8</v>
      </c>
    </row>
    <row r="26" spans="1:13" ht="16">
      <c r="A26" s="52" t="s">
        <v>124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11" t="s">
        <v>233</v>
      </c>
      <c r="B27" s="10" t="s">
        <v>471</v>
      </c>
      <c r="C27" s="10" t="s">
        <v>472</v>
      </c>
      <c r="D27" s="10" t="s">
        <v>473</v>
      </c>
      <c r="E27" s="10" t="s">
        <v>1262</v>
      </c>
      <c r="F27" s="10" t="s">
        <v>376</v>
      </c>
      <c r="G27" s="23" t="s">
        <v>122</v>
      </c>
      <c r="H27" s="22" t="s">
        <v>122</v>
      </c>
      <c r="I27" s="23" t="s">
        <v>474</v>
      </c>
      <c r="J27" s="11"/>
      <c r="K27" s="29" t="str">
        <f>"250,0"</f>
        <v>250,0</v>
      </c>
      <c r="L27" s="11" t="str">
        <f>"160,1500"</f>
        <v>160,1500</v>
      </c>
      <c r="M27" s="10"/>
    </row>
    <row r="28" spans="1:13">
      <c r="A28" s="15" t="s">
        <v>233</v>
      </c>
      <c r="B28" s="14" t="s">
        <v>818</v>
      </c>
      <c r="C28" s="14" t="s">
        <v>1148</v>
      </c>
      <c r="D28" s="14" t="s">
        <v>819</v>
      </c>
      <c r="E28" s="14" t="s">
        <v>1268</v>
      </c>
      <c r="F28" s="14" t="s">
        <v>1195</v>
      </c>
      <c r="G28" s="26" t="s">
        <v>470</v>
      </c>
      <c r="H28" s="26" t="s">
        <v>40</v>
      </c>
      <c r="I28" s="27" t="s">
        <v>41</v>
      </c>
      <c r="J28" s="15"/>
      <c r="K28" s="30" t="str">
        <f>"150,0"</f>
        <v>150,0</v>
      </c>
      <c r="L28" s="15" t="str">
        <f>"139,3416"</f>
        <v>139,3416</v>
      </c>
      <c r="M28" s="14" t="s">
        <v>820</v>
      </c>
    </row>
    <row r="29" spans="1:13">
      <c r="B29" s="5" t="s">
        <v>8</v>
      </c>
    </row>
    <row r="30" spans="1:13" ht="16">
      <c r="A30" s="52" t="s">
        <v>139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3">
      <c r="A31" s="9" t="s">
        <v>233</v>
      </c>
      <c r="B31" s="8" t="s">
        <v>821</v>
      </c>
      <c r="C31" s="8" t="s">
        <v>822</v>
      </c>
      <c r="D31" s="8" t="s">
        <v>823</v>
      </c>
      <c r="E31" s="8" t="s">
        <v>1262</v>
      </c>
      <c r="F31" s="8" t="s">
        <v>1252</v>
      </c>
      <c r="G31" s="20" t="s">
        <v>824</v>
      </c>
      <c r="H31" s="21" t="s">
        <v>824</v>
      </c>
      <c r="I31" s="21" t="s">
        <v>1190</v>
      </c>
      <c r="J31" s="9"/>
      <c r="K31" s="32" t="str">
        <f>"355,0"</f>
        <v>355,0</v>
      </c>
      <c r="L31" s="9" t="str">
        <f>"219,6030"</f>
        <v>219,6030</v>
      </c>
      <c r="M31" s="8"/>
    </row>
    <row r="32" spans="1:13">
      <c r="B32" s="5" t="s">
        <v>8</v>
      </c>
    </row>
    <row r="33" spans="1:13" ht="16">
      <c r="A33" s="52" t="s">
        <v>169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3">
      <c r="A34" s="11" t="s">
        <v>233</v>
      </c>
      <c r="B34" s="10" t="s">
        <v>825</v>
      </c>
      <c r="C34" s="10" t="s">
        <v>826</v>
      </c>
      <c r="D34" s="10" t="s">
        <v>827</v>
      </c>
      <c r="E34" s="10" t="s">
        <v>1262</v>
      </c>
      <c r="F34" s="10" t="s">
        <v>1195</v>
      </c>
      <c r="G34" s="22" t="s">
        <v>85</v>
      </c>
      <c r="H34" s="22" t="s">
        <v>122</v>
      </c>
      <c r="I34" s="23" t="s">
        <v>102</v>
      </c>
      <c r="J34" s="11"/>
      <c r="K34" s="29" t="str">
        <f>"250,0"</f>
        <v>250,0</v>
      </c>
      <c r="L34" s="11" t="str">
        <f>"149,9500"</f>
        <v>149,9500</v>
      </c>
      <c r="M34" s="10" t="s">
        <v>820</v>
      </c>
    </row>
    <row r="35" spans="1:13">
      <c r="A35" s="15" t="s">
        <v>235</v>
      </c>
      <c r="B35" s="14" t="s">
        <v>828</v>
      </c>
      <c r="C35" s="14" t="s">
        <v>829</v>
      </c>
      <c r="D35" s="14" t="s">
        <v>830</v>
      </c>
      <c r="E35" s="14" t="s">
        <v>1262</v>
      </c>
      <c r="F35" s="14" t="s">
        <v>376</v>
      </c>
      <c r="G35" s="27" t="s">
        <v>483</v>
      </c>
      <c r="H35" s="27" t="s">
        <v>483</v>
      </c>
      <c r="I35" s="15"/>
      <c r="J35" s="15"/>
      <c r="K35" s="30">
        <v>0</v>
      </c>
      <c r="L35" s="15" t="str">
        <f>"0,0000"</f>
        <v>0,0000</v>
      </c>
      <c r="M35" s="14"/>
    </row>
    <row r="36" spans="1:13">
      <c r="B36" s="5" t="s">
        <v>8</v>
      </c>
    </row>
  </sheetData>
  <mergeCells count="20">
    <mergeCell ref="A30:J30"/>
    <mergeCell ref="A33:J33"/>
    <mergeCell ref="B3:B4"/>
    <mergeCell ref="A8:J8"/>
    <mergeCell ref="A11:J11"/>
    <mergeCell ref="A15:J15"/>
    <mergeCell ref="A18:J18"/>
    <mergeCell ref="A23:J23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U75"/>
  <sheetViews>
    <sheetView topLeftCell="A28"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4.83203125" style="5" bestFit="1" customWidth="1"/>
    <col min="22" max="16384" width="9.1640625" style="3"/>
  </cols>
  <sheetData>
    <row r="1" spans="1:21" s="2" customFormat="1" ht="29" customHeight="1">
      <c r="A1" s="41" t="s">
        <v>1031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12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9" t="s">
        <v>233</v>
      </c>
      <c r="B6" s="8" t="s">
        <v>13</v>
      </c>
      <c r="C6" s="8" t="s">
        <v>14</v>
      </c>
      <c r="D6" s="8" t="s">
        <v>15</v>
      </c>
      <c r="E6" s="8" t="s">
        <v>1262</v>
      </c>
      <c r="F6" s="8" t="s">
        <v>1195</v>
      </c>
      <c r="G6" s="20" t="s">
        <v>16</v>
      </c>
      <c r="H6" s="20" t="s">
        <v>16</v>
      </c>
      <c r="I6" s="21" t="s">
        <v>16</v>
      </c>
      <c r="J6" s="9"/>
      <c r="K6" s="21" t="s">
        <v>17</v>
      </c>
      <c r="L6" s="20" t="s">
        <v>18</v>
      </c>
      <c r="M6" s="20" t="s">
        <v>18</v>
      </c>
      <c r="N6" s="9"/>
      <c r="O6" s="21" t="s">
        <v>19</v>
      </c>
      <c r="P6" s="21" t="s">
        <v>20</v>
      </c>
      <c r="Q6" s="9"/>
      <c r="R6" s="9"/>
      <c r="S6" s="32" t="str">
        <f>"282,5"</f>
        <v>282,5</v>
      </c>
      <c r="T6" s="9" t="str">
        <f>"374,7363"</f>
        <v>374,7363</v>
      </c>
      <c r="U6" s="8" t="s">
        <v>21</v>
      </c>
    </row>
    <row r="7" spans="1:21">
      <c r="B7" s="5" t="s">
        <v>8</v>
      </c>
    </row>
    <row r="8" spans="1:21" ht="16">
      <c r="A8" s="52" t="s">
        <v>22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9" t="s">
        <v>233</v>
      </c>
      <c r="B9" s="8" t="s">
        <v>23</v>
      </c>
      <c r="C9" s="8" t="s">
        <v>24</v>
      </c>
      <c r="D9" s="8" t="s">
        <v>25</v>
      </c>
      <c r="E9" s="8" t="s">
        <v>1262</v>
      </c>
      <c r="F9" s="8" t="s">
        <v>1213</v>
      </c>
      <c r="G9" s="21" t="s">
        <v>27</v>
      </c>
      <c r="H9" s="20" t="s">
        <v>28</v>
      </c>
      <c r="I9" s="21" t="s">
        <v>28</v>
      </c>
      <c r="J9" s="9"/>
      <c r="K9" s="21" t="s">
        <v>29</v>
      </c>
      <c r="L9" s="21" t="s">
        <v>30</v>
      </c>
      <c r="M9" s="21" t="s">
        <v>31</v>
      </c>
      <c r="N9" s="9"/>
      <c r="O9" s="21" t="s">
        <v>32</v>
      </c>
      <c r="P9" s="21" t="s">
        <v>33</v>
      </c>
      <c r="Q9" s="20" t="s">
        <v>34</v>
      </c>
      <c r="R9" s="9"/>
      <c r="S9" s="32" t="str">
        <f>"417,5"</f>
        <v>417,5</v>
      </c>
      <c r="T9" s="9" t="str">
        <f>"491,2305"</f>
        <v>491,2305</v>
      </c>
      <c r="U9" s="8" t="s">
        <v>21</v>
      </c>
    </row>
    <row r="10" spans="1:21">
      <c r="B10" s="5" t="s">
        <v>8</v>
      </c>
    </row>
    <row r="11" spans="1:21" ht="16">
      <c r="A11" s="52" t="s">
        <v>35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1" t="s">
        <v>233</v>
      </c>
      <c r="B12" s="10" t="s">
        <v>36</v>
      </c>
      <c r="C12" s="10" t="s">
        <v>37</v>
      </c>
      <c r="D12" s="10" t="s">
        <v>38</v>
      </c>
      <c r="E12" s="10" t="s">
        <v>1262</v>
      </c>
      <c r="F12" s="10" t="s">
        <v>1214</v>
      </c>
      <c r="G12" s="22" t="s">
        <v>39</v>
      </c>
      <c r="H12" s="22" t="s">
        <v>40</v>
      </c>
      <c r="I12" s="22" t="s">
        <v>41</v>
      </c>
      <c r="J12" s="11"/>
      <c r="K12" s="22" t="s">
        <v>42</v>
      </c>
      <c r="L12" s="22" t="s">
        <v>43</v>
      </c>
      <c r="M12" s="23" t="s">
        <v>44</v>
      </c>
      <c r="N12" s="11"/>
      <c r="O12" s="22" t="s">
        <v>45</v>
      </c>
      <c r="P12" s="22" t="s">
        <v>46</v>
      </c>
      <c r="Q12" s="11"/>
      <c r="R12" s="11"/>
      <c r="S12" s="29" t="str">
        <f>"460,0"</f>
        <v>460,0</v>
      </c>
      <c r="T12" s="11" t="str">
        <f>"516,1660"</f>
        <v>516,1660</v>
      </c>
      <c r="U12" s="10" t="s">
        <v>1157</v>
      </c>
    </row>
    <row r="13" spans="1:21">
      <c r="A13" s="13" t="s">
        <v>234</v>
      </c>
      <c r="B13" s="12" t="s">
        <v>47</v>
      </c>
      <c r="C13" s="12" t="s">
        <v>48</v>
      </c>
      <c r="D13" s="12" t="s">
        <v>49</v>
      </c>
      <c r="E13" s="12" t="s">
        <v>1262</v>
      </c>
      <c r="F13" s="12" t="s">
        <v>1195</v>
      </c>
      <c r="G13" s="24" t="s">
        <v>50</v>
      </c>
      <c r="H13" s="24" t="s">
        <v>40</v>
      </c>
      <c r="I13" s="24" t="s">
        <v>41</v>
      </c>
      <c r="J13" s="13"/>
      <c r="K13" s="24" t="s">
        <v>51</v>
      </c>
      <c r="L13" s="24" t="s">
        <v>16</v>
      </c>
      <c r="M13" s="25" t="s">
        <v>52</v>
      </c>
      <c r="N13" s="13"/>
      <c r="O13" s="24" t="s">
        <v>53</v>
      </c>
      <c r="P13" s="24" t="s">
        <v>32</v>
      </c>
      <c r="Q13" s="25" t="s">
        <v>54</v>
      </c>
      <c r="R13" s="13"/>
      <c r="S13" s="31" t="str">
        <f>"437,5"</f>
        <v>437,5</v>
      </c>
      <c r="T13" s="13" t="str">
        <f>"489,0375"</f>
        <v>489,0375</v>
      </c>
      <c r="U13" s="12" t="s">
        <v>21</v>
      </c>
    </row>
    <row r="14" spans="1:21">
      <c r="A14" s="15" t="s">
        <v>233</v>
      </c>
      <c r="B14" s="14" t="s">
        <v>47</v>
      </c>
      <c r="C14" s="14" t="s">
        <v>1088</v>
      </c>
      <c r="D14" s="14" t="s">
        <v>49</v>
      </c>
      <c r="E14" s="14" t="s">
        <v>1265</v>
      </c>
      <c r="F14" s="14" t="s">
        <v>1195</v>
      </c>
      <c r="G14" s="26" t="s">
        <v>50</v>
      </c>
      <c r="H14" s="26" t="s">
        <v>40</v>
      </c>
      <c r="I14" s="26" t="s">
        <v>41</v>
      </c>
      <c r="J14" s="15"/>
      <c r="K14" s="26" t="s">
        <v>51</v>
      </c>
      <c r="L14" s="26" t="s">
        <v>16</v>
      </c>
      <c r="M14" s="27" t="s">
        <v>52</v>
      </c>
      <c r="N14" s="15"/>
      <c r="O14" s="26" t="s">
        <v>53</v>
      </c>
      <c r="P14" s="26" t="s">
        <v>32</v>
      </c>
      <c r="Q14" s="27" t="s">
        <v>54</v>
      </c>
      <c r="R14" s="15"/>
      <c r="S14" s="30" t="str">
        <f>"437,5"</f>
        <v>437,5</v>
      </c>
      <c r="T14" s="15" t="str">
        <f>"491,4827"</f>
        <v>491,4827</v>
      </c>
      <c r="U14" s="14" t="s">
        <v>21</v>
      </c>
    </row>
    <row r="15" spans="1:21">
      <c r="B15" s="5" t="s">
        <v>8</v>
      </c>
    </row>
    <row r="16" spans="1:21" ht="16">
      <c r="A16" s="52" t="s">
        <v>55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21">
      <c r="A17" s="11" t="s">
        <v>233</v>
      </c>
      <c r="B17" s="10" t="s">
        <v>56</v>
      </c>
      <c r="C17" s="10" t="s">
        <v>57</v>
      </c>
      <c r="D17" s="10" t="s">
        <v>58</v>
      </c>
      <c r="E17" s="10" t="s">
        <v>1263</v>
      </c>
      <c r="F17" s="10" t="s">
        <v>1195</v>
      </c>
      <c r="G17" s="22" t="s">
        <v>59</v>
      </c>
      <c r="H17" s="22" t="s">
        <v>60</v>
      </c>
      <c r="I17" s="22" t="s">
        <v>61</v>
      </c>
      <c r="J17" s="11"/>
      <c r="K17" s="22" t="s">
        <v>62</v>
      </c>
      <c r="L17" s="22" t="s">
        <v>63</v>
      </c>
      <c r="M17" s="22" t="s">
        <v>64</v>
      </c>
      <c r="N17" s="11"/>
      <c r="O17" s="22" t="s">
        <v>42</v>
      </c>
      <c r="P17" s="22" t="s">
        <v>65</v>
      </c>
      <c r="Q17" s="22" t="s">
        <v>66</v>
      </c>
      <c r="R17" s="11"/>
      <c r="S17" s="29" t="str">
        <f>"207,5"</f>
        <v>207,5</v>
      </c>
      <c r="T17" s="11" t="str">
        <f>"222,5853"</f>
        <v>222,5853</v>
      </c>
      <c r="U17" s="10" t="s">
        <v>1158</v>
      </c>
    </row>
    <row r="18" spans="1:21">
      <c r="A18" s="13" t="s">
        <v>233</v>
      </c>
      <c r="B18" s="12" t="s">
        <v>67</v>
      </c>
      <c r="C18" s="12" t="s">
        <v>68</v>
      </c>
      <c r="D18" s="12" t="s">
        <v>69</v>
      </c>
      <c r="E18" s="12" t="s">
        <v>1262</v>
      </c>
      <c r="F18" s="12" t="s">
        <v>1195</v>
      </c>
      <c r="G18" s="24" t="s">
        <v>70</v>
      </c>
      <c r="H18" s="24" t="s">
        <v>29</v>
      </c>
      <c r="I18" s="24" t="s">
        <v>30</v>
      </c>
      <c r="J18" s="13"/>
      <c r="K18" s="24" t="s">
        <v>71</v>
      </c>
      <c r="L18" s="24" t="s">
        <v>18</v>
      </c>
      <c r="M18" s="24" t="s">
        <v>72</v>
      </c>
      <c r="N18" s="13"/>
      <c r="O18" s="24" t="s">
        <v>73</v>
      </c>
      <c r="P18" s="24" t="s">
        <v>51</v>
      </c>
      <c r="Q18" s="24" t="s">
        <v>16</v>
      </c>
      <c r="R18" s="13"/>
      <c r="S18" s="31" t="str">
        <f>"237,5"</f>
        <v>237,5</v>
      </c>
      <c r="T18" s="13" t="str">
        <f>"254,4575"</f>
        <v>254,4575</v>
      </c>
      <c r="U18" s="12" t="s">
        <v>74</v>
      </c>
    </row>
    <row r="19" spans="1:21">
      <c r="A19" s="13" t="s">
        <v>234</v>
      </c>
      <c r="B19" s="12" t="s">
        <v>56</v>
      </c>
      <c r="C19" s="12" t="s">
        <v>75</v>
      </c>
      <c r="D19" s="12" t="s">
        <v>58</v>
      </c>
      <c r="E19" s="12" t="s">
        <v>1262</v>
      </c>
      <c r="F19" s="12" t="s">
        <v>1195</v>
      </c>
      <c r="G19" s="24" t="s">
        <v>59</v>
      </c>
      <c r="H19" s="24" t="s">
        <v>60</v>
      </c>
      <c r="I19" s="24" t="s">
        <v>61</v>
      </c>
      <c r="J19" s="13"/>
      <c r="K19" s="24" t="s">
        <v>62</v>
      </c>
      <c r="L19" s="24" t="s">
        <v>63</v>
      </c>
      <c r="M19" s="24" t="s">
        <v>64</v>
      </c>
      <c r="N19" s="13"/>
      <c r="O19" s="24" t="s">
        <v>42</v>
      </c>
      <c r="P19" s="24" t="s">
        <v>65</v>
      </c>
      <c r="Q19" s="24" t="s">
        <v>66</v>
      </c>
      <c r="R19" s="13"/>
      <c r="S19" s="31" t="str">
        <f>"207,5"</f>
        <v>207,5</v>
      </c>
      <c r="T19" s="13" t="str">
        <f>"222,5853"</f>
        <v>222,5853</v>
      </c>
      <c r="U19" s="12" t="s">
        <v>1158</v>
      </c>
    </row>
    <row r="20" spans="1:21">
      <c r="A20" s="15" t="s">
        <v>235</v>
      </c>
      <c r="B20" s="14" t="s">
        <v>76</v>
      </c>
      <c r="C20" s="14" t="s">
        <v>1089</v>
      </c>
      <c r="D20" s="14" t="s">
        <v>77</v>
      </c>
      <c r="E20" s="14" t="s">
        <v>1265</v>
      </c>
      <c r="F20" s="14" t="s">
        <v>1198</v>
      </c>
      <c r="G20" s="27" t="s">
        <v>20</v>
      </c>
      <c r="H20" s="27" t="s">
        <v>20</v>
      </c>
      <c r="I20" s="27" t="s">
        <v>20</v>
      </c>
      <c r="J20" s="15"/>
      <c r="K20" s="27"/>
      <c r="L20" s="15"/>
      <c r="M20" s="15"/>
      <c r="N20" s="15"/>
      <c r="O20" s="27"/>
      <c r="P20" s="15"/>
      <c r="Q20" s="15"/>
      <c r="R20" s="15"/>
      <c r="S20" s="30">
        <v>0</v>
      </c>
      <c r="T20" s="15" t="str">
        <f>"0,0000"</f>
        <v>0,0000</v>
      </c>
      <c r="U20" s="14" t="s">
        <v>1159</v>
      </c>
    </row>
    <row r="21" spans="1:21">
      <c r="B21" s="5" t="s">
        <v>8</v>
      </c>
    </row>
    <row r="22" spans="1:21" ht="16">
      <c r="A22" s="52" t="s">
        <v>79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21">
      <c r="A23" s="9" t="s">
        <v>235</v>
      </c>
      <c r="B23" s="8" t="s">
        <v>80</v>
      </c>
      <c r="C23" s="8" t="s">
        <v>81</v>
      </c>
      <c r="D23" s="8" t="s">
        <v>82</v>
      </c>
      <c r="E23" s="8" t="s">
        <v>1262</v>
      </c>
      <c r="F23" s="8" t="s">
        <v>1197</v>
      </c>
      <c r="G23" s="21" t="s">
        <v>46</v>
      </c>
      <c r="H23" s="21" t="s">
        <v>83</v>
      </c>
      <c r="I23" s="21" t="s">
        <v>84</v>
      </c>
      <c r="J23" s="20" t="s">
        <v>85</v>
      </c>
      <c r="K23" s="21" t="s">
        <v>86</v>
      </c>
      <c r="L23" s="21" t="s">
        <v>87</v>
      </c>
      <c r="M23" s="20" t="s">
        <v>19</v>
      </c>
      <c r="N23" s="9"/>
      <c r="O23" s="20" t="s">
        <v>46</v>
      </c>
      <c r="P23" s="20" t="s">
        <v>46</v>
      </c>
      <c r="Q23" s="20" t="s">
        <v>46</v>
      </c>
      <c r="R23" s="9"/>
      <c r="S23" s="32">
        <v>0</v>
      </c>
      <c r="T23" s="9" t="str">
        <f>"0,0000"</f>
        <v>0,0000</v>
      </c>
      <c r="U23" s="8" t="s">
        <v>88</v>
      </c>
    </row>
    <row r="24" spans="1:21">
      <c r="B24" s="5" t="s">
        <v>8</v>
      </c>
    </row>
    <row r="25" spans="1:21" ht="16">
      <c r="A25" s="52" t="s">
        <v>89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1">
      <c r="A26" s="11" t="s">
        <v>233</v>
      </c>
      <c r="B26" s="10" t="s">
        <v>90</v>
      </c>
      <c r="C26" s="10" t="s">
        <v>91</v>
      </c>
      <c r="D26" s="10" t="s">
        <v>92</v>
      </c>
      <c r="E26" s="10" t="s">
        <v>1263</v>
      </c>
      <c r="F26" s="10" t="s">
        <v>1201</v>
      </c>
      <c r="G26" s="22" t="s">
        <v>93</v>
      </c>
      <c r="H26" s="22" t="s">
        <v>94</v>
      </c>
      <c r="I26" s="23" t="s">
        <v>95</v>
      </c>
      <c r="J26" s="11"/>
      <c r="K26" s="22" t="s">
        <v>29</v>
      </c>
      <c r="L26" s="22" t="s">
        <v>42</v>
      </c>
      <c r="M26" s="23" t="s">
        <v>43</v>
      </c>
      <c r="N26" s="11"/>
      <c r="O26" s="22" t="s">
        <v>41</v>
      </c>
      <c r="P26" s="22" t="s">
        <v>93</v>
      </c>
      <c r="Q26" s="22" t="s">
        <v>94</v>
      </c>
      <c r="R26" s="11"/>
      <c r="S26" s="29" t="str">
        <f>"435,0"</f>
        <v>435,0</v>
      </c>
      <c r="T26" s="11" t="str">
        <f>"321,8130"</f>
        <v>321,8130</v>
      </c>
      <c r="U26" s="10"/>
    </row>
    <row r="27" spans="1:21">
      <c r="A27" s="15" t="s">
        <v>235</v>
      </c>
      <c r="B27" s="14" t="s">
        <v>96</v>
      </c>
      <c r="C27" s="14" t="s">
        <v>97</v>
      </c>
      <c r="D27" s="14" t="s">
        <v>98</v>
      </c>
      <c r="E27" s="14" t="s">
        <v>1262</v>
      </c>
      <c r="F27" s="14" t="s">
        <v>1215</v>
      </c>
      <c r="G27" s="26" t="s">
        <v>99</v>
      </c>
      <c r="H27" s="27" t="s">
        <v>100</v>
      </c>
      <c r="I27" s="15"/>
      <c r="J27" s="15"/>
      <c r="K27" s="26" t="s">
        <v>20</v>
      </c>
      <c r="L27" s="27" t="s">
        <v>101</v>
      </c>
      <c r="M27" s="15"/>
      <c r="N27" s="15"/>
      <c r="O27" s="27" t="s">
        <v>102</v>
      </c>
      <c r="P27" s="27" t="s">
        <v>102</v>
      </c>
      <c r="Q27" s="27" t="s">
        <v>102</v>
      </c>
      <c r="R27" s="15"/>
      <c r="S27" s="30">
        <v>0</v>
      </c>
      <c r="T27" s="15" t="str">
        <f>"0,0000"</f>
        <v>0,0000</v>
      </c>
      <c r="U27" s="14" t="s">
        <v>103</v>
      </c>
    </row>
    <row r="28" spans="1:21">
      <c r="B28" s="5" t="s">
        <v>8</v>
      </c>
    </row>
    <row r="29" spans="1:21" ht="16">
      <c r="A29" s="52" t="s">
        <v>79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>
      <c r="A30" s="11" t="s">
        <v>233</v>
      </c>
      <c r="B30" s="10" t="s">
        <v>104</v>
      </c>
      <c r="C30" s="10" t="s">
        <v>105</v>
      </c>
      <c r="D30" s="10" t="s">
        <v>106</v>
      </c>
      <c r="E30" s="10" t="s">
        <v>1263</v>
      </c>
      <c r="F30" s="10" t="s">
        <v>1201</v>
      </c>
      <c r="G30" s="22" t="s">
        <v>107</v>
      </c>
      <c r="H30" s="22" t="s">
        <v>50</v>
      </c>
      <c r="I30" s="22" t="s">
        <v>40</v>
      </c>
      <c r="J30" s="11"/>
      <c r="K30" s="22" t="s">
        <v>44</v>
      </c>
      <c r="L30" s="22" t="s">
        <v>52</v>
      </c>
      <c r="M30" s="23" t="s">
        <v>86</v>
      </c>
      <c r="N30" s="11"/>
      <c r="O30" s="22" t="s">
        <v>108</v>
      </c>
      <c r="P30" s="22" t="s">
        <v>94</v>
      </c>
      <c r="Q30" s="22" t="s">
        <v>109</v>
      </c>
      <c r="R30" s="11"/>
      <c r="S30" s="29" t="str">
        <f>"440,0"</f>
        <v>440,0</v>
      </c>
      <c r="T30" s="11" t="str">
        <f>"312,0920"</f>
        <v>312,0920</v>
      </c>
      <c r="U30" s="10"/>
    </row>
    <row r="31" spans="1:21">
      <c r="A31" s="13" t="s">
        <v>233</v>
      </c>
      <c r="B31" s="12" t="s">
        <v>110</v>
      </c>
      <c r="C31" s="12" t="s">
        <v>111</v>
      </c>
      <c r="D31" s="12" t="s">
        <v>112</v>
      </c>
      <c r="E31" s="12" t="s">
        <v>1262</v>
      </c>
      <c r="F31" s="12" t="s">
        <v>1195</v>
      </c>
      <c r="G31" s="24" t="s">
        <v>54</v>
      </c>
      <c r="H31" s="24" t="s">
        <v>113</v>
      </c>
      <c r="I31" s="24" t="s">
        <v>45</v>
      </c>
      <c r="J31" s="13"/>
      <c r="K31" s="24" t="s">
        <v>114</v>
      </c>
      <c r="L31" s="24" t="s">
        <v>93</v>
      </c>
      <c r="M31" s="24" t="s">
        <v>115</v>
      </c>
      <c r="N31" s="13"/>
      <c r="O31" s="24" t="s">
        <v>116</v>
      </c>
      <c r="P31" s="24" t="s">
        <v>99</v>
      </c>
      <c r="Q31" s="25" t="s">
        <v>100</v>
      </c>
      <c r="R31" s="13"/>
      <c r="S31" s="31" t="str">
        <f>"605,0"</f>
        <v>605,0</v>
      </c>
      <c r="T31" s="13" t="str">
        <f>"406,1970"</f>
        <v>406,1970</v>
      </c>
      <c r="U31" s="12" t="s">
        <v>21</v>
      </c>
    </row>
    <row r="32" spans="1:21">
      <c r="A32" s="15" t="s">
        <v>234</v>
      </c>
      <c r="B32" s="14" t="s">
        <v>117</v>
      </c>
      <c r="C32" s="14" t="s">
        <v>118</v>
      </c>
      <c r="D32" s="14" t="s">
        <v>119</v>
      </c>
      <c r="E32" s="14" t="s">
        <v>1262</v>
      </c>
      <c r="F32" s="14" t="s">
        <v>1197</v>
      </c>
      <c r="G32" s="26" t="s">
        <v>32</v>
      </c>
      <c r="H32" s="26" t="s">
        <v>120</v>
      </c>
      <c r="I32" s="26" t="s">
        <v>46</v>
      </c>
      <c r="J32" s="15"/>
      <c r="K32" s="26" t="s">
        <v>121</v>
      </c>
      <c r="L32" s="26" t="s">
        <v>20</v>
      </c>
      <c r="M32" s="26" t="s">
        <v>39</v>
      </c>
      <c r="N32" s="15"/>
      <c r="O32" s="26" t="s">
        <v>83</v>
      </c>
      <c r="P32" s="26" t="s">
        <v>99</v>
      </c>
      <c r="Q32" s="26" t="s">
        <v>122</v>
      </c>
      <c r="R32" s="15"/>
      <c r="S32" s="30" t="str">
        <f>"600,0"</f>
        <v>600,0</v>
      </c>
      <c r="T32" s="15" t="str">
        <f>"406,1400"</f>
        <v>406,1400</v>
      </c>
      <c r="U32" s="14" t="s">
        <v>123</v>
      </c>
    </row>
    <row r="33" spans="1:21">
      <c r="B33" s="5" t="s">
        <v>8</v>
      </c>
    </row>
    <row r="34" spans="1:21" ht="16">
      <c r="A34" s="52" t="s">
        <v>124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1">
      <c r="A35" s="11" t="s">
        <v>233</v>
      </c>
      <c r="B35" s="10" t="s">
        <v>125</v>
      </c>
      <c r="C35" s="10" t="s">
        <v>126</v>
      </c>
      <c r="D35" s="10" t="s">
        <v>127</v>
      </c>
      <c r="E35" s="10" t="s">
        <v>1262</v>
      </c>
      <c r="F35" s="10" t="s">
        <v>1216</v>
      </c>
      <c r="G35" s="22" t="s">
        <v>128</v>
      </c>
      <c r="H35" s="22" t="s">
        <v>129</v>
      </c>
      <c r="I35" s="23" t="s">
        <v>83</v>
      </c>
      <c r="J35" s="11"/>
      <c r="K35" s="22" t="s">
        <v>41</v>
      </c>
      <c r="L35" s="22" t="s">
        <v>114</v>
      </c>
      <c r="M35" s="23" t="s">
        <v>108</v>
      </c>
      <c r="N35" s="11"/>
      <c r="O35" s="22" t="s">
        <v>130</v>
      </c>
      <c r="P35" s="22" t="s">
        <v>131</v>
      </c>
      <c r="Q35" s="23" t="s">
        <v>132</v>
      </c>
      <c r="R35" s="11"/>
      <c r="S35" s="29" t="str">
        <f>"655,0"</f>
        <v>655,0</v>
      </c>
      <c r="T35" s="11" t="str">
        <f>"419,0690"</f>
        <v>419,0690</v>
      </c>
      <c r="U35" s="10"/>
    </row>
    <row r="36" spans="1:21">
      <c r="A36" s="15" t="s">
        <v>234</v>
      </c>
      <c r="B36" s="14" t="s">
        <v>133</v>
      </c>
      <c r="C36" s="14" t="s">
        <v>134</v>
      </c>
      <c r="D36" s="14" t="s">
        <v>135</v>
      </c>
      <c r="E36" s="14" t="s">
        <v>1262</v>
      </c>
      <c r="F36" s="14" t="s">
        <v>1195</v>
      </c>
      <c r="G36" s="26" t="s">
        <v>83</v>
      </c>
      <c r="H36" s="26" t="s">
        <v>136</v>
      </c>
      <c r="I36" s="27" t="s">
        <v>137</v>
      </c>
      <c r="J36" s="15"/>
      <c r="K36" s="26" t="s">
        <v>101</v>
      </c>
      <c r="L36" s="26" t="s">
        <v>27</v>
      </c>
      <c r="M36" s="27" t="s">
        <v>50</v>
      </c>
      <c r="N36" s="15"/>
      <c r="O36" s="26" t="s">
        <v>83</v>
      </c>
      <c r="P36" s="26" t="s">
        <v>136</v>
      </c>
      <c r="Q36" s="15"/>
      <c r="R36" s="15"/>
      <c r="S36" s="30" t="str">
        <f>"592,5"</f>
        <v>592,5</v>
      </c>
      <c r="T36" s="15" t="str">
        <f>"380,6220"</f>
        <v>380,6220</v>
      </c>
      <c r="U36" s="14" t="s">
        <v>138</v>
      </c>
    </row>
    <row r="37" spans="1:21">
      <c r="B37" s="5" t="s">
        <v>8</v>
      </c>
    </row>
    <row r="38" spans="1:21" ht="16">
      <c r="A38" s="52" t="s">
        <v>139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>
      <c r="A39" s="11" t="s">
        <v>233</v>
      </c>
      <c r="B39" s="10" t="s">
        <v>140</v>
      </c>
      <c r="C39" s="10" t="s">
        <v>141</v>
      </c>
      <c r="D39" s="10" t="s">
        <v>142</v>
      </c>
      <c r="E39" s="10" t="s">
        <v>1262</v>
      </c>
      <c r="F39" s="10" t="s">
        <v>1195</v>
      </c>
      <c r="G39" s="22" t="s">
        <v>122</v>
      </c>
      <c r="H39" s="22" t="s">
        <v>102</v>
      </c>
      <c r="I39" s="22" t="s">
        <v>143</v>
      </c>
      <c r="J39" s="11"/>
      <c r="K39" s="22" t="s">
        <v>54</v>
      </c>
      <c r="L39" s="22" t="s">
        <v>113</v>
      </c>
      <c r="M39" s="23" t="s">
        <v>120</v>
      </c>
      <c r="N39" s="11"/>
      <c r="O39" s="22" t="s">
        <v>144</v>
      </c>
      <c r="P39" s="23" t="s">
        <v>145</v>
      </c>
      <c r="Q39" s="23" t="s">
        <v>146</v>
      </c>
      <c r="R39" s="11"/>
      <c r="S39" s="29" t="str">
        <f>"765,0"</f>
        <v>765,0</v>
      </c>
      <c r="T39" s="11" t="str">
        <f>"467,2620"</f>
        <v>467,2620</v>
      </c>
      <c r="U39" s="10" t="s">
        <v>147</v>
      </c>
    </row>
    <row r="40" spans="1:21">
      <c r="A40" s="13" t="s">
        <v>234</v>
      </c>
      <c r="B40" s="12" t="s">
        <v>148</v>
      </c>
      <c r="C40" s="12" t="s">
        <v>149</v>
      </c>
      <c r="D40" s="12" t="s">
        <v>150</v>
      </c>
      <c r="E40" s="12" t="s">
        <v>1262</v>
      </c>
      <c r="F40" s="12" t="s">
        <v>1203</v>
      </c>
      <c r="G40" s="24" t="s">
        <v>85</v>
      </c>
      <c r="H40" s="24" t="s">
        <v>100</v>
      </c>
      <c r="I40" s="24" t="s">
        <v>122</v>
      </c>
      <c r="J40" s="13"/>
      <c r="K40" s="24" t="s">
        <v>32</v>
      </c>
      <c r="L40" s="24" t="s">
        <v>33</v>
      </c>
      <c r="M40" s="24" t="s">
        <v>120</v>
      </c>
      <c r="N40" s="13"/>
      <c r="O40" s="24" t="s">
        <v>102</v>
      </c>
      <c r="P40" s="24" t="s">
        <v>143</v>
      </c>
      <c r="Q40" s="24" t="s">
        <v>132</v>
      </c>
      <c r="R40" s="13"/>
      <c r="S40" s="31" t="str">
        <f>"735,0"</f>
        <v>735,0</v>
      </c>
      <c r="T40" s="13" t="str">
        <f>"453,6420"</f>
        <v>453,6420</v>
      </c>
      <c r="U40" s="12"/>
    </row>
    <row r="41" spans="1:21">
      <c r="A41" s="13" t="s">
        <v>236</v>
      </c>
      <c r="B41" s="12" t="s">
        <v>151</v>
      </c>
      <c r="C41" s="12" t="s">
        <v>152</v>
      </c>
      <c r="D41" s="12" t="s">
        <v>153</v>
      </c>
      <c r="E41" s="12" t="s">
        <v>1262</v>
      </c>
      <c r="F41" s="12" t="s">
        <v>1197</v>
      </c>
      <c r="G41" s="24" t="s">
        <v>46</v>
      </c>
      <c r="H41" s="24" t="s">
        <v>83</v>
      </c>
      <c r="I41" s="24" t="s">
        <v>85</v>
      </c>
      <c r="J41" s="13"/>
      <c r="K41" s="24" t="s">
        <v>41</v>
      </c>
      <c r="L41" s="24" t="s">
        <v>93</v>
      </c>
      <c r="M41" s="24" t="s">
        <v>154</v>
      </c>
      <c r="N41" s="13"/>
      <c r="O41" s="24" t="s">
        <v>83</v>
      </c>
      <c r="P41" s="24" t="s">
        <v>102</v>
      </c>
      <c r="Q41" s="25" t="s">
        <v>131</v>
      </c>
      <c r="R41" s="13"/>
      <c r="S41" s="31" t="str">
        <f>"662,5"</f>
        <v>662,5</v>
      </c>
      <c r="T41" s="13" t="str">
        <f>"407,7687"</f>
        <v>407,7687</v>
      </c>
      <c r="U41" s="12"/>
    </row>
    <row r="42" spans="1:21">
      <c r="A42" s="13" t="s">
        <v>237</v>
      </c>
      <c r="B42" s="12" t="s">
        <v>155</v>
      </c>
      <c r="C42" s="12" t="s">
        <v>156</v>
      </c>
      <c r="D42" s="12" t="s">
        <v>157</v>
      </c>
      <c r="E42" s="12" t="s">
        <v>1262</v>
      </c>
      <c r="F42" s="12" t="s">
        <v>1213</v>
      </c>
      <c r="G42" s="24" t="s">
        <v>32</v>
      </c>
      <c r="H42" s="24" t="s">
        <v>120</v>
      </c>
      <c r="I42" s="25" t="s">
        <v>158</v>
      </c>
      <c r="J42" s="13"/>
      <c r="K42" s="25" t="s">
        <v>108</v>
      </c>
      <c r="L42" s="24" t="s">
        <v>32</v>
      </c>
      <c r="M42" s="25" t="s">
        <v>54</v>
      </c>
      <c r="N42" s="13"/>
      <c r="O42" s="24" t="s">
        <v>102</v>
      </c>
      <c r="P42" s="25" t="s">
        <v>131</v>
      </c>
      <c r="Q42" s="25" t="s">
        <v>131</v>
      </c>
      <c r="R42" s="13"/>
      <c r="S42" s="31" t="str">
        <f>"640,0"</f>
        <v>640,0</v>
      </c>
      <c r="T42" s="13" t="str">
        <f>"400,8320"</f>
        <v>400,8320</v>
      </c>
      <c r="U42" s="12" t="s">
        <v>159</v>
      </c>
    </row>
    <row r="43" spans="1:21">
      <c r="A43" s="13" t="s">
        <v>235</v>
      </c>
      <c r="B43" s="12" t="s">
        <v>160</v>
      </c>
      <c r="C43" s="12" t="s">
        <v>161</v>
      </c>
      <c r="D43" s="12" t="s">
        <v>162</v>
      </c>
      <c r="E43" s="12" t="s">
        <v>1262</v>
      </c>
      <c r="F43" s="12" t="s">
        <v>1217</v>
      </c>
      <c r="G43" s="24" t="s">
        <v>116</v>
      </c>
      <c r="H43" s="24" t="s">
        <v>163</v>
      </c>
      <c r="I43" s="25" t="s">
        <v>164</v>
      </c>
      <c r="J43" s="13"/>
      <c r="K43" s="25" t="s">
        <v>165</v>
      </c>
      <c r="L43" s="25" t="s">
        <v>114</v>
      </c>
      <c r="M43" s="25" t="s">
        <v>114</v>
      </c>
      <c r="N43" s="13"/>
      <c r="O43" s="25"/>
      <c r="P43" s="13"/>
      <c r="Q43" s="13"/>
      <c r="R43" s="13"/>
      <c r="S43" s="31">
        <v>0</v>
      </c>
      <c r="T43" s="13" t="str">
        <f>"0,0000"</f>
        <v>0,0000</v>
      </c>
      <c r="U43" s="12"/>
    </row>
    <row r="44" spans="1:21">
      <c r="A44" s="15" t="s">
        <v>233</v>
      </c>
      <c r="B44" s="14" t="s">
        <v>166</v>
      </c>
      <c r="C44" s="14" t="s">
        <v>1090</v>
      </c>
      <c r="D44" s="14" t="s">
        <v>167</v>
      </c>
      <c r="E44" s="14" t="s">
        <v>1267</v>
      </c>
      <c r="F44" s="14" t="s">
        <v>1195</v>
      </c>
      <c r="G44" s="26" t="s">
        <v>83</v>
      </c>
      <c r="H44" s="27" t="s">
        <v>136</v>
      </c>
      <c r="I44" s="26" t="s">
        <v>136</v>
      </c>
      <c r="J44" s="15"/>
      <c r="K44" s="26" t="s">
        <v>28</v>
      </c>
      <c r="L44" s="26" t="s">
        <v>41</v>
      </c>
      <c r="M44" s="27" t="s">
        <v>114</v>
      </c>
      <c r="N44" s="15"/>
      <c r="O44" s="26" t="s">
        <v>99</v>
      </c>
      <c r="P44" s="26" t="s">
        <v>100</v>
      </c>
      <c r="Q44" s="15"/>
      <c r="R44" s="15"/>
      <c r="S44" s="30" t="str">
        <f>"622,5"</f>
        <v>622,5</v>
      </c>
      <c r="T44" s="15" t="str">
        <f>"439,2609"</f>
        <v>439,2609</v>
      </c>
      <c r="U44" s="14" t="s">
        <v>168</v>
      </c>
    </row>
    <row r="45" spans="1:21">
      <c r="B45" s="5" t="s">
        <v>8</v>
      </c>
    </row>
    <row r="46" spans="1:21" ht="16">
      <c r="A46" s="52" t="s">
        <v>169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>
      <c r="A47" s="11" t="s">
        <v>233</v>
      </c>
      <c r="B47" s="10" t="s">
        <v>170</v>
      </c>
      <c r="C47" s="10" t="s">
        <v>1091</v>
      </c>
      <c r="D47" s="10" t="s">
        <v>171</v>
      </c>
      <c r="E47" s="10" t="s">
        <v>1261</v>
      </c>
      <c r="F47" s="10" t="s">
        <v>1218</v>
      </c>
      <c r="G47" s="22" t="s">
        <v>122</v>
      </c>
      <c r="H47" s="22" t="s">
        <v>102</v>
      </c>
      <c r="I47" s="23" t="s">
        <v>143</v>
      </c>
      <c r="J47" s="11"/>
      <c r="K47" s="22" t="s">
        <v>32</v>
      </c>
      <c r="L47" s="22" t="s">
        <v>33</v>
      </c>
      <c r="M47" s="23" t="s">
        <v>113</v>
      </c>
      <c r="N47" s="11"/>
      <c r="O47" s="22" t="s">
        <v>146</v>
      </c>
      <c r="P47" s="22" t="s">
        <v>172</v>
      </c>
      <c r="Q47" s="22" t="s">
        <v>173</v>
      </c>
      <c r="R47" s="11"/>
      <c r="S47" s="29" t="str">
        <f>"777,5"</f>
        <v>777,5</v>
      </c>
      <c r="T47" s="11" t="str">
        <f>"459,6580"</f>
        <v>459,6580</v>
      </c>
      <c r="U47" s="10"/>
    </row>
    <row r="48" spans="1:21">
      <c r="A48" s="13" t="s">
        <v>233</v>
      </c>
      <c r="B48" s="12" t="s">
        <v>174</v>
      </c>
      <c r="C48" s="12" t="s">
        <v>175</v>
      </c>
      <c r="D48" s="12" t="s">
        <v>176</v>
      </c>
      <c r="E48" s="12" t="s">
        <v>1262</v>
      </c>
      <c r="F48" s="12" t="s">
        <v>1219</v>
      </c>
      <c r="G48" s="24" t="s">
        <v>143</v>
      </c>
      <c r="H48" s="24" t="s">
        <v>131</v>
      </c>
      <c r="I48" s="25" t="s">
        <v>132</v>
      </c>
      <c r="J48" s="13"/>
      <c r="K48" s="24" t="s">
        <v>120</v>
      </c>
      <c r="L48" s="25" t="s">
        <v>177</v>
      </c>
      <c r="M48" s="25" t="s">
        <v>177</v>
      </c>
      <c r="N48" s="13"/>
      <c r="O48" s="24" t="s">
        <v>144</v>
      </c>
      <c r="P48" s="25" t="s">
        <v>146</v>
      </c>
      <c r="Q48" s="25" t="s">
        <v>146</v>
      </c>
      <c r="R48" s="13"/>
      <c r="S48" s="31" t="str">
        <f>"780,0"</f>
        <v>780,0</v>
      </c>
      <c r="T48" s="13" t="str">
        <f>"461,5260"</f>
        <v>461,5260</v>
      </c>
      <c r="U48" s="12"/>
    </row>
    <row r="49" spans="1:21">
      <c r="A49" s="13" t="s">
        <v>234</v>
      </c>
      <c r="B49" s="12" t="s">
        <v>178</v>
      </c>
      <c r="C49" s="12" t="s">
        <v>179</v>
      </c>
      <c r="D49" s="12" t="s">
        <v>180</v>
      </c>
      <c r="E49" s="12" t="s">
        <v>1262</v>
      </c>
      <c r="F49" s="12" t="s">
        <v>1216</v>
      </c>
      <c r="G49" s="24" t="s">
        <v>100</v>
      </c>
      <c r="H49" s="25" t="s">
        <v>164</v>
      </c>
      <c r="I49" s="24" t="s">
        <v>122</v>
      </c>
      <c r="J49" s="13"/>
      <c r="K49" s="24" t="s">
        <v>109</v>
      </c>
      <c r="L49" s="24" t="s">
        <v>54</v>
      </c>
      <c r="M49" s="25" t="s">
        <v>181</v>
      </c>
      <c r="N49" s="13"/>
      <c r="O49" s="24" t="s">
        <v>182</v>
      </c>
      <c r="P49" s="24" t="s">
        <v>144</v>
      </c>
      <c r="Q49" s="24" t="s">
        <v>145</v>
      </c>
      <c r="R49" s="13"/>
      <c r="S49" s="31" t="str">
        <f>"740,0"</f>
        <v>740,0</v>
      </c>
      <c r="T49" s="13" t="str">
        <f>"437,7840"</f>
        <v>437,7840</v>
      </c>
      <c r="U49" s="12"/>
    </row>
    <row r="50" spans="1:21">
      <c r="A50" s="13" t="s">
        <v>236</v>
      </c>
      <c r="B50" s="12" t="s">
        <v>183</v>
      </c>
      <c r="C50" s="12" t="s">
        <v>184</v>
      </c>
      <c r="D50" s="12" t="s">
        <v>185</v>
      </c>
      <c r="E50" s="12" t="s">
        <v>1262</v>
      </c>
      <c r="F50" s="12" t="s">
        <v>1201</v>
      </c>
      <c r="G50" s="24" t="s">
        <v>83</v>
      </c>
      <c r="H50" s="24" t="s">
        <v>85</v>
      </c>
      <c r="I50" s="24" t="s">
        <v>99</v>
      </c>
      <c r="J50" s="13"/>
      <c r="K50" s="24" t="s">
        <v>53</v>
      </c>
      <c r="L50" s="24" t="s">
        <v>32</v>
      </c>
      <c r="M50" s="25" t="s">
        <v>54</v>
      </c>
      <c r="N50" s="13"/>
      <c r="O50" s="24" t="s">
        <v>186</v>
      </c>
      <c r="P50" s="24" t="s">
        <v>132</v>
      </c>
      <c r="Q50" s="25" t="s">
        <v>187</v>
      </c>
      <c r="R50" s="13"/>
      <c r="S50" s="31" t="str">
        <f>"700,0"</f>
        <v>700,0</v>
      </c>
      <c r="T50" s="13" t="str">
        <f>"419,4400"</f>
        <v>419,4400</v>
      </c>
      <c r="U50" s="12" t="s">
        <v>188</v>
      </c>
    </row>
    <row r="51" spans="1:21">
      <c r="A51" s="15" t="s">
        <v>237</v>
      </c>
      <c r="B51" s="14" t="s">
        <v>189</v>
      </c>
      <c r="C51" s="14" t="s">
        <v>190</v>
      </c>
      <c r="D51" s="14" t="s">
        <v>191</v>
      </c>
      <c r="E51" s="14" t="s">
        <v>1262</v>
      </c>
      <c r="F51" s="14" t="s">
        <v>1220</v>
      </c>
      <c r="G51" s="26" t="s">
        <v>93</v>
      </c>
      <c r="H51" s="26" t="s">
        <v>32</v>
      </c>
      <c r="I51" s="26" t="s">
        <v>33</v>
      </c>
      <c r="J51" s="15"/>
      <c r="K51" s="26" t="s">
        <v>93</v>
      </c>
      <c r="L51" s="26" t="s">
        <v>94</v>
      </c>
      <c r="M51" s="27" t="s">
        <v>54</v>
      </c>
      <c r="N51" s="15"/>
      <c r="O51" s="26" t="s">
        <v>113</v>
      </c>
      <c r="P51" s="26" t="s">
        <v>158</v>
      </c>
      <c r="Q51" s="26" t="s">
        <v>99</v>
      </c>
      <c r="R51" s="15"/>
      <c r="S51" s="30" t="str">
        <f>"600,0"</f>
        <v>600,0</v>
      </c>
      <c r="T51" s="15" t="str">
        <f>"355,4400"</f>
        <v>355,4400</v>
      </c>
      <c r="U51" s="14" t="s">
        <v>192</v>
      </c>
    </row>
    <row r="52" spans="1:21">
      <c r="B52" s="5" t="s">
        <v>8</v>
      </c>
    </row>
    <row r="53" spans="1:21" ht="16">
      <c r="A53" s="52" t="s">
        <v>193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</row>
    <row r="54" spans="1:21">
      <c r="A54" s="9" t="s">
        <v>233</v>
      </c>
      <c r="B54" s="8" t="s">
        <v>194</v>
      </c>
      <c r="C54" s="8" t="s">
        <v>1092</v>
      </c>
      <c r="D54" s="8" t="s">
        <v>195</v>
      </c>
      <c r="E54" s="8" t="s">
        <v>1264</v>
      </c>
      <c r="F54" s="8" t="s">
        <v>1195</v>
      </c>
      <c r="G54" s="20" t="s">
        <v>46</v>
      </c>
      <c r="H54" s="21" t="s">
        <v>46</v>
      </c>
      <c r="I54" s="21" t="s">
        <v>84</v>
      </c>
      <c r="J54" s="9"/>
      <c r="K54" s="21" t="s">
        <v>93</v>
      </c>
      <c r="L54" s="21" t="s">
        <v>154</v>
      </c>
      <c r="M54" s="21" t="s">
        <v>94</v>
      </c>
      <c r="N54" s="9"/>
      <c r="O54" s="21" t="s">
        <v>177</v>
      </c>
      <c r="P54" s="21" t="s">
        <v>158</v>
      </c>
      <c r="Q54" s="21" t="s">
        <v>85</v>
      </c>
      <c r="R54" s="9"/>
      <c r="S54" s="32" t="str">
        <f>"630,0"</f>
        <v>630,0</v>
      </c>
      <c r="T54" s="9" t="str">
        <f>"404,3887"</f>
        <v>404,3887</v>
      </c>
      <c r="U54" s="8" t="s">
        <v>196</v>
      </c>
    </row>
    <row r="55" spans="1:21">
      <c r="B55" s="5" t="s">
        <v>8</v>
      </c>
    </row>
    <row r="56" spans="1:21" ht="16">
      <c r="A56" s="52" t="s">
        <v>197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1:21">
      <c r="A57" s="9" t="s">
        <v>233</v>
      </c>
      <c r="B57" s="8" t="s">
        <v>198</v>
      </c>
      <c r="C57" s="8" t="s">
        <v>199</v>
      </c>
      <c r="D57" s="8" t="s">
        <v>200</v>
      </c>
      <c r="E57" s="8" t="s">
        <v>1262</v>
      </c>
      <c r="F57" s="8" t="s">
        <v>1197</v>
      </c>
      <c r="G57" s="21" t="s">
        <v>102</v>
      </c>
      <c r="H57" s="20" t="s">
        <v>186</v>
      </c>
      <c r="I57" s="20" t="s">
        <v>186</v>
      </c>
      <c r="J57" s="9"/>
      <c r="K57" s="21" t="s">
        <v>177</v>
      </c>
      <c r="L57" s="21" t="s">
        <v>158</v>
      </c>
      <c r="M57" s="21" t="s">
        <v>83</v>
      </c>
      <c r="N57" s="9"/>
      <c r="O57" s="21" t="s">
        <v>143</v>
      </c>
      <c r="P57" s="20" t="s">
        <v>201</v>
      </c>
      <c r="Q57" s="20" t="s">
        <v>201</v>
      </c>
      <c r="R57" s="9"/>
      <c r="S57" s="32" t="str">
        <f>"750,0"</f>
        <v>750,0</v>
      </c>
      <c r="T57" s="9" t="str">
        <f>"420,3000"</f>
        <v>420,3000</v>
      </c>
      <c r="U57" s="8" t="s">
        <v>21</v>
      </c>
    </row>
    <row r="58" spans="1:21">
      <c r="B58" s="5" t="s">
        <v>8</v>
      </c>
    </row>
    <row r="61" spans="1:21" ht="18">
      <c r="B61" s="7" t="s">
        <v>7</v>
      </c>
      <c r="C61" s="7"/>
      <c r="F61" s="3"/>
    </row>
    <row r="62" spans="1:21" ht="16">
      <c r="B62" s="16" t="s">
        <v>202</v>
      </c>
      <c r="C62" s="16"/>
      <c r="F62" s="3"/>
    </row>
    <row r="63" spans="1:21" ht="14">
      <c r="B63" s="17"/>
      <c r="C63" s="18" t="s">
        <v>210</v>
      </c>
      <c r="F63" s="3"/>
    </row>
    <row r="64" spans="1:21" ht="14">
      <c r="B64" s="19" t="s">
        <v>203</v>
      </c>
      <c r="C64" s="19" t="s">
        <v>204</v>
      </c>
      <c r="D64" s="19" t="s">
        <v>1053</v>
      </c>
      <c r="E64" s="19" t="s">
        <v>205</v>
      </c>
      <c r="F64" s="19" t="s">
        <v>206</v>
      </c>
    </row>
    <row r="65" spans="2:6">
      <c r="B65" s="5" t="s">
        <v>36</v>
      </c>
      <c r="C65" s="5" t="s">
        <v>210</v>
      </c>
      <c r="D65" s="6" t="s">
        <v>211</v>
      </c>
      <c r="E65" s="6" t="s">
        <v>212</v>
      </c>
      <c r="F65" s="6" t="s">
        <v>213</v>
      </c>
    </row>
    <row r="66" spans="2:6">
      <c r="B66" s="5" t="s">
        <v>23</v>
      </c>
      <c r="C66" s="5" t="s">
        <v>210</v>
      </c>
      <c r="D66" s="6" t="s">
        <v>214</v>
      </c>
      <c r="E66" s="6" t="s">
        <v>215</v>
      </c>
      <c r="F66" s="6" t="s">
        <v>216</v>
      </c>
    </row>
    <row r="67" spans="2:6">
      <c r="B67" s="5" t="s">
        <v>47</v>
      </c>
      <c r="C67" s="5" t="s">
        <v>210</v>
      </c>
      <c r="D67" s="6" t="s">
        <v>211</v>
      </c>
      <c r="E67" s="6" t="s">
        <v>217</v>
      </c>
      <c r="F67" s="6" t="s">
        <v>218</v>
      </c>
    </row>
    <row r="69" spans="2:6" ht="16">
      <c r="B69" s="16" t="s">
        <v>220</v>
      </c>
      <c r="C69" s="16"/>
    </row>
    <row r="70" spans="2:6" ht="14">
      <c r="B70" s="17"/>
      <c r="C70" s="18" t="s">
        <v>210</v>
      </c>
    </row>
    <row r="71" spans="2:6" ht="14">
      <c r="B71" s="19" t="s">
        <v>203</v>
      </c>
      <c r="C71" s="19" t="s">
        <v>204</v>
      </c>
      <c r="D71" s="19" t="s">
        <v>1053</v>
      </c>
      <c r="E71" s="19" t="s">
        <v>205</v>
      </c>
      <c r="F71" s="19" t="s">
        <v>206</v>
      </c>
    </row>
    <row r="72" spans="2:6">
      <c r="B72" s="5" t="s">
        <v>140</v>
      </c>
      <c r="C72" s="5" t="s">
        <v>210</v>
      </c>
      <c r="D72" s="6" t="s">
        <v>225</v>
      </c>
      <c r="E72" s="6" t="s">
        <v>226</v>
      </c>
      <c r="F72" s="6" t="s">
        <v>227</v>
      </c>
    </row>
    <row r="73" spans="2:6">
      <c r="B73" s="5" t="s">
        <v>174</v>
      </c>
      <c r="C73" s="5" t="s">
        <v>210</v>
      </c>
      <c r="D73" s="6" t="s">
        <v>224</v>
      </c>
      <c r="E73" s="6" t="s">
        <v>228</v>
      </c>
      <c r="F73" s="6" t="s">
        <v>229</v>
      </c>
    </row>
    <row r="74" spans="2:6">
      <c r="B74" s="5" t="s">
        <v>148</v>
      </c>
      <c r="C74" s="5" t="s">
        <v>210</v>
      </c>
      <c r="D74" s="6" t="s">
        <v>225</v>
      </c>
      <c r="E74" s="6" t="s">
        <v>230</v>
      </c>
      <c r="F74" s="6" t="s">
        <v>231</v>
      </c>
    </row>
    <row r="75" spans="2:6">
      <c r="B75" s="5" t="s">
        <v>8</v>
      </c>
    </row>
  </sheetData>
  <mergeCells count="25">
    <mergeCell ref="A34:R34"/>
    <mergeCell ref="A38:R38"/>
    <mergeCell ref="A46:R46"/>
    <mergeCell ref="A53:R53"/>
    <mergeCell ref="A56:R56"/>
    <mergeCell ref="A25:R25"/>
    <mergeCell ref="A29:R29"/>
    <mergeCell ref="S3:S4"/>
    <mergeCell ref="T3:T4"/>
    <mergeCell ref="U3:U4"/>
    <mergeCell ref="A5:R5"/>
    <mergeCell ref="B3:B4"/>
    <mergeCell ref="A8:R8"/>
    <mergeCell ref="A11:R11"/>
    <mergeCell ref="A16:R16"/>
    <mergeCell ref="A22:R22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3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4" width="5.5" style="6" customWidth="1"/>
    <col min="15" max="15" width="7.83203125" style="28" bestFit="1" customWidth="1"/>
    <col min="16" max="16" width="8.5" style="6" bestFit="1" customWidth="1"/>
    <col min="17" max="17" width="20.83203125" style="5" customWidth="1"/>
    <col min="18" max="16384" width="9.1640625" style="3"/>
  </cols>
  <sheetData>
    <row r="1" spans="1:17" s="2" customFormat="1" ht="29" customHeight="1">
      <c r="A1" s="41" t="s">
        <v>1048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1192</v>
      </c>
      <c r="H3" s="35"/>
      <c r="I3" s="35"/>
      <c r="J3" s="35"/>
      <c r="K3" s="35" t="s">
        <v>963</v>
      </c>
      <c r="L3" s="35"/>
      <c r="M3" s="35"/>
      <c r="N3" s="35"/>
      <c r="O3" s="33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6"/>
      <c r="Q4" s="38"/>
    </row>
    <row r="5" spans="1:17" ht="16">
      <c r="A5" s="39" t="s">
        <v>256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11" t="s">
        <v>233</v>
      </c>
      <c r="B6" s="10" t="s">
        <v>1013</v>
      </c>
      <c r="C6" s="10" t="s">
        <v>1014</v>
      </c>
      <c r="D6" s="10" t="s">
        <v>1015</v>
      </c>
      <c r="E6" s="10" t="s">
        <v>1262</v>
      </c>
      <c r="F6" s="10" t="s">
        <v>1195</v>
      </c>
      <c r="G6" s="22" t="s">
        <v>63</v>
      </c>
      <c r="H6" s="22" t="s">
        <v>64</v>
      </c>
      <c r="I6" s="23" t="s">
        <v>241</v>
      </c>
      <c r="J6" s="11"/>
      <c r="K6" s="22" t="s">
        <v>971</v>
      </c>
      <c r="L6" s="22" t="s">
        <v>62</v>
      </c>
      <c r="M6" s="23" t="s">
        <v>283</v>
      </c>
      <c r="N6" s="11"/>
      <c r="O6" s="29" t="str">
        <f>"67,5"</f>
        <v>67,5</v>
      </c>
      <c r="P6" s="11" t="str">
        <f>"76,3898"</f>
        <v>76,3898</v>
      </c>
      <c r="Q6" s="10" t="s">
        <v>912</v>
      </c>
    </row>
    <row r="7" spans="1:17">
      <c r="A7" s="15" t="s">
        <v>235</v>
      </c>
      <c r="B7" s="14" t="s">
        <v>620</v>
      </c>
      <c r="C7" s="14" t="s">
        <v>621</v>
      </c>
      <c r="D7" s="14" t="s">
        <v>622</v>
      </c>
      <c r="E7" s="14" t="s">
        <v>1262</v>
      </c>
      <c r="F7" s="14" t="s">
        <v>1195</v>
      </c>
      <c r="G7" s="26" t="s">
        <v>965</v>
      </c>
      <c r="H7" s="26" t="s">
        <v>283</v>
      </c>
      <c r="I7" s="27" t="s">
        <v>63</v>
      </c>
      <c r="J7" s="15"/>
      <c r="K7" s="27" t="s">
        <v>1016</v>
      </c>
      <c r="L7" s="27" t="s">
        <v>971</v>
      </c>
      <c r="M7" s="27" t="s">
        <v>971</v>
      </c>
      <c r="N7" s="15"/>
      <c r="O7" s="30">
        <v>0</v>
      </c>
      <c r="P7" s="15" t="str">
        <f>"0,0000"</f>
        <v>0,0000</v>
      </c>
      <c r="Q7" s="14"/>
    </row>
    <row r="8" spans="1:17">
      <c r="B8" s="5" t="s">
        <v>8</v>
      </c>
    </row>
    <row r="9" spans="1:17" ht="16">
      <c r="A9" s="52" t="s">
        <v>55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11" t="s">
        <v>233</v>
      </c>
      <c r="B10" s="10" t="s">
        <v>669</v>
      </c>
      <c r="C10" s="10" t="s">
        <v>670</v>
      </c>
      <c r="D10" s="10" t="s">
        <v>1017</v>
      </c>
      <c r="E10" s="10" t="s">
        <v>1262</v>
      </c>
      <c r="F10" s="10" t="s">
        <v>1230</v>
      </c>
      <c r="G10" s="22" t="s">
        <v>30</v>
      </c>
      <c r="H10" s="22" t="s">
        <v>42</v>
      </c>
      <c r="I10" s="22" t="s">
        <v>73</v>
      </c>
      <c r="J10" s="11"/>
      <c r="K10" s="22" t="s">
        <v>17</v>
      </c>
      <c r="L10" s="22" t="s">
        <v>72</v>
      </c>
      <c r="M10" s="23" t="s">
        <v>78</v>
      </c>
      <c r="N10" s="11"/>
      <c r="O10" s="29" t="str">
        <f>"142,5"</f>
        <v>142,5</v>
      </c>
      <c r="P10" s="11" t="str">
        <f>"106,7824"</f>
        <v>106,7824</v>
      </c>
      <c r="Q10" s="10"/>
    </row>
    <row r="11" spans="1:17">
      <c r="A11" s="13" t="s">
        <v>234</v>
      </c>
      <c r="B11" s="12" t="s">
        <v>1018</v>
      </c>
      <c r="C11" s="12" t="s">
        <v>1019</v>
      </c>
      <c r="D11" s="12" t="s">
        <v>868</v>
      </c>
      <c r="E11" s="12" t="s">
        <v>1262</v>
      </c>
      <c r="F11" s="12" t="s">
        <v>1253</v>
      </c>
      <c r="G11" s="25" t="s">
        <v>29</v>
      </c>
      <c r="H11" s="24" t="s">
        <v>29</v>
      </c>
      <c r="I11" s="24" t="s">
        <v>30</v>
      </c>
      <c r="J11" s="13"/>
      <c r="K11" s="24" t="s">
        <v>17</v>
      </c>
      <c r="L11" s="24" t="s">
        <v>72</v>
      </c>
      <c r="M11" s="25" t="s">
        <v>245</v>
      </c>
      <c r="N11" s="13"/>
      <c r="O11" s="31" t="str">
        <f>"135,0"</f>
        <v>135,0</v>
      </c>
      <c r="P11" s="13" t="str">
        <f>"102,4650"</f>
        <v>102,4650</v>
      </c>
      <c r="Q11" s="12"/>
    </row>
    <row r="12" spans="1:17">
      <c r="A12" s="15" t="s">
        <v>236</v>
      </c>
      <c r="B12" s="14" t="s">
        <v>1020</v>
      </c>
      <c r="C12" s="14" t="s">
        <v>1021</v>
      </c>
      <c r="D12" s="14" t="s">
        <v>1022</v>
      </c>
      <c r="E12" s="14" t="s">
        <v>1262</v>
      </c>
      <c r="F12" s="14" t="s">
        <v>1195</v>
      </c>
      <c r="G12" s="26" t="s">
        <v>72</v>
      </c>
      <c r="H12" s="27" t="s">
        <v>302</v>
      </c>
      <c r="I12" s="26" t="s">
        <v>302</v>
      </c>
      <c r="J12" s="15"/>
      <c r="K12" s="26" t="s">
        <v>241</v>
      </c>
      <c r="L12" s="27" t="s">
        <v>242</v>
      </c>
      <c r="M12" s="26" t="s">
        <v>242</v>
      </c>
      <c r="N12" s="15"/>
      <c r="O12" s="30" t="str">
        <f>"100,0"</f>
        <v>100,0</v>
      </c>
      <c r="P12" s="15" t="str">
        <f>"77,8600"</f>
        <v>77,8600</v>
      </c>
      <c r="Q12" s="14"/>
    </row>
    <row r="13" spans="1:17">
      <c r="B13" s="5" t="s">
        <v>8</v>
      </c>
    </row>
    <row r="14" spans="1:17" ht="16">
      <c r="A14" s="52" t="s">
        <v>89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7">
      <c r="A15" s="11" t="s">
        <v>233</v>
      </c>
      <c r="B15" s="10" t="s">
        <v>976</v>
      </c>
      <c r="C15" s="10" t="s">
        <v>977</v>
      </c>
      <c r="D15" s="10" t="s">
        <v>500</v>
      </c>
      <c r="E15" s="10" t="s">
        <v>1262</v>
      </c>
      <c r="F15" s="10" t="s">
        <v>1197</v>
      </c>
      <c r="G15" s="22" t="s">
        <v>30</v>
      </c>
      <c r="H15" s="22" t="s">
        <v>42</v>
      </c>
      <c r="I15" s="22" t="s">
        <v>65</v>
      </c>
      <c r="J15" s="11"/>
      <c r="K15" s="22" t="s">
        <v>78</v>
      </c>
      <c r="L15" s="22" t="s">
        <v>59</v>
      </c>
      <c r="M15" s="22" t="s">
        <v>260</v>
      </c>
      <c r="N15" s="11"/>
      <c r="O15" s="29" t="str">
        <f>"160,0"</f>
        <v>160,0</v>
      </c>
      <c r="P15" s="11" t="str">
        <f>"111,3840"</f>
        <v>111,3840</v>
      </c>
      <c r="Q15" s="10"/>
    </row>
    <row r="16" spans="1:17">
      <c r="A16" s="15" t="s">
        <v>234</v>
      </c>
      <c r="B16" s="14" t="s">
        <v>1023</v>
      </c>
      <c r="C16" s="14" t="s">
        <v>1024</v>
      </c>
      <c r="D16" s="14" t="s">
        <v>655</v>
      </c>
      <c r="E16" s="14" t="s">
        <v>1262</v>
      </c>
      <c r="F16" s="14" t="s">
        <v>1254</v>
      </c>
      <c r="G16" s="26" t="s">
        <v>78</v>
      </c>
      <c r="H16" s="26" t="s">
        <v>245</v>
      </c>
      <c r="I16" s="26" t="s">
        <v>59</v>
      </c>
      <c r="J16" s="15"/>
      <c r="K16" s="26" t="s">
        <v>71</v>
      </c>
      <c r="L16" s="26" t="s">
        <v>17</v>
      </c>
      <c r="M16" s="27" t="s">
        <v>18</v>
      </c>
      <c r="N16" s="15"/>
      <c r="O16" s="30" t="str">
        <f>"115,0"</f>
        <v>115,0</v>
      </c>
      <c r="P16" s="15" t="str">
        <f>"80,8910"</f>
        <v>80,8910</v>
      </c>
      <c r="Q16" s="14"/>
    </row>
    <row r="17" spans="1:17">
      <c r="B17" s="5" t="s">
        <v>8</v>
      </c>
    </row>
    <row r="18" spans="1:17" ht="16">
      <c r="A18" s="52" t="s">
        <v>124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7">
      <c r="A19" s="11" t="s">
        <v>233</v>
      </c>
      <c r="B19" s="10" t="s">
        <v>1000</v>
      </c>
      <c r="C19" s="10" t="s">
        <v>254</v>
      </c>
      <c r="D19" s="10" t="s">
        <v>1001</v>
      </c>
      <c r="E19" s="10" t="s">
        <v>1262</v>
      </c>
      <c r="F19" s="10" t="s">
        <v>1197</v>
      </c>
      <c r="G19" s="22" t="s">
        <v>73</v>
      </c>
      <c r="H19" s="22" t="s">
        <v>66</v>
      </c>
      <c r="I19" s="22" t="s">
        <v>43</v>
      </c>
      <c r="J19" s="11"/>
      <c r="K19" s="22" t="s">
        <v>60</v>
      </c>
      <c r="L19" s="22" t="s">
        <v>61</v>
      </c>
      <c r="M19" s="22" t="s">
        <v>30</v>
      </c>
      <c r="N19" s="11"/>
      <c r="O19" s="29" t="str">
        <f>"175,0"</f>
        <v>175,0</v>
      </c>
      <c r="P19" s="11" t="str">
        <f>"110,2325"</f>
        <v>110,2325</v>
      </c>
      <c r="Q19" s="10" t="s">
        <v>1002</v>
      </c>
    </row>
    <row r="20" spans="1:17">
      <c r="A20" s="15" t="s">
        <v>234</v>
      </c>
      <c r="B20" s="14" t="s">
        <v>969</v>
      </c>
      <c r="C20" s="14" t="s">
        <v>366</v>
      </c>
      <c r="D20" s="14" t="s">
        <v>970</v>
      </c>
      <c r="E20" s="14" t="s">
        <v>1262</v>
      </c>
      <c r="F20" s="14" t="s">
        <v>964</v>
      </c>
      <c r="G20" s="26" t="s">
        <v>30</v>
      </c>
      <c r="H20" s="26" t="s">
        <v>42</v>
      </c>
      <c r="I20" s="26" t="s">
        <v>65</v>
      </c>
      <c r="J20" s="15"/>
      <c r="K20" s="26" t="s">
        <v>59</v>
      </c>
      <c r="L20" s="26" t="s">
        <v>260</v>
      </c>
      <c r="M20" s="27" t="s">
        <v>29</v>
      </c>
      <c r="N20" s="15"/>
      <c r="O20" s="30" t="str">
        <f>"160,0"</f>
        <v>160,0</v>
      </c>
      <c r="P20" s="15" t="str">
        <f>"100,2160"</f>
        <v>100,2160</v>
      </c>
      <c r="Q20" s="14" t="s">
        <v>613</v>
      </c>
    </row>
    <row r="21" spans="1:17">
      <c r="B21" s="5" t="s">
        <v>8</v>
      </c>
    </row>
    <row r="24" spans="1:17" ht="18">
      <c r="B24" s="7" t="s">
        <v>7</v>
      </c>
      <c r="C24" s="7"/>
    </row>
    <row r="25" spans="1:17" ht="16">
      <c r="B25" s="16" t="s">
        <v>220</v>
      </c>
      <c r="C25" s="16"/>
    </row>
    <row r="26" spans="1:17" ht="14">
      <c r="B26" s="17"/>
      <c r="C26" s="18" t="s">
        <v>210</v>
      </c>
    </row>
    <row r="27" spans="1:17" ht="14">
      <c r="B27" s="19" t="s">
        <v>203</v>
      </c>
      <c r="C27" s="19" t="s">
        <v>204</v>
      </c>
      <c r="D27" s="19" t="s">
        <v>1053</v>
      </c>
      <c r="E27" s="19" t="s">
        <v>205</v>
      </c>
      <c r="F27" s="19" t="s">
        <v>936</v>
      </c>
    </row>
    <row r="28" spans="1:17">
      <c r="B28" s="5" t="s">
        <v>976</v>
      </c>
      <c r="C28" s="5" t="s">
        <v>210</v>
      </c>
      <c r="D28" s="6" t="s">
        <v>222</v>
      </c>
      <c r="E28" s="6" t="s">
        <v>108</v>
      </c>
      <c r="F28" s="6" t="s">
        <v>1025</v>
      </c>
    </row>
    <row r="29" spans="1:17">
      <c r="B29" s="5" t="s">
        <v>1000</v>
      </c>
      <c r="C29" s="5" t="s">
        <v>210</v>
      </c>
      <c r="D29" s="6" t="s">
        <v>455</v>
      </c>
      <c r="E29" s="6" t="s">
        <v>94</v>
      </c>
      <c r="F29" s="6" t="s">
        <v>1026</v>
      </c>
    </row>
    <row r="30" spans="1:17">
      <c r="B30" s="5" t="s">
        <v>669</v>
      </c>
      <c r="C30" s="5" t="s">
        <v>210</v>
      </c>
      <c r="D30" s="6" t="s">
        <v>208</v>
      </c>
      <c r="E30" s="6" t="s">
        <v>50</v>
      </c>
      <c r="F30" s="6" t="s">
        <v>1027</v>
      </c>
    </row>
    <row r="31" spans="1:17">
      <c r="B31" s="5" t="s">
        <v>8</v>
      </c>
    </row>
  </sheetData>
  <mergeCells count="16">
    <mergeCell ref="A9:N9"/>
    <mergeCell ref="A14:N14"/>
    <mergeCell ref="A18:N1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4" width="5.33203125" style="6" customWidth="1"/>
    <col min="15" max="15" width="7.83203125" style="6" bestFit="1" customWidth="1"/>
    <col min="16" max="16" width="8.5" style="6" bestFit="1" customWidth="1"/>
    <col min="17" max="17" width="19.6640625" style="5" customWidth="1"/>
    <col min="18" max="16384" width="9.1640625" style="3"/>
  </cols>
  <sheetData>
    <row r="1" spans="1:17" s="2" customFormat="1" ht="29" customHeight="1">
      <c r="A1" s="41" t="s">
        <v>1049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1192</v>
      </c>
      <c r="H3" s="35"/>
      <c r="I3" s="35"/>
      <c r="J3" s="35"/>
      <c r="K3" s="35" t="s">
        <v>963</v>
      </c>
      <c r="L3" s="35"/>
      <c r="M3" s="35"/>
      <c r="N3" s="35"/>
      <c r="O3" s="35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6"/>
      <c r="P4" s="36"/>
      <c r="Q4" s="38"/>
    </row>
    <row r="5" spans="1:17" ht="16">
      <c r="A5" s="39" t="s">
        <v>55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9" t="s">
        <v>233</v>
      </c>
      <c r="B6" s="8" t="s">
        <v>1012</v>
      </c>
      <c r="C6" s="8" t="s">
        <v>1149</v>
      </c>
      <c r="D6" s="8" t="s">
        <v>644</v>
      </c>
      <c r="E6" s="8" t="s">
        <v>1261</v>
      </c>
      <c r="F6" s="8" t="s">
        <v>1195</v>
      </c>
      <c r="G6" s="20" t="s">
        <v>260</v>
      </c>
      <c r="H6" s="21" t="s">
        <v>260</v>
      </c>
      <c r="I6" s="21" t="s">
        <v>29</v>
      </c>
      <c r="J6" s="9"/>
      <c r="K6" s="21" t="s">
        <v>18</v>
      </c>
      <c r="L6" s="21" t="s">
        <v>302</v>
      </c>
      <c r="M6" s="21" t="s">
        <v>78</v>
      </c>
      <c r="N6" s="9"/>
      <c r="O6" s="9" t="str">
        <f>"135,0"</f>
        <v>135,0</v>
      </c>
      <c r="P6" s="9" t="str">
        <f>"102,0735"</f>
        <v>102,0735</v>
      </c>
      <c r="Q6" s="8" t="s">
        <v>1191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1.83203125" style="6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1" t="s">
        <v>1050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972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256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973</v>
      </c>
      <c r="C6" s="8" t="s">
        <v>974</v>
      </c>
      <c r="D6" s="8" t="s">
        <v>259</v>
      </c>
      <c r="E6" s="8" t="s">
        <v>1262</v>
      </c>
      <c r="F6" s="8" t="s">
        <v>1195</v>
      </c>
      <c r="G6" s="20" t="s">
        <v>63</v>
      </c>
      <c r="H6" s="21" t="s">
        <v>63</v>
      </c>
      <c r="I6" s="21" t="s">
        <v>64</v>
      </c>
      <c r="J6" s="20" t="s">
        <v>975</v>
      </c>
      <c r="K6" s="9" t="str">
        <f>"37,5"</f>
        <v>37,5</v>
      </c>
      <c r="L6" s="9" t="str">
        <f>"41,8537"</f>
        <v>41,8537</v>
      </c>
      <c r="M6" s="8"/>
    </row>
    <row r="7" spans="1:13">
      <c r="B7" s="5" t="s">
        <v>8</v>
      </c>
    </row>
    <row r="8" spans="1:13" ht="16">
      <c r="A8" s="52" t="s">
        <v>89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976</v>
      </c>
      <c r="C9" s="8" t="s">
        <v>977</v>
      </c>
      <c r="D9" s="8" t="s">
        <v>500</v>
      </c>
      <c r="E9" s="8" t="s">
        <v>1262</v>
      </c>
      <c r="F9" s="8" t="s">
        <v>1197</v>
      </c>
      <c r="G9" s="21" t="s">
        <v>30</v>
      </c>
      <c r="H9" s="21" t="s">
        <v>42</v>
      </c>
      <c r="I9" s="21" t="s">
        <v>65</v>
      </c>
      <c r="J9" s="9"/>
      <c r="K9" s="9" t="str">
        <f>"90,0"</f>
        <v>90,0</v>
      </c>
      <c r="L9" s="9" t="str">
        <f>"62,6535"</f>
        <v>62,6535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43"/>
  <sheetViews>
    <sheetView workbookViewId="0">
      <selection activeCell="E33" sqref="E33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1" t="s">
        <v>1051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1192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256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985</v>
      </c>
      <c r="C6" s="8" t="s">
        <v>986</v>
      </c>
      <c r="D6" s="8" t="s">
        <v>987</v>
      </c>
      <c r="E6" s="8" t="s">
        <v>1262</v>
      </c>
      <c r="F6" s="8" t="s">
        <v>1215</v>
      </c>
      <c r="G6" s="20" t="s">
        <v>971</v>
      </c>
      <c r="H6" s="20" t="s">
        <v>971</v>
      </c>
      <c r="I6" s="21" t="s">
        <v>971</v>
      </c>
      <c r="J6" s="9"/>
      <c r="K6" s="9" t="str">
        <f>"25,0"</f>
        <v>25,0</v>
      </c>
      <c r="L6" s="9" t="str">
        <f>"27,7325"</f>
        <v>27,7325</v>
      </c>
      <c r="M6" s="8" t="s">
        <v>988</v>
      </c>
    </row>
    <row r="7" spans="1:13">
      <c r="B7" s="5" t="s">
        <v>8</v>
      </c>
    </row>
    <row r="8" spans="1:13" ht="16">
      <c r="A8" s="52" t="s">
        <v>35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989</v>
      </c>
      <c r="C9" s="8" t="s">
        <v>268</v>
      </c>
      <c r="D9" s="8" t="s">
        <v>295</v>
      </c>
      <c r="E9" s="8" t="s">
        <v>1262</v>
      </c>
      <c r="F9" s="8" t="s">
        <v>1197</v>
      </c>
      <c r="G9" s="21" t="s">
        <v>62</v>
      </c>
      <c r="H9" s="21" t="s">
        <v>283</v>
      </c>
      <c r="I9" s="21" t="s">
        <v>63</v>
      </c>
      <c r="J9" s="9"/>
      <c r="K9" s="9" t="str">
        <f>"35,0"</f>
        <v>35,0</v>
      </c>
      <c r="L9" s="9" t="str">
        <f>"36,2775"</f>
        <v>36,2775</v>
      </c>
      <c r="M9" s="8" t="s">
        <v>551</v>
      </c>
    </row>
    <row r="10" spans="1:13">
      <c r="B10" s="5" t="s">
        <v>8</v>
      </c>
    </row>
    <row r="11" spans="1:13" ht="16">
      <c r="A11" s="52" t="s">
        <v>89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11" t="s">
        <v>233</v>
      </c>
      <c r="B12" s="10" t="s">
        <v>976</v>
      </c>
      <c r="C12" s="10" t="s">
        <v>977</v>
      </c>
      <c r="D12" s="10" t="s">
        <v>500</v>
      </c>
      <c r="E12" s="10" t="s">
        <v>1262</v>
      </c>
      <c r="F12" s="10" t="s">
        <v>1197</v>
      </c>
      <c r="G12" s="22" t="s">
        <v>78</v>
      </c>
      <c r="H12" s="22" t="s">
        <v>59</v>
      </c>
      <c r="I12" s="22" t="s">
        <v>260</v>
      </c>
      <c r="J12" s="11"/>
      <c r="K12" s="11" t="str">
        <f>"70,0"</f>
        <v>70,0</v>
      </c>
      <c r="L12" s="11" t="str">
        <f>"48,7305"</f>
        <v>48,7305</v>
      </c>
      <c r="M12" s="10"/>
    </row>
    <row r="13" spans="1:13">
      <c r="A13" s="13" t="s">
        <v>234</v>
      </c>
      <c r="B13" s="12" t="s">
        <v>990</v>
      </c>
      <c r="C13" s="12" t="s">
        <v>991</v>
      </c>
      <c r="D13" s="12" t="s">
        <v>992</v>
      </c>
      <c r="E13" s="12" t="s">
        <v>1262</v>
      </c>
      <c r="F13" s="12" t="s">
        <v>1228</v>
      </c>
      <c r="G13" s="24" t="s">
        <v>78</v>
      </c>
      <c r="H13" s="24" t="s">
        <v>245</v>
      </c>
      <c r="I13" s="24" t="s">
        <v>59</v>
      </c>
      <c r="J13" s="13"/>
      <c r="K13" s="13" t="str">
        <f>"65,0"</f>
        <v>65,0</v>
      </c>
      <c r="L13" s="13" t="str">
        <f>"47,8205"</f>
        <v>47,8205</v>
      </c>
      <c r="M13" s="12"/>
    </row>
    <row r="14" spans="1:13">
      <c r="A14" s="15" t="s">
        <v>233</v>
      </c>
      <c r="B14" s="14" t="s">
        <v>700</v>
      </c>
      <c r="C14" s="14" t="s">
        <v>1141</v>
      </c>
      <c r="D14" s="14" t="s">
        <v>341</v>
      </c>
      <c r="E14" s="14" t="s">
        <v>1265</v>
      </c>
      <c r="F14" s="14" t="s">
        <v>1231</v>
      </c>
      <c r="G14" s="26" t="s">
        <v>72</v>
      </c>
      <c r="H14" s="26" t="s">
        <v>302</v>
      </c>
      <c r="I14" s="26" t="s">
        <v>78</v>
      </c>
      <c r="J14" s="15"/>
      <c r="K14" s="15" t="str">
        <f>"60,0"</f>
        <v>60,0</v>
      </c>
      <c r="L14" s="15" t="str">
        <f>"44,5727"</f>
        <v>44,5727</v>
      </c>
      <c r="M14" s="14" t="s">
        <v>701</v>
      </c>
    </row>
    <row r="15" spans="1:13">
      <c r="B15" s="5" t="s">
        <v>8</v>
      </c>
    </row>
    <row r="16" spans="1:13" ht="16">
      <c r="A16" s="52" t="s">
        <v>79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1" t="s">
        <v>233</v>
      </c>
      <c r="B17" s="10" t="s">
        <v>993</v>
      </c>
      <c r="C17" s="10" t="s">
        <v>1150</v>
      </c>
      <c r="D17" s="10" t="s">
        <v>720</v>
      </c>
      <c r="E17" s="10" t="s">
        <v>1261</v>
      </c>
      <c r="F17" s="10" t="s">
        <v>1197</v>
      </c>
      <c r="G17" s="22" t="s">
        <v>72</v>
      </c>
      <c r="H17" s="22" t="s">
        <v>302</v>
      </c>
      <c r="I17" s="22" t="s">
        <v>78</v>
      </c>
      <c r="J17" s="11"/>
      <c r="K17" s="11" t="str">
        <f>"60,0"</f>
        <v>60,0</v>
      </c>
      <c r="L17" s="11" t="str">
        <f>"39,3390"</f>
        <v>39,3390</v>
      </c>
      <c r="M17" s="10" t="s">
        <v>1169</v>
      </c>
    </row>
    <row r="18" spans="1:13">
      <c r="A18" s="13" t="s">
        <v>233</v>
      </c>
      <c r="B18" s="12" t="s">
        <v>994</v>
      </c>
      <c r="C18" s="12" t="s">
        <v>995</v>
      </c>
      <c r="D18" s="12" t="s">
        <v>720</v>
      </c>
      <c r="E18" s="12" t="s">
        <v>1262</v>
      </c>
      <c r="F18" s="12" t="s">
        <v>1255</v>
      </c>
      <c r="G18" s="24" t="s">
        <v>260</v>
      </c>
      <c r="H18" s="24" t="s">
        <v>60</v>
      </c>
      <c r="I18" s="24" t="s">
        <v>29</v>
      </c>
      <c r="J18" s="13"/>
      <c r="K18" s="13" t="str">
        <f>"75,0"</f>
        <v>75,0</v>
      </c>
      <c r="L18" s="13" t="str">
        <f>"49,1738"</f>
        <v>49,1738</v>
      </c>
      <c r="M18" s="12"/>
    </row>
    <row r="19" spans="1:13">
      <c r="A19" s="13" t="s">
        <v>234</v>
      </c>
      <c r="B19" s="12" t="s">
        <v>978</v>
      </c>
      <c r="C19" s="12" t="s">
        <v>979</v>
      </c>
      <c r="D19" s="12" t="s">
        <v>980</v>
      </c>
      <c r="E19" s="12" t="s">
        <v>1262</v>
      </c>
      <c r="F19" s="12" t="s">
        <v>1209</v>
      </c>
      <c r="G19" s="24" t="s">
        <v>17</v>
      </c>
      <c r="H19" s="24" t="s">
        <v>302</v>
      </c>
      <c r="I19" s="25" t="s">
        <v>59</v>
      </c>
      <c r="J19" s="13"/>
      <c r="K19" s="13" t="str">
        <f>"57,5"</f>
        <v>57,5</v>
      </c>
      <c r="L19" s="13" t="str">
        <f>"37,7286"</f>
        <v>37,7286</v>
      </c>
      <c r="M19" s="12"/>
    </row>
    <row r="20" spans="1:13">
      <c r="A20" s="13" t="s">
        <v>233</v>
      </c>
      <c r="B20" s="12" t="s">
        <v>996</v>
      </c>
      <c r="C20" s="12" t="s">
        <v>1151</v>
      </c>
      <c r="D20" s="12" t="s">
        <v>997</v>
      </c>
      <c r="E20" s="12" t="s">
        <v>1265</v>
      </c>
      <c r="F20" s="12" t="s">
        <v>1226</v>
      </c>
      <c r="G20" s="24" t="s">
        <v>18</v>
      </c>
      <c r="H20" s="25" t="s">
        <v>72</v>
      </c>
      <c r="I20" s="25" t="s">
        <v>302</v>
      </c>
      <c r="J20" s="13"/>
      <c r="K20" s="13" t="str">
        <f>"52,5"</f>
        <v>52,5</v>
      </c>
      <c r="L20" s="13" t="str">
        <f>"34,5719"</f>
        <v>34,5719</v>
      </c>
      <c r="M20" s="12" t="s">
        <v>998</v>
      </c>
    </row>
    <row r="21" spans="1:13">
      <c r="A21" s="15" t="s">
        <v>234</v>
      </c>
      <c r="B21" s="14" t="s">
        <v>999</v>
      </c>
      <c r="C21" s="14" t="s">
        <v>1152</v>
      </c>
      <c r="D21" s="14" t="s">
        <v>357</v>
      </c>
      <c r="E21" s="14" t="s">
        <v>1265</v>
      </c>
      <c r="F21" s="14" t="s">
        <v>1203</v>
      </c>
      <c r="G21" s="26" t="s">
        <v>17</v>
      </c>
      <c r="H21" s="27" t="s">
        <v>302</v>
      </c>
      <c r="I21" s="27" t="s">
        <v>302</v>
      </c>
      <c r="J21" s="15"/>
      <c r="K21" s="15" t="str">
        <f>"50,0"</f>
        <v>50,0</v>
      </c>
      <c r="L21" s="15" t="str">
        <f>"35,3814"</f>
        <v>35,3814</v>
      </c>
      <c r="M21" s="14"/>
    </row>
    <row r="22" spans="1:13">
      <c r="B22" s="5" t="s">
        <v>8</v>
      </c>
    </row>
    <row r="23" spans="1:13" ht="16">
      <c r="A23" s="52" t="s">
        <v>124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3">
      <c r="A24" s="11" t="s">
        <v>233</v>
      </c>
      <c r="B24" s="10" t="s">
        <v>1000</v>
      </c>
      <c r="C24" s="10" t="s">
        <v>254</v>
      </c>
      <c r="D24" s="10" t="s">
        <v>1001</v>
      </c>
      <c r="E24" s="10" t="s">
        <v>1262</v>
      </c>
      <c r="F24" s="10" t="s">
        <v>1197</v>
      </c>
      <c r="G24" s="22" t="s">
        <v>60</v>
      </c>
      <c r="H24" s="22" t="s">
        <v>61</v>
      </c>
      <c r="I24" s="22" t="s">
        <v>30</v>
      </c>
      <c r="J24" s="11"/>
      <c r="K24" s="11" t="str">
        <f>"80,0"</f>
        <v>80,0</v>
      </c>
      <c r="L24" s="11" t="str">
        <f>"50,3920"</f>
        <v>50,3920</v>
      </c>
      <c r="M24" s="10" t="s">
        <v>1002</v>
      </c>
    </row>
    <row r="25" spans="1:13">
      <c r="A25" s="13" t="s">
        <v>234</v>
      </c>
      <c r="B25" s="12" t="s">
        <v>966</v>
      </c>
      <c r="C25" s="12" t="s">
        <v>967</v>
      </c>
      <c r="D25" s="12" t="s">
        <v>968</v>
      </c>
      <c r="E25" s="12" t="s">
        <v>1262</v>
      </c>
      <c r="F25" s="12" t="s">
        <v>1256</v>
      </c>
      <c r="G25" s="24" t="s">
        <v>78</v>
      </c>
      <c r="H25" s="24" t="s">
        <v>59</v>
      </c>
      <c r="I25" s="24" t="s">
        <v>260</v>
      </c>
      <c r="J25" s="13"/>
      <c r="K25" s="13" t="str">
        <f>"70,0"</f>
        <v>70,0</v>
      </c>
      <c r="L25" s="13" t="str">
        <f>"44,8770"</f>
        <v>44,8770</v>
      </c>
      <c r="M25" s="12"/>
    </row>
    <row r="26" spans="1:13">
      <c r="A26" s="13" t="s">
        <v>236</v>
      </c>
      <c r="B26" s="12" t="s">
        <v>1003</v>
      </c>
      <c r="C26" s="12" t="s">
        <v>1004</v>
      </c>
      <c r="D26" s="12" t="s">
        <v>473</v>
      </c>
      <c r="E26" s="12" t="s">
        <v>1262</v>
      </c>
      <c r="F26" s="12" t="s">
        <v>1196</v>
      </c>
      <c r="G26" s="24" t="s">
        <v>59</v>
      </c>
      <c r="H26" s="25" t="s">
        <v>60</v>
      </c>
      <c r="I26" s="25" t="s">
        <v>60</v>
      </c>
      <c r="J26" s="13"/>
      <c r="K26" s="13" t="str">
        <f>"65,0"</f>
        <v>65,0</v>
      </c>
      <c r="L26" s="13" t="str">
        <f>"39,9197"</f>
        <v>39,9197</v>
      </c>
      <c r="M26" s="12"/>
    </row>
    <row r="27" spans="1:13">
      <c r="A27" s="15" t="s">
        <v>233</v>
      </c>
      <c r="B27" s="14" t="s">
        <v>1003</v>
      </c>
      <c r="C27" s="14" t="s">
        <v>1153</v>
      </c>
      <c r="D27" s="14" t="s">
        <v>473</v>
      </c>
      <c r="E27" s="14" t="s">
        <v>1265</v>
      </c>
      <c r="F27" s="14" t="s">
        <v>1196</v>
      </c>
      <c r="G27" s="26" t="s">
        <v>59</v>
      </c>
      <c r="H27" s="27" t="s">
        <v>60</v>
      </c>
      <c r="I27" s="27" t="s">
        <v>60</v>
      </c>
      <c r="J27" s="15"/>
      <c r="K27" s="15" t="str">
        <f>"65,0"</f>
        <v>65,0</v>
      </c>
      <c r="L27" s="15" t="str">
        <f>"41,6363"</f>
        <v>41,6363</v>
      </c>
      <c r="M27" s="14"/>
    </row>
    <row r="28" spans="1:13">
      <c r="B28" s="5" t="s">
        <v>8</v>
      </c>
    </row>
    <row r="29" spans="1:13" ht="16">
      <c r="A29" s="52" t="s">
        <v>139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3">
      <c r="A30" s="11" t="s">
        <v>233</v>
      </c>
      <c r="B30" s="10" t="s">
        <v>1005</v>
      </c>
      <c r="C30" s="10" t="s">
        <v>1006</v>
      </c>
      <c r="D30" s="10" t="s">
        <v>1007</v>
      </c>
      <c r="E30" s="10" t="s">
        <v>1262</v>
      </c>
      <c r="F30" s="10" t="s">
        <v>1257</v>
      </c>
      <c r="G30" s="22" t="s">
        <v>59</v>
      </c>
      <c r="H30" s="22" t="s">
        <v>260</v>
      </c>
      <c r="I30" s="11"/>
      <c r="J30" s="11"/>
      <c r="K30" s="11" t="str">
        <f>"70,0"</f>
        <v>70,0</v>
      </c>
      <c r="L30" s="11" t="str">
        <f>"41,4365"</f>
        <v>41,4365</v>
      </c>
      <c r="M30" s="10" t="s">
        <v>1008</v>
      </c>
    </row>
    <row r="31" spans="1:13">
      <c r="A31" s="13" t="s">
        <v>234</v>
      </c>
      <c r="B31" s="12" t="s">
        <v>754</v>
      </c>
      <c r="C31" s="12" t="s">
        <v>755</v>
      </c>
      <c r="D31" s="12" t="s">
        <v>554</v>
      </c>
      <c r="E31" s="12" t="s">
        <v>1262</v>
      </c>
      <c r="F31" s="12" t="s">
        <v>1197</v>
      </c>
      <c r="G31" s="24" t="s">
        <v>78</v>
      </c>
      <c r="H31" s="24" t="s">
        <v>59</v>
      </c>
      <c r="I31" s="24" t="s">
        <v>260</v>
      </c>
      <c r="J31" s="13"/>
      <c r="K31" s="13" t="str">
        <f>"70,0"</f>
        <v>70,0</v>
      </c>
      <c r="L31" s="13" t="str">
        <f>"41,1005"</f>
        <v>41,1005</v>
      </c>
      <c r="M31" s="12" t="s">
        <v>756</v>
      </c>
    </row>
    <row r="32" spans="1:13">
      <c r="A32" s="15" t="s">
        <v>233</v>
      </c>
      <c r="B32" s="14" t="s">
        <v>1005</v>
      </c>
      <c r="C32" s="14" t="s">
        <v>1154</v>
      </c>
      <c r="D32" s="14" t="s">
        <v>1007</v>
      </c>
      <c r="E32" s="14" t="s">
        <v>1265</v>
      </c>
      <c r="F32" s="14" t="s">
        <v>1257</v>
      </c>
      <c r="G32" s="26" t="s">
        <v>59</v>
      </c>
      <c r="H32" s="26" t="s">
        <v>260</v>
      </c>
      <c r="I32" s="15"/>
      <c r="J32" s="15"/>
      <c r="K32" s="15" t="str">
        <f>"70,0"</f>
        <v>70,0</v>
      </c>
      <c r="L32" s="15" t="str">
        <f>"45,4558"</f>
        <v>45,4558</v>
      </c>
      <c r="M32" s="14" t="s">
        <v>1008</v>
      </c>
    </row>
    <row r="33" spans="2:6">
      <c r="B33" s="5" t="s">
        <v>8</v>
      </c>
    </row>
    <row r="36" spans="2:6" ht="18">
      <c r="B36" s="7" t="s">
        <v>7</v>
      </c>
      <c r="C36" s="7"/>
    </row>
    <row r="37" spans="2:6" ht="16">
      <c r="B37" s="16" t="s">
        <v>220</v>
      </c>
      <c r="C37" s="16"/>
    </row>
    <row r="38" spans="2:6" ht="14">
      <c r="B38" s="17"/>
      <c r="C38" s="18" t="s">
        <v>210</v>
      </c>
    </row>
    <row r="39" spans="2:6" ht="14">
      <c r="B39" s="19" t="s">
        <v>203</v>
      </c>
      <c r="C39" s="19" t="s">
        <v>204</v>
      </c>
      <c r="D39" s="19" t="s">
        <v>1053</v>
      </c>
      <c r="E39" s="19" t="s">
        <v>602</v>
      </c>
      <c r="F39" s="19" t="s">
        <v>936</v>
      </c>
    </row>
    <row r="40" spans="2:6">
      <c r="B40" s="5" t="s">
        <v>1000</v>
      </c>
      <c r="C40" s="5" t="s">
        <v>210</v>
      </c>
      <c r="D40" s="6" t="s">
        <v>455</v>
      </c>
      <c r="E40" s="6" t="s">
        <v>30</v>
      </c>
      <c r="F40" s="6" t="s">
        <v>1009</v>
      </c>
    </row>
    <row r="41" spans="2:6">
      <c r="B41" s="5" t="s">
        <v>994</v>
      </c>
      <c r="C41" s="5" t="s">
        <v>210</v>
      </c>
      <c r="D41" s="6" t="s">
        <v>223</v>
      </c>
      <c r="E41" s="6" t="s">
        <v>29</v>
      </c>
      <c r="F41" s="6" t="s">
        <v>1010</v>
      </c>
    </row>
    <row r="42" spans="2:6">
      <c r="B42" s="5" t="s">
        <v>976</v>
      </c>
      <c r="C42" s="5" t="s">
        <v>210</v>
      </c>
      <c r="D42" s="6" t="s">
        <v>222</v>
      </c>
      <c r="E42" s="6" t="s">
        <v>260</v>
      </c>
      <c r="F42" s="6" t="s">
        <v>1011</v>
      </c>
    </row>
    <row r="43" spans="2:6">
      <c r="B43" s="5" t="s">
        <v>8</v>
      </c>
    </row>
  </sheetData>
  <mergeCells count="17">
    <mergeCell ref="A29:J29"/>
    <mergeCell ref="A5:J5"/>
    <mergeCell ref="A8:J8"/>
    <mergeCell ref="A11:J11"/>
    <mergeCell ref="A16:J16"/>
    <mergeCell ref="A23:J23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6.1640625" style="5" customWidth="1"/>
    <col min="14" max="16384" width="9.1640625" style="3"/>
  </cols>
  <sheetData>
    <row r="1" spans="1:13" s="2" customFormat="1" ht="29" customHeight="1">
      <c r="A1" s="41" t="s">
        <v>1052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1192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79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978</v>
      </c>
      <c r="C6" s="8" t="s">
        <v>979</v>
      </c>
      <c r="D6" s="8" t="s">
        <v>980</v>
      </c>
      <c r="E6" s="8" t="s">
        <v>1262</v>
      </c>
      <c r="F6" s="8" t="s">
        <v>1209</v>
      </c>
      <c r="G6" s="21" t="s">
        <v>17</v>
      </c>
      <c r="H6" s="21" t="s">
        <v>302</v>
      </c>
      <c r="I6" s="20" t="s">
        <v>59</v>
      </c>
      <c r="J6" s="9"/>
      <c r="K6" s="9" t="str">
        <f>"57,5"</f>
        <v>57,5</v>
      </c>
      <c r="L6" s="9" t="str">
        <f>"37,7286"</f>
        <v>37,7286</v>
      </c>
      <c r="M6" s="8"/>
    </row>
    <row r="7" spans="1:13">
      <c r="B7" s="5" t="s">
        <v>8</v>
      </c>
    </row>
    <row r="8" spans="1:13" ht="16">
      <c r="A8" s="52" t="s">
        <v>193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981</v>
      </c>
      <c r="C9" s="8" t="s">
        <v>982</v>
      </c>
      <c r="D9" s="8" t="s">
        <v>983</v>
      </c>
      <c r="E9" s="8" t="s">
        <v>1262</v>
      </c>
      <c r="F9" s="8" t="s">
        <v>1258</v>
      </c>
      <c r="G9" s="21" t="s">
        <v>270</v>
      </c>
      <c r="H9" s="21" t="s">
        <v>984</v>
      </c>
      <c r="I9" s="9"/>
      <c r="J9" s="9"/>
      <c r="K9" s="9" t="str">
        <f>"113,0"</f>
        <v>113,0</v>
      </c>
      <c r="L9" s="9" t="str">
        <f>"62,1387"</f>
        <v>62,1387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31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8" style="5" bestFit="1" customWidth="1"/>
    <col min="22" max="16384" width="9.1640625" style="3"/>
  </cols>
  <sheetData>
    <row r="1" spans="1:21" s="2" customFormat="1" ht="29" customHeight="1">
      <c r="A1" s="41" t="s">
        <v>1032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55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1" t="s">
        <v>233</v>
      </c>
      <c r="B6" s="10" t="s">
        <v>485</v>
      </c>
      <c r="C6" s="10" t="s">
        <v>486</v>
      </c>
      <c r="D6" s="10" t="s">
        <v>487</v>
      </c>
      <c r="E6" s="10" t="s">
        <v>1262</v>
      </c>
      <c r="F6" s="10" t="s">
        <v>1199</v>
      </c>
      <c r="G6" s="22" t="s">
        <v>19</v>
      </c>
      <c r="H6" s="22" t="s">
        <v>107</v>
      </c>
      <c r="I6" s="22" t="s">
        <v>28</v>
      </c>
      <c r="J6" s="11"/>
      <c r="K6" s="22" t="s">
        <v>260</v>
      </c>
      <c r="L6" s="23" t="s">
        <v>29</v>
      </c>
      <c r="M6" s="22" t="s">
        <v>29</v>
      </c>
      <c r="N6" s="11"/>
      <c r="O6" s="22" t="s">
        <v>86</v>
      </c>
      <c r="P6" s="23" t="s">
        <v>19</v>
      </c>
      <c r="Q6" s="22" t="s">
        <v>19</v>
      </c>
      <c r="R6" s="11"/>
      <c r="S6" s="29" t="str">
        <f>"345,0"</f>
        <v>345,0</v>
      </c>
      <c r="T6" s="11" t="str">
        <f>"353,6250"</f>
        <v>353,6250</v>
      </c>
      <c r="U6" s="10" t="s">
        <v>488</v>
      </c>
    </row>
    <row r="7" spans="1:21">
      <c r="A7" s="15" t="s">
        <v>235</v>
      </c>
      <c r="B7" s="14" t="s">
        <v>489</v>
      </c>
      <c r="C7" s="14" t="s">
        <v>490</v>
      </c>
      <c r="D7" s="14" t="s">
        <v>491</v>
      </c>
      <c r="E7" s="14" t="s">
        <v>1262</v>
      </c>
      <c r="F7" s="14" t="s">
        <v>1221</v>
      </c>
      <c r="G7" s="27" t="s">
        <v>42</v>
      </c>
      <c r="H7" s="27" t="s">
        <v>65</v>
      </c>
      <c r="I7" s="27" t="s">
        <v>65</v>
      </c>
      <c r="J7" s="15"/>
      <c r="K7" s="27"/>
      <c r="L7" s="15"/>
      <c r="M7" s="15"/>
      <c r="N7" s="15"/>
      <c r="O7" s="27"/>
      <c r="P7" s="15"/>
      <c r="Q7" s="15"/>
      <c r="R7" s="15"/>
      <c r="S7" s="30">
        <v>0</v>
      </c>
      <c r="T7" s="15" t="str">
        <f>"0,0000"</f>
        <v>0,0000</v>
      </c>
      <c r="U7" s="14"/>
    </row>
    <row r="8" spans="1:21">
      <c r="B8" s="5" t="s">
        <v>8</v>
      </c>
    </row>
    <row r="9" spans="1:21" ht="16">
      <c r="A9" s="52" t="s">
        <v>89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9" t="s">
        <v>233</v>
      </c>
      <c r="B10" s="8" t="s">
        <v>492</v>
      </c>
      <c r="C10" s="8" t="s">
        <v>493</v>
      </c>
      <c r="D10" s="8" t="s">
        <v>494</v>
      </c>
      <c r="E10" s="8" t="s">
        <v>1262</v>
      </c>
      <c r="F10" s="8" t="s">
        <v>1199</v>
      </c>
      <c r="G10" s="20" t="s">
        <v>316</v>
      </c>
      <c r="H10" s="21" t="s">
        <v>316</v>
      </c>
      <c r="I10" s="20" t="s">
        <v>27</v>
      </c>
      <c r="J10" s="9"/>
      <c r="K10" s="21" t="s">
        <v>245</v>
      </c>
      <c r="L10" s="21" t="s">
        <v>59</v>
      </c>
      <c r="M10" s="20" t="s">
        <v>260</v>
      </c>
      <c r="N10" s="9"/>
      <c r="O10" s="21" t="s">
        <v>44</v>
      </c>
      <c r="P10" s="20" t="s">
        <v>270</v>
      </c>
      <c r="Q10" s="20" t="s">
        <v>270</v>
      </c>
      <c r="R10" s="9"/>
      <c r="S10" s="32" t="str">
        <f>"292,5"</f>
        <v>292,5</v>
      </c>
      <c r="T10" s="9" t="str">
        <f>"287,3520"</f>
        <v>287,3520</v>
      </c>
      <c r="U10" s="8" t="s">
        <v>1160</v>
      </c>
    </row>
    <row r="11" spans="1:21">
      <c r="B11" s="5" t="s">
        <v>8</v>
      </c>
    </row>
    <row r="12" spans="1:21" ht="16">
      <c r="A12" s="52" t="s">
        <v>89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21">
      <c r="A13" s="11" t="s">
        <v>233</v>
      </c>
      <c r="B13" s="10" t="s">
        <v>495</v>
      </c>
      <c r="C13" s="10" t="s">
        <v>496</v>
      </c>
      <c r="D13" s="10" t="s">
        <v>497</v>
      </c>
      <c r="E13" s="10" t="s">
        <v>1262</v>
      </c>
      <c r="F13" s="10" t="s">
        <v>1222</v>
      </c>
      <c r="G13" s="22" t="s">
        <v>46</v>
      </c>
      <c r="H13" s="22" t="s">
        <v>83</v>
      </c>
      <c r="I13" s="23" t="s">
        <v>85</v>
      </c>
      <c r="J13" s="11"/>
      <c r="K13" s="22" t="s">
        <v>20</v>
      </c>
      <c r="L13" s="22" t="s">
        <v>107</v>
      </c>
      <c r="M13" s="23" t="s">
        <v>27</v>
      </c>
      <c r="N13" s="11"/>
      <c r="O13" s="22" t="s">
        <v>83</v>
      </c>
      <c r="P13" s="22" t="s">
        <v>85</v>
      </c>
      <c r="Q13" s="23" t="s">
        <v>99</v>
      </c>
      <c r="R13" s="11"/>
      <c r="S13" s="29" t="str">
        <f>"585,0"</f>
        <v>585,0</v>
      </c>
      <c r="T13" s="11" t="str">
        <f>"428,3370"</f>
        <v>428,3370</v>
      </c>
      <c r="U13" s="10"/>
    </row>
    <row r="14" spans="1:21">
      <c r="A14" s="13" t="s">
        <v>234</v>
      </c>
      <c r="B14" s="12" t="s">
        <v>498</v>
      </c>
      <c r="C14" s="12" t="s">
        <v>499</v>
      </c>
      <c r="D14" s="12" t="s">
        <v>500</v>
      </c>
      <c r="E14" s="12" t="s">
        <v>1262</v>
      </c>
      <c r="F14" s="12" t="s">
        <v>1199</v>
      </c>
      <c r="G14" s="25" t="s">
        <v>54</v>
      </c>
      <c r="H14" s="24" t="s">
        <v>54</v>
      </c>
      <c r="I14" s="25" t="s">
        <v>33</v>
      </c>
      <c r="J14" s="13"/>
      <c r="K14" s="25" t="s">
        <v>19</v>
      </c>
      <c r="L14" s="24" t="s">
        <v>19</v>
      </c>
      <c r="M14" s="24" t="s">
        <v>20</v>
      </c>
      <c r="N14" s="13"/>
      <c r="O14" s="24" t="s">
        <v>54</v>
      </c>
      <c r="P14" s="24" t="s">
        <v>33</v>
      </c>
      <c r="Q14" s="25" t="s">
        <v>113</v>
      </c>
      <c r="R14" s="13"/>
      <c r="S14" s="31" t="str">
        <f>"505,0"</f>
        <v>505,0</v>
      </c>
      <c r="T14" s="13" t="str">
        <f>"363,6000"</f>
        <v>363,6000</v>
      </c>
      <c r="U14" s="12"/>
    </row>
    <row r="15" spans="1:21">
      <c r="A15" s="13" t="s">
        <v>236</v>
      </c>
      <c r="B15" s="12" t="s">
        <v>501</v>
      </c>
      <c r="C15" s="12" t="s">
        <v>502</v>
      </c>
      <c r="D15" s="12" t="s">
        <v>503</v>
      </c>
      <c r="E15" s="12" t="s">
        <v>1262</v>
      </c>
      <c r="F15" s="12" t="s">
        <v>1195</v>
      </c>
      <c r="G15" s="25" t="s">
        <v>40</v>
      </c>
      <c r="H15" s="24" t="s">
        <v>40</v>
      </c>
      <c r="I15" s="25" t="s">
        <v>108</v>
      </c>
      <c r="J15" s="13"/>
      <c r="K15" s="24" t="s">
        <v>52</v>
      </c>
      <c r="L15" s="24" t="s">
        <v>279</v>
      </c>
      <c r="M15" s="25" t="s">
        <v>86</v>
      </c>
      <c r="N15" s="13"/>
      <c r="O15" s="24" t="s">
        <v>154</v>
      </c>
      <c r="P15" s="13"/>
      <c r="Q15" s="13"/>
      <c r="R15" s="13"/>
      <c r="S15" s="31" t="str">
        <f>"435,0"</f>
        <v>435,0</v>
      </c>
      <c r="T15" s="13" t="str">
        <f>"312,8955"</f>
        <v>312,8955</v>
      </c>
      <c r="U15" s="12" t="s">
        <v>504</v>
      </c>
    </row>
    <row r="16" spans="1:21">
      <c r="A16" s="15" t="s">
        <v>233</v>
      </c>
      <c r="B16" s="14" t="s">
        <v>498</v>
      </c>
      <c r="C16" s="14" t="s">
        <v>1093</v>
      </c>
      <c r="D16" s="14" t="s">
        <v>500</v>
      </c>
      <c r="E16" s="14" t="s">
        <v>1265</v>
      </c>
      <c r="F16" s="14" t="s">
        <v>1199</v>
      </c>
      <c r="G16" s="27" t="s">
        <v>54</v>
      </c>
      <c r="H16" s="26" t="s">
        <v>54</v>
      </c>
      <c r="I16" s="27" t="s">
        <v>33</v>
      </c>
      <c r="J16" s="15"/>
      <c r="K16" s="27" t="s">
        <v>19</v>
      </c>
      <c r="L16" s="26" t="s">
        <v>19</v>
      </c>
      <c r="M16" s="26" t="s">
        <v>20</v>
      </c>
      <c r="N16" s="15"/>
      <c r="O16" s="26" t="s">
        <v>54</v>
      </c>
      <c r="P16" s="26" t="s">
        <v>33</v>
      </c>
      <c r="Q16" s="27" t="s">
        <v>113</v>
      </c>
      <c r="R16" s="15"/>
      <c r="S16" s="30" t="str">
        <f>"505,0"</f>
        <v>505,0</v>
      </c>
      <c r="T16" s="15" t="str">
        <f>"363,6000"</f>
        <v>363,6000</v>
      </c>
      <c r="U16" s="14"/>
    </row>
    <row r="17" spans="1:21">
      <c r="B17" s="5" t="s">
        <v>8</v>
      </c>
    </row>
    <row r="18" spans="1:21" ht="16">
      <c r="A18" s="52" t="s">
        <v>79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>
      <c r="A19" s="11" t="s">
        <v>233</v>
      </c>
      <c r="B19" s="10" t="s">
        <v>505</v>
      </c>
      <c r="C19" s="10" t="s">
        <v>506</v>
      </c>
      <c r="D19" s="10" t="s">
        <v>507</v>
      </c>
      <c r="E19" s="10" t="s">
        <v>1262</v>
      </c>
      <c r="F19" s="10" t="s">
        <v>1195</v>
      </c>
      <c r="G19" s="23" t="s">
        <v>53</v>
      </c>
      <c r="H19" s="23" t="s">
        <v>53</v>
      </c>
      <c r="I19" s="22" t="s">
        <v>94</v>
      </c>
      <c r="J19" s="11"/>
      <c r="K19" s="23" t="s">
        <v>86</v>
      </c>
      <c r="L19" s="22" t="s">
        <v>86</v>
      </c>
      <c r="M19" s="23" t="s">
        <v>19</v>
      </c>
      <c r="N19" s="11"/>
      <c r="O19" s="22" t="s">
        <v>364</v>
      </c>
      <c r="P19" s="22" t="s">
        <v>177</v>
      </c>
      <c r="Q19" s="23" t="s">
        <v>128</v>
      </c>
      <c r="R19" s="11"/>
      <c r="S19" s="29" t="str">
        <f>"495,0"</f>
        <v>495,0</v>
      </c>
      <c r="T19" s="11" t="str">
        <f>"339,8175"</f>
        <v>339,8175</v>
      </c>
      <c r="U19" s="10" t="s">
        <v>504</v>
      </c>
    </row>
    <row r="20" spans="1:21">
      <c r="A20" s="15" t="s">
        <v>233</v>
      </c>
      <c r="B20" s="14" t="s">
        <v>508</v>
      </c>
      <c r="C20" s="14" t="s">
        <v>1094</v>
      </c>
      <c r="D20" s="14" t="s">
        <v>119</v>
      </c>
      <c r="E20" s="14" t="s">
        <v>1268</v>
      </c>
      <c r="F20" s="14" t="s">
        <v>1195</v>
      </c>
      <c r="G20" s="26" t="s">
        <v>94</v>
      </c>
      <c r="H20" s="26" t="s">
        <v>32</v>
      </c>
      <c r="I20" s="26" t="s">
        <v>109</v>
      </c>
      <c r="J20" s="15"/>
      <c r="K20" s="26" t="s">
        <v>270</v>
      </c>
      <c r="L20" s="26" t="s">
        <v>288</v>
      </c>
      <c r="M20" s="26" t="s">
        <v>279</v>
      </c>
      <c r="N20" s="15"/>
      <c r="O20" s="26" t="s">
        <v>33</v>
      </c>
      <c r="P20" s="26" t="s">
        <v>113</v>
      </c>
      <c r="Q20" s="26" t="s">
        <v>441</v>
      </c>
      <c r="R20" s="15"/>
      <c r="S20" s="30" t="str">
        <f>"492,5"</f>
        <v>492,5</v>
      </c>
      <c r="T20" s="15" t="str">
        <f>"511,0612"</f>
        <v>511,0612</v>
      </c>
      <c r="U20" s="14"/>
    </row>
    <row r="21" spans="1:21">
      <c r="B21" s="5" t="s">
        <v>8</v>
      </c>
    </row>
    <row r="22" spans="1:21" ht="16">
      <c r="A22" s="52" t="s">
        <v>124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21">
      <c r="A23" s="9" t="s">
        <v>233</v>
      </c>
      <c r="B23" s="8" t="s">
        <v>509</v>
      </c>
      <c r="C23" s="8" t="s">
        <v>1095</v>
      </c>
      <c r="D23" s="8" t="s">
        <v>510</v>
      </c>
      <c r="E23" s="8" t="s">
        <v>1265</v>
      </c>
      <c r="F23" s="8" t="s">
        <v>1199</v>
      </c>
      <c r="G23" s="20" t="s">
        <v>32</v>
      </c>
      <c r="H23" s="21" t="s">
        <v>32</v>
      </c>
      <c r="I23" s="21" t="s">
        <v>33</v>
      </c>
      <c r="J23" s="9"/>
      <c r="K23" s="21" t="s">
        <v>270</v>
      </c>
      <c r="L23" s="21" t="s">
        <v>288</v>
      </c>
      <c r="M23" s="20" t="s">
        <v>279</v>
      </c>
      <c r="N23" s="9"/>
      <c r="O23" s="21" t="s">
        <v>54</v>
      </c>
      <c r="P23" s="21" t="s">
        <v>113</v>
      </c>
      <c r="Q23" s="21" t="s">
        <v>120</v>
      </c>
      <c r="R23" s="9"/>
      <c r="S23" s="32" t="str">
        <f>"500,0"</f>
        <v>500,0</v>
      </c>
      <c r="T23" s="9" t="str">
        <f>"333,6374"</f>
        <v>333,6374</v>
      </c>
      <c r="U23" s="8" t="s">
        <v>1160</v>
      </c>
    </row>
    <row r="24" spans="1:21">
      <c r="B24" s="5" t="s">
        <v>8</v>
      </c>
    </row>
    <row r="25" spans="1:21" ht="16">
      <c r="A25" s="52" t="s">
        <v>139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1">
      <c r="A26" s="9" t="s">
        <v>233</v>
      </c>
      <c r="B26" s="8" t="s">
        <v>511</v>
      </c>
      <c r="C26" s="8" t="s">
        <v>512</v>
      </c>
      <c r="D26" s="8" t="s">
        <v>513</v>
      </c>
      <c r="E26" s="8" t="s">
        <v>1262</v>
      </c>
      <c r="F26" s="8" t="s">
        <v>1195</v>
      </c>
      <c r="G26" s="21" t="s">
        <v>33</v>
      </c>
      <c r="H26" s="20" t="s">
        <v>120</v>
      </c>
      <c r="I26" s="21" t="s">
        <v>120</v>
      </c>
      <c r="J26" s="9"/>
      <c r="K26" s="21" t="s">
        <v>20</v>
      </c>
      <c r="L26" s="21" t="s">
        <v>107</v>
      </c>
      <c r="M26" s="21" t="s">
        <v>39</v>
      </c>
      <c r="N26" s="9"/>
      <c r="O26" s="21" t="s">
        <v>83</v>
      </c>
      <c r="P26" s="21" t="s">
        <v>85</v>
      </c>
      <c r="Q26" s="20" t="s">
        <v>99</v>
      </c>
      <c r="R26" s="9"/>
      <c r="S26" s="32" t="str">
        <f>"570,0"</f>
        <v>570,0</v>
      </c>
      <c r="T26" s="9" t="str">
        <f>"349,9230"</f>
        <v>349,9230</v>
      </c>
      <c r="U26" s="8" t="s">
        <v>1161</v>
      </c>
    </row>
    <row r="27" spans="1:21">
      <c r="B27" s="5" t="s">
        <v>8</v>
      </c>
    </row>
    <row r="28" spans="1:21" ht="16">
      <c r="A28" s="52" t="s">
        <v>169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>
      <c r="A29" s="9" t="s">
        <v>233</v>
      </c>
      <c r="B29" s="8" t="s">
        <v>514</v>
      </c>
      <c r="C29" s="8" t="s">
        <v>515</v>
      </c>
      <c r="D29" s="8" t="s">
        <v>516</v>
      </c>
      <c r="E29" s="8" t="s">
        <v>1262</v>
      </c>
      <c r="F29" s="8" t="s">
        <v>1195</v>
      </c>
      <c r="G29" s="21" t="s">
        <v>474</v>
      </c>
      <c r="H29" s="21" t="s">
        <v>201</v>
      </c>
      <c r="I29" s="20" t="s">
        <v>517</v>
      </c>
      <c r="J29" s="9"/>
      <c r="K29" s="21" t="s">
        <v>108</v>
      </c>
      <c r="L29" s="20" t="s">
        <v>53</v>
      </c>
      <c r="M29" s="20" t="s">
        <v>53</v>
      </c>
      <c r="N29" s="9"/>
      <c r="O29" s="21" t="s">
        <v>132</v>
      </c>
      <c r="P29" s="21" t="s">
        <v>144</v>
      </c>
      <c r="Q29" s="20" t="s">
        <v>518</v>
      </c>
      <c r="R29" s="9"/>
      <c r="S29" s="32" t="str">
        <f>"742,5"</f>
        <v>742,5</v>
      </c>
      <c r="T29" s="9" t="str">
        <f>"440,5252"</f>
        <v>440,5252</v>
      </c>
      <c r="U29" s="8" t="s">
        <v>1162</v>
      </c>
    </row>
    <row r="30" spans="1:21">
      <c r="B30" s="5" t="s">
        <v>8</v>
      </c>
    </row>
    <row r="31" spans="1:21">
      <c r="B31" s="5" t="s">
        <v>8</v>
      </c>
    </row>
  </sheetData>
  <mergeCells count="20">
    <mergeCell ref="A28:R28"/>
    <mergeCell ref="S3:S4"/>
    <mergeCell ref="T3:T4"/>
    <mergeCell ref="U3:U4"/>
    <mergeCell ref="A5:R5"/>
    <mergeCell ref="B3:B4"/>
    <mergeCell ref="A9:R9"/>
    <mergeCell ref="A12:R12"/>
    <mergeCell ref="A18:R18"/>
    <mergeCell ref="A22:R22"/>
    <mergeCell ref="A25:R2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U1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8.5" style="5" customWidth="1"/>
    <col min="22" max="16384" width="9.1640625" style="3"/>
  </cols>
  <sheetData>
    <row r="1" spans="1:21" s="2" customFormat="1" ht="29" customHeight="1">
      <c r="A1" s="41" t="s">
        <v>1033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10</v>
      </c>
      <c r="L3" s="35"/>
      <c r="M3" s="35"/>
      <c r="N3" s="35"/>
      <c r="O3" s="35" t="s">
        <v>11</v>
      </c>
      <c r="P3" s="35"/>
      <c r="Q3" s="35"/>
      <c r="R3" s="35"/>
      <c r="S3" s="33" t="s">
        <v>1</v>
      </c>
      <c r="T3" s="35" t="s">
        <v>3</v>
      </c>
      <c r="U3" s="37" t="s">
        <v>2</v>
      </c>
    </row>
    <row r="4" spans="1:21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6"/>
      <c r="U4" s="38"/>
    </row>
    <row r="5" spans="1:21" ht="16">
      <c r="A5" s="39" t="s">
        <v>22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>
      <c r="A6" s="11" t="s">
        <v>233</v>
      </c>
      <c r="B6" s="10" t="s">
        <v>467</v>
      </c>
      <c r="C6" s="10" t="s">
        <v>468</v>
      </c>
      <c r="D6" s="10" t="s">
        <v>469</v>
      </c>
      <c r="E6" s="10" t="s">
        <v>1262</v>
      </c>
      <c r="F6" s="10" t="s">
        <v>376</v>
      </c>
      <c r="G6" s="22" t="s">
        <v>39</v>
      </c>
      <c r="H6" s="23" t="s">
        <v>40</v>
      </c>
      <c r="I6" s="23" t="s">
        <v>40</v>
      </c>
      <c r="J6" s="11"/>
      <c r="K6" s="22" t="s">
        <v>30</v>
      </c>
      <c r="L6" s="22" t="s">
        <v>73</v>
      </c>
      <c r="M6" s="22" t="s">
        <v>65</v>
      </c>
      <c r="N6" s="11"/>
      <c r="O6" s="22" t="s">
        <v>107</v>
      </c>
      <c r="P6" s="22" t="s">
        <v>28</v>
      </c>
      <c r="Q6" s="22" t="s">
        <v>40</v>
      </c>
      <c r="R6" s="11"/>
      <c r="S6" s="29">
        <v>380</v>
      </c>
      <c r="T6" s="11" t="str">
        <f>"452,2000"</f>
        <v>452,2000</v>
      </c>
      <c r="U6" s="10"/>
    </row>
    <row r="7" spans="1:21">
      <c r="A7" s="15" t="s">
        <v>233</v>
      </c>
      <c r="B7" s="14" t="s">
        <v>467</v>
      </c>
      <c r="C7" s="14" t="s">
        <v>1096</v>
      </c>
      <c r="D7" s="14" t="s">
        <v>469</v>
      </c>
      <c r="E7" s="14" t="s">
        <v>1267</v>
      </c>
      <c r="F7" s="14" t="s">
        <v>376</v>
      </c>
      <c r="G7" s="26" t="s">
        <v>39</v>
      </c>
      <c r="H7" s="27" t="s">
        <v>40</v>
      </c>
      <c r="I7" s="27" t="s">
        <v>40</v>
      </c>
      <c r="J7" s="15"/>
      <c r="K7" s="26" t="s">
        <v>30</v>
      </c>
      <c r="L7" s="26" t="s">
        <v>73</v>
      </c>
      <c r="M7" s="26" t="s">
        <v>65</v>
      </c>
      <c r="N7" s="15"/>
      <c r="O7" s="26" t="s">
        <v>107</v>
      </c>
      <c r="P7" s="26" t="s">
        <v>28</v>
      </c>
      <c r="Q7" s="26" t="s">
        <v>40</v>
      </c>
      <c r="R7" s="15"/>
      <c r="S7" s="30">
        <v>380</v>
      </c>
      <c r="T7" s="15" t="str">
        <f>"520,0300"</f>
        <v>520,0300</v>
      </c>
      <c r="U7" s="14"/>
    </row>
    <row r="8" spans="1:21">
      <c r="B8" s="5" t="s">
        <v>8</v>
      </c>
    </row>
    <row r="9" spans="1:21" ht="16">
      <c r="A9" s="52" t="s">
        <v>124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1">
      <c r="A10" s="11" t="s">
        <v>233</v>
      </c>
      <c r="B10" s="10" t="s">
        <v>471</v>
      </c>
      <c r="C10" s="10" t="s">
        <v>472</v>
      </c>
      <c r="D10" s="10" t="s">
        <v>473</v>
      </c>
      <c r="E10" s="10" t="s">
        <v>1262</v>
      </c>
      <c r="F10" s="10" t="s">
        <v>376</v>
      </c>
      <c r="G10" s="23" t="s">
        <v>474</v>
      </c>
      <c r="H10" s="22" t="s">
        <v>143</v>
      </c>
      <c r="I10" s="23" t="s">
        <v>132</v>
      </c>
      <c r="J10" s="11"/>
      <c r="K10" s="22" t="s">
        <v>28</v>
      </c>
      <c r="L10" s="22" t="s">
        <v>41</v>
      </c>
      <c r="M10" s="23" t="s">
        <v>108</v>
      </c>
      <c r="N10" s="11"/>
      <c r="O10" s="23" t="s">
        <v>122</v>
      </c>
      <c r="P10" s="22" t="s">
        <v>122</v>
      </c>
      <c r="Q10" s="23" t="s">
        <v>474</v>
      </c>
      <c r="R10" s="11"/>
      <c r="S10" s="29">
        <v>675</v>
      </c>
      <c r="T10" s="11" t="str">
        <f>"432,4050"</f>
        <v>432,4050</v>
      </c>
      <c r="U10" s="10"/>
    </row>
    <row r="11" spans="1:21">
      <c r="A11" s="15" t="s">
        <v>235</v>
      </c>
      <c r="B11" s="14" t="s">
        <v>475</v>
      </c>
      <c r="C11" s="14" t="s">
        <v>476</v>
      </c>
      <c r="D11" s="14" t="s">
        <v>375</v>
      </c>
      <c r="E11" s="14" t="s">
        <v>1262</v>
      </c>
      <c r="F11" s="14" t="s">
        <v>1195</v>
      </c>
      <c r="G11" s="27" t="s">
        <v>85</v>
      </c>
      <c r="H11" s="27" t="s">
        <v>85</v>
      </c>
      <c r="I11" s="27" t="s">
        <v>85</v>
      </c>
      <c r="J11" s="15"/>
      <c r="K11" s="27"/>
      <c r="L11" s="15"/>
      <c r="M11" s="15"/>
      <c r="N11" s="15"/>
      <c r="O11" s="27"/>
      <c r="P11" s="15"/>
      <c r="Q11" s="15"/>
      <c r="R11" s="15"/>
      <c r="S11" s="30">
        <v>0</v>
      </c>
      <c r="T11" s="15" t="str">
        <f>"0,0000"</f>
        <v>0,0000</v>
      </c>
      <c r="U11" s="14" t="s">
        <v>477</v>
      </c>
    </row>
    <row r="12" spans="1:21">
      <c r="B12" s="5" t="s">
        <v>8</v>
      </c>
    </row>
    <row r="13" spans="1:21" ht="16">
      <c r="A13" s="52" t="s">
        <v>193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21">
      <c r="A14" s="11" t="s">
        <v>233</v>
      </c>
      <c r="B14" s="10" t="s">
        <v>478</v>
      </c>
      <c r="C14" s="10" t="s">
        <v>1097</v>
      </c>
      <c r="D14" s="10" t="s">
        <v>479</v>
      </c>
      <c r="E14" s="10" t="s">
        <v>1261</v>
      </c>
      <c r="F14" s="10" t="s">
        <v>1195</v>
      </c>
      <c r="G14" s="23" t="s">
        <v>143</v>
      </c>
      <c r="H14" s="23" t="s">
        <v>143</v>
      </c>
      <c r="I14" s="22" t="s">
        <v>143</v>
      </c>
      <c r="J14" s="11"/>
      <c r="K14" s="23" t="s">
        <v>32</v>
      </c>
      <c r="L14" s="22" t="s">
        <v>32</v>
      </c>
      <c r="M14" s="23" t="s">
        <v>120</v>
      </c>
      <c r="N14" s="11"/>
      <c r="O14" s="22" t="s">
        <v>100</v>
      </c>
      <c r="P14" s="22" t="s">
        <v>122</v>
      </c>
      <c r="Q14" s="22" t="s">
        <v>143</v>
      </c>
      <c r="R14" s="11"/>
      <c r="S14" s="29" t="str">
        <f>"720,0"</f>
        <v>720,0</v>
      </c>
      <c r="T14" s="11" t="str">
        <f>"412,4160"</f>
        <v>412,4160</v>
      </c>
      <c r="U14" s="10"/>
    </row>
    <row r="15" spans="1:21">
      <c r="A15" s="15" t="s">
        <v>233</v>
      </c>
      <c r="B15" s="14" t="s">
        <v>480</v>
      </c>
      <c r="C15" s="14" t="s">
        <v>481</v>
      </c>
      <c r="D15" s="14" t="s">
        <v>482</v>
      </c>
      <c r="E15" s="14" t="s">
        <v>1262</v>
      </c>
      <c r="F15" s="14" t="s">
        <v>1197</v>
      </c>
      <c r="G15" s="26" t="s">
        <v>483</v>
      </c>
      <c r="H15" s="27" t="s">
        <v>484</v>
      </c>
      <c r="I15" s="27" t="s">
        <v>484</v>
      </c>
      <c r="J15" s="15"/>
      <c r="K15" s="26" t="s">
        <v>94</v>
      </c>
      <c r="L15" s="26" t="s">
        <v>181</v>
      </c>
      <c r="M15" s="27" t="s">
        <v>120</v>
      </c>
      <c r="N15" s="15"/>
      <c r="O15" s="26" t="s">
        <v>132</v>
      </c>
      <c r="P15" s="26" t="s">
        <v>144</v>
      </c>
      <c r="Q15" s="15"/>
      <c r="R15" s="15"/>
      <c r="S15" s="30" t="str">
        <f>"807,5"</f>
        <v>807,5</v>
      </c>
      <c r="T15" s="15" t="str">
        <f>"464,2317"</f>
        <v>464,2317</v>
      </c>
      <c r="U15" s="14"/>
    </row>
    <row r="16" spans="1:21">
      <c r="B16" s="5" t="s">
        <v>8</v>
      </c>
    </row>
  </sheetData>
  <mergeCells count="16">
    <mergeCell ref="A9:R9"/>
    <mergeCell ref="A13:R13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4" width="5.5" style="6" customWidth="1"/>
    <col min="15" max="15" width="7.83203125" style="28" bestFit="1" customWidth="1"/>
    <col min="16" max="16" width="8.5" style="6" bestFit="1" customWidth="1"/>
    <col min="17" max="17" width="17.33203125" style="5" bestFit="1" customWidth="1"/>
    <col min="18" max="16384" width="9.1640625" style="3"/>
  </cols>
  <sheetData>
    <row r="1" spans="1:17" s="2" customFormat="1" ht="29" customHeight="1">
      <c r="A1" s="41" t="s">
        <v>1034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11</v>
      </c>
      <c r="L3" s="35"/>
      <c r="M3" s="35"/>
      <c r="N3" s="35"/>
      <c r="O3" s="33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6"/>
      <c r="Q4" s="38"/>
    </row>
    <row r="5" spans="1:17" ht="16">
      <c r="A5" s="39" t="s">
        <v>256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9" t="s">
        <v>233</v>
      </c>
      <c r="B6" s="8" t="s">
        <v>617</v>
      </c>
      <c r="C6" s="8" t="s">
        <v>618</v>
      </c>
      <c r="D6" s="8" t="s">
        <v>619</v>
      </c>
      <c r="E6" s="8" t="s">
        <v>1262</v>
      </c>
      <c r="F6" s="8" t="s">
        <v>1220</v>
      </c>
      <c r="G6" s="21" t="s">
        <v>18</v>
      </c>
      <c r="H6" s="21" t="s">
        <v>72</v>
      </c>
      <c r="I6" s="20" t="s">
        <v>302</v>
      </c>
      <c r="J6" s="9"/>
      <c r="K6" s="21" t="s">
        <v>65</v>
      </c>
      <c r="L6" s="21" t="s">
        <v>44</v>
      </c>
      <c r="M6" s="20" t="s">
        <v>288</v>
      </c>
      <c r="N6" s="9"/>
      <c r="O6" s="32" t="str">
        <f>"155,0"</f>
        <v>155,0</v>
      </c>
      <c r="P6" s="9" t="str">
        <f>"196,7260"</f>
        <v>196,7260</v>
      </c>
      <c r="Q6" s="8" t="s">
        <v>1163</v>
      </c>
    </row>
    <row r="7" spans="1:17">
      <c r="B7" s="5" t="s">
        <v>8</v>
      </c>
    </row>
    <row r="8" spans="1:17" ht="16">
      <c r="A8" s="52" t="s">
        <v>35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9" t="s">
        <v>235</v>
      </c>
      <c r="B9" s="8" t="s">
        <v>913</v>
      </c>
      <c r="C9" s="8" t="s">
        <v>1098</v>
      </c>
      <c r="D9" s="8" t="s">
        <v>287</v>
      </c>
      <c r="E9" s="8" t="s">
        <v>1266</v>
      </c>
      <c r="F9" s="8" t="s">
        <v>1195</v>
      </c>
      <c r="G9" s="20" t="s">
        <v>63</v>
      </c>
      <c r="H9" s="20" t="s">
        <v>63</v>
      </c>
      <c r="I9" s="21" t="s">
        <v>63</v>
      </c>
      <c r="J9" s="9"/>
      <c r="K9" s="20" t="s">
        <v>260</v>
      </c>
      <c r="L9" s="20" t="s">
        <v>260</v>
      </c>
      <c r="M9" s="20" t="s">
        <v>260</v>
      </c>
      <c r="N9" s="9"/>
      <c r="O9" s="32">
        <v>0</v>
      </c>
      <c r="P9" s="9" t="str">
        <f>"0,0000"</f>
        <v>0,0000</v>
      </c>
      <c r="Q9" s="8" t="s">
        <v>914</v>
      </c>
    </row>
    <row r="10" spans="1:17">
      <c r="B10" s="5" t="s">
        <v>8</v>
      </c>
    </row>
    <row r="11" spans="1:17" ht="16">
      <c r="A11" s="52" t="s">
        <v>89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7">
      <c r="A12" s="9" t="s">
        <v>233</v>
      </c>
      <c r="B12" s="8" t="s">
        <v>915</v>
      </c>
      <c r="C12" s="8" t="s">
        <v>1099</v>
      </c>
      <c r="D12" s="8" t="s">
        <v>916</v>
      </c>
      <c r="E12" s="8" t="s">
        <v>1266</v>
      </c>
      <c r="F12" s="8" t="s">
        <v>1223</v>
      </c>
      <c r="G12" s="21" t="s">
        <v>242</v>
      </c>
      <c r="H12" s="21" t="s">
        <v>261</v>
      </c>
      <c r="I12" s="20" t="s">
        <v>17</v>
      </c>
      <c r="J12" s="9"/>
      <c r="K12" s="21" t="s">
        <v>260</v>
      </c>
      <c r="L12" s="21" t="s">
        <v>30</v>
      </c>
      <c r="M12" s="21" t="s">
        <v>42</v>
      </c>
      <c r="N12" s="9"/>
      <c r="O12" s="32" t="str">
        <f>"130,0"</f>
        <v>130,0</v>
      </c>
      <c r="P12" s="9" t="str">
        <f>"155,2688"</f>
        <v>155,2688</v>
      </c>
      <c r="Q12" s="8"/>
    </row>
    <row r="13" spans="1:17">
      <c r="B13" s="5" t="s">
        <v>8</v>
      </c>
    </row>
    <row r="14" spans="1:17" ht="16">
      <c r="A14" s="52" t="s">
        <v>35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7">
      <c r="A15" s="9" t="s">
        <v>233</v>
      </c>
      <c r="B15" s="8" t="s">
        <v>666</v>
      </c>
      <c r="C15" s="8" t="s">
        <v>1100</v>
      </c>
      <c r="D15" s="8" t="s">
        <v>667</v>
      </c>
      <c r="E15" s="8" t="s">
        <v>1261</v>
      </c>
      <c r="F15" s="8" t="s">
        <v>1224</v>
      </c>
      <c r="G15" s="21" t="s">
        <v>30</v>
      </c>
      <c r="H15" s="21" t="s">
        <v>65</v>
      </c>
      <c r="I15" s="20" t="s">
        <v>43</v>
      </c>
      <c r="J15" s="9"/>
      <c r="K15" s="21" t="s">
        <v>40</v>
      </c>
      <c r="L15" s="21" t="s">
        <v>93</v>
      </c>
      <c r="M15" s="20" t="s">
        <v>94</v>
      </c>
      <c r="N15" s="9"/>
      <c r="O15" s="32" t="str">
        <f>"255,0"</f>
        <v>255,0</v>
      </c>
      <c r="P15" s="9" t="str">
        <f>"227,4345"</f>
        <v>227,4345</v>
      </c>
      <c r="Q15" s="8" t="s">
        <v>668</v>
      </c>
    </row>
    <row r="16" spans="1:17">
      <c r="B16" s="5" t="s">
        <v>8</v>
      </c>
    </row>
    <row r="17" spans="1:17" ht="16">
      <c r="A17" s="52" t="s">
        <v>124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7">
      <c r="A18" s="9" t="s">
        <v>233</v>
      </c>
      <c r="B18" s="8" t="s">
        <v>917</v>
      </c>
      <c r="C18" s="8" t="s">
        <v>918</v>
      </c>
      <c r="D18" s="8" t="s">
        <v>387</v>
      </c>
      <c r="E18" s="8" t="s">
        <v>1262</v>
      </c>
      <c r="F18" s="8" t="s">
        <v>1195</v>
      </c>
      <c r="G18" s="21" t="s">
        <v>41</v>
      </c>
      <c r="H18" s="21" t="s">
        <v>108</v>
      </c>
      <c r="I18" s="20" t="s">
        <v>735</v>
      </c>
      <c r="J18" s="9"/>
      <c r="K18" s="21" t="s">
        <v>99</v>
      </c>
      <c r="L18" s="20" t="s">
        <v>403</v>
      </c>
      <c r="M18" s="20" t="s">
        <v>403</v>
      </c>
      <c r="N18" s="9"/>
      <c r="O18" s="32" t="str">
        <f>"395,0"</f>
        <v>395,0</v>
      </c>
      <c r="P18" s="9" t="str">
        <f>"255,1305"</f>
        <v>255,1305</v>
      </c>
      <c r="Q18" s="8" t="s">
        <v>919</v>
      </c>
    </row>
    <row r="19" spans="1:17">
      <c r="B19" s="5" t="s">
        <v>8</v>
      </c>
    </row>
    <row r="20" spans="1:17" ht="16">
      <c r="A20" s="52" t="s">
        <v>139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7">
      <c r="A21" s="11" t="s">
        <v>233</v>
      </c>
      <c r="B21" s="10" t="s">
        <v>409</v>
      </c>
      <c r="C21" s="10" t="s">
        <v>410</v>
      </c>
      <c r="D21" s="10" t="s">
        <v>411</v>
      </c>
      <c r="E21" s="10" t="s">
        <v>1262</v>
      </c>
      <c r="F21" s="10" t="s">
        <v>1210</v>
      </c>
      <c r="G21" s="22" t="s">
        <v>50</v>
      </c>
      <c r="H21" s="23" t="s">
        <v>412</v>
      </c>
      <c r="I21" s="11"/>
      <c r="J21" s="11"/>
      <c r="K21" s="22" t="s">
        <v>84</v>
      </c>
      <c r="L21" s="23" t="s">
        <v>100</v>
      </c>
      <c r="M21" s="22" t="s">
        <v>100</v>
      </c>
      <c r="N21" s="11"/>
      <c r="O21" s="29" t="str">
        <f>"382,5"</f>
        <v>382,5</v>
      </c>
      <c r="P21" s="11" t="str">
        <f>"234,5107"</f>
        <v>234,5107</v>
      </c>
      <c r="Q21" s="10" t="s">
        <v>1071</v>
      </c>
    </row>
    <row r="22" spans="1:17">
      <c r="A22" s="15" t="s">
        <v>234</v>
      </c>
      <c r="B22" s="14" t="s">
        <v>920</v>
      </c>
      <c r="C22" s="14" t="s">
        <v>921</v>
      </c>
      <c r="D22" s="14" t="s">
        <v>922</v>
      </c>
      <c r="E22" s="14" t="s">
        <v>1262</v>
      </c>
      <c r="F22" s="14" t="s">
        <v>1225</v>
      </c>
      <c r="G22" s="26" t="s">
        <v>86</v>
      </c>
      <c r="H22" s="27" t="s">
        <v>19</v>
      </c>
      <c r="I22" s="27" t="s">
        <v>19</v>
      </c>
      <c r="J22" s="15"/>
      <c r="K22" s="26" t="s">
        <v>94</v>
      </c>
      <c r="L22" s="26" t="s">
        <v>46</v>
      </c>
      <c r="M22" s="27" t="s">
        <v>137</v>
      </c>
      <c r="N22" s="15"/>
      <c r="O22" s="30" t="str">
        <f>"325,0"</f>
        <v>325,0</v>
      </c>
      <c r="P22" s="15" t="str">
        <f>"204,1650"</f>
        <v>204,1650</v>
      </c>
      <c r="Q22" s="14"/>
    </row>
    <row r="23" spans="1:17">
      <c r="B23" s="5" t="s">
        <v>8</v>
      </c>
    </row>
    <row r="24" spans="1:17" ht="16">
      <c r="A24" s="52" t="s">
        <v>169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7">
      <c r="A25" s="11" t="s">
        <v>233</v>
      </c>
      <c r="B25" s="10" t="s">
        <v>427</v>
      </c>
      <c r="C25" s="10" t="s">
        <v>428</v>
      </c>
      <c r="D25" s="10" t="s">
        <v>429</v>
      </c>
      <c r="E25" s="10" t="s">
        <v>1262</v>
      </c>
      <c r="F25" s="10" t="s">
        <v>1212</v>
      </c>
      <c r="G25" s="22" t="s">
        <v>108</v>
      </c>
      <c r="H25" s="22" t="s">
        <v>115</v>
      </c>
      <c r="I25" s="23" t="s">
        <v>154</v>
      </c>
      <c r="J25" s="11"/>
      <c r="K25" s="22" t="s">
        <v>100</v>
      </c>
      <c r="L25" s="22" t="s">
        <v>122</v>
      </c>
      <c r="M25" s="11"/>
      <c r="N25" s="11"/>
      <c r="O25" s="29" t="str">
        <f>"417,5"</f>
        <v>417,5</v>
      </c>
      <c r="P25" s="11" t="str">
        <f>"246,1997"</f>
        <v>246,1997</v>
      </c>
      <c r="Q25" s="10" t="s">
        <v>1073</v>
      </c>
    </row>
    <row r="26" spans="1:17">
      <c r="A26" s="15" t="s">
        <v>233</v>
      </c>
      <c r="B26" s="14" t="s">
        <v>923</v>
      </c>
      <c r="C26" s="14" t="s">
        <v>1101</v>
      </c>
      <c r="D26" s="14" t="s">
        <v>924</v>
      </c>
      <c r="E26" s="14" t="s">
        <v>1264</v>
      </c>
      <c r="F26" s="14" t="s">
        <v>1226</v>
      </c>
      <c r="G26" s="26" t="s">
        <v>44</v>
      </c>
      <c r="H26" s="26" t="s">
        <v>52</v>
      </c>
      <c r="I26" s="26" t="s">
        <v>279</v>
      </c>
      <c r="J26" s="15"/>
      <c r="K26" s="27" t="s">
        <v>94</v>
      </c>
      <c r="L26" s="27" t="s">
        <v>94</v>
      </c>
      <c r="M26" s="26" t="s">
        <v>94</v>
      </c>
      <c r="N26" s="15"/>
      <c r="O26" s="30" t="str">
        <f>"287,5"</f>
        <v>287,5</v>
      </c>
      <c r="P26" s="15" t="str">
        <f>"192,9977"</f>
        <v>192,9977</v>
      </c>
      <c r="Q26" s="14" t="s">
        <v>914</v>
      </c>
    </row>
    <row r="27" spans="1:17">
      <c r="B27" s="5" t="s">
        <v>8</v>
      </c>
    </row>
    <row r="28" spans="1:17" ht="16">
      <c r="A28" s="52" t="s">
        <v>193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7">
      <c r="A29" s="11" t="s">
        <v>233</v>
      </c>
      <c r="B29" s="10" t="s">
        <v>1165</v>
      </c>
      <c r="C29" s="10" t="s">
        <v>925</v>
      </c>
      <c r="D29" s="10" t="s">
        <v>926</v>
      </c>
      <c r="E29" s="10" t="s">
        <v>1262</v>
      </c>
      <c r="F29" s="10" t="s">
        <v>1166</v>
      </c>
      <c r="G29" s="22" t="s">
        <v>108</v>
      </c>
      <c r="H29" s="22" t="s">
        <v>53</v>
      </c>
      <c r="I29" s="22" t="s">
        <v>94</v>
      </c>
      <c r="J29" s="11"/>
      <c r="K29" s="22" t="s">
        <v>377</v>
      </c>
      <c r="L29" s="22" t="s">
        <v>143</v>
      </c>
      <c r="M29" s="22" t="s">
        <v>131</v>
      </c>
      <c r="N29" s="11"/>
      <c r="O29" s="29" t="str">
        <f>"455,0"</f>
        <v>455,0</v>
      </c>
      <c r="P29" s="11" t="str">
        <f>"259,8960"</f>
        <v>259,8960</v>
      </c>
      <c r="Q29" s="10" t="s">
        <v>1164</v>
      </c>
    </row>
    <row r="30" spans="1:17">
      <c r="A30" s="15" t="s">
        <v>234</v>
      </c>
      <c r="B30" s="14" t="s">
        <v>901</v>
      </c>
      <c r="C30" s="14" t="s">
        <v>902</v>
      </c>
      <c r="D30" s="14" t="s">
        <v>903</v>
      </c>
      <c r="E30" s="14" t="s">
        <v>1262</v>
      </c>
      <c r="F30" s="14" t="s">
        <v>376</v>
      </c>
      <c r="G30" s="26" t="s">
        <v>28</v>
      </c>
      <c r="H30" s="26" t="s">
        <v>40</v>
      </c>
      <c r="I30" s="27" t="s">
        <v>165</v>
      </c>
      <c r="J30" s="15"/>
      <c r="K30" s="26" t="s">
        <v>85</v>
      </c>
      <c r="L30" s="26" t="s">
        <v>403</v>
      </c>
      <c r="M30" s="15"/>
      <c r="N30" s="15"/>
      <c r="O30" s="30">
        <v>392.5</v>
      </c>
      <c r="P30" s="15" t="str">
        <f>"227,6108"</f>
        <v>227,6108</v>
      </c>
      <c r="Q30" s="14"/>
    </row>
    <row r="31" spans="1:17">
      <c r="B31" s="5" t="s">
        <v>8</v>
      </c>
    </row>
  </sheetData>
  <mergeCells count="20">
    <mergeCell ref="A28:N28"/>
    <mergeCell ref="B3:B4"/>
    <mergeCell ref="A8:N8"/>
    <mergeCell ref="A11:N11"/>
    <mergeCell ref="A14:N14"/>
    <mergeCell ref="A17:N17"/>
    <mergeCell ref="A20:N20"/>
    <mergeCell ref="A24:N2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7" width="5.6640625" style="6" customWidth="1"/>
    <col min="8" max="9" width="5.5" style="6" customWidth="1"/>
    <col min="10" max="10" width="4.83203125" style="6" customWidth="1"/>
    <col min="11" max="13" width="5.664062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2.6640625" style="5" customWidth="1"/>
    <col min="18" max="16384" width="9.1640625" style="3"/>
  </cols>
  <sheetData>
    <row r="1" spans="1:17" s="2" customFormat="1" ht="29" customHeight="1">
      <c r="A1" s="41" t="s">
        <v>1035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1:17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5" t="s">
        <v>11</v>
      </c>
      <c r="L3" s="35"/>
      <c r="M3" s="35"/>
      <c r="N3" s="35"/>
      <c r="O3" s="33" t="s">
        <v>1</v>
      </c>
      <c r="P3" s="35" t="s">
        <v>3</v>
      </c>
      <c r="Q3" s="37" t="s">
        <v>2</v>
      </c>
    </row>
    <row r="4" spans="1:17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6"/>
      <c r="Q4" s="38"/>
    </row>
    <row r="5" spans="1:17" ht="16">
      <c r="A5" s="39" t="s">
        <v>35</v>
      </c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>
      <c r="A6" s="9" t="s">
        <v>233</v>
      </c>
      <c r="B6" s="8" t="s">
        <v>910</v>
      </c>
      <c r="C6" s="8" t="s">
        <v>911</v>
      </c>
      <c r="D6" s="8" t="s">
        <v>309</v>
      </c>
      <c r="E6" s="8" t="s">
        <v>1262</v>
      </c>
      <c r="F6" s="8" t="s">
        <v>1195</v>
      </c>
      <c r="G6" s="21" t="s">
        <v>17</v>
      </c>
      <c r="H6" s="20" t="s">
        <v>72</v>
      </c>
      <c r="I6" s="20" t="s">
        <v>72</v>
      </c>
      <c r="J6" s="9"/>
      <c r="K6" s="21" t="s">
        <v>30</v>
      </c>
      <c r="L6" s="21" t="s">
        <v>42</v>
      </c>
      <c r="M6" s="21" t="s">
        <v>65</v>
      </c>
      <c r="N6" s="9"/>
      <c r="O6" s="32">
        <v>140</v>
      </c>
      <c r="P6" s="9" t="str">
        <f>"156,6880"</f>
        <v>156,6880</v>
      </c>
      <c r="Q6" s="8" t="s">
        <v>912</v>
      </c>
    </row>
    <row r="7" spans="1:17">
      <c r="B7" s="5" t="s">
        <v>8</v>
      </c>
    </row>
    <row r="8" spans="1:17" ht="16">
      <c r="A8" s="52" t="s">
        <v>124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9" t="s">
        <v>233</v>
      </c>
      <c r="B9" s="8" t="s">
        <v>810</v>
      </c>
      <c r="C9" s="8" t="s">
        <v>811</v>
      </c>
      <c r="D9" s="8" t="s">
        <v>812</v>
      </c>
      <c r="E9" s="8" t="s">
        <v>1262</v>
      </c>
      <c r="F9" s="8" t="s">
        <v>1194</v>
      </c>
      <c r="G9" s="21" t="s">
        <v>20</v>
      </c>
      <c r="H9" s="21" t="s">
        <v>39</v>
      </c>
      <c r="I9" s="21" t="s">
        <v>28</v>
      </c>
      <c r="J9" s="9"/>
      <c r="K9" s="21" t="s">
        <v>122</v>
      </c>
      <c r="L9" s="20" t="s">
        <v>102</v>
      </c>
      <c r="M9" s="20" t="s">
        <v>102</v>
      </c>
      <c r="N9" s="9"/>
      <c r="O9" s="32" t="str">
        <f>"395,0"</f>
        <v>395,0</v>
      </c>
      <c r="P9" s="9" t="str">
        <f>"341,7935"</f>
        <v>341,7935</v>
      </c>
      <c r="Q9" s="8"/>
    </row>
    <row r="10" spans="1:17">
      <c r="B10" s="5" t="s">
        <v>8</v>
      </c>
    </row>
    <row r="11" spans="1:17" ht="16">
      <c r="A11" s="52" t="s">
        <v>139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7">
      <c r="A12" s="9" t="s">
        <v>233</v>
      </c>
      <c r="B12" s="8" t="s">
        <v>565</v>
      </c>
      <c r="C12" s="8" t="s">
        <v>566</v>
      </c>
      <c r="D12" s="8" t="s">
        <v>418</v>
      </c>
      <c r="E12" s="8" t="s">
        <v>1262</v>
      </c>
      <c r="F12" s="8" t="s">
        <v>1195</v>
      </c>
      <c r="G12" s="21" t="s">
        <v>94</v>
      </c>
      <c r="H12" s="20" t="s">
        <v>32</v>
      </c>
      <c r="I12" s="20" t="s">
        <v>32</v>
      </c>
      <c r="J12" s="9"/>
      <c r="K12" s="21" t="s">
        <v>100</v>
      </c>
      <c r="L12" s="21" t="s">
        <v>122</v>
      </c>
      <c r="M12" s="21" t="s">
        <v>102</v>
      </c>
      <c r="N12" s="9"/>
      <c r="O12" s="32" t="str">
        <f>"435,0"</f>
        <v>435,0</v>
      </c>
      <c r="P12" s="9" t="str">
        <f>"265,3935"</f>
        <v>265,3935</v>
      </c>
      <c r="Q12" s="8" t="s">
        <v>567</v>
      </c>
    </row>
    <row r="13" spans="1:17">
      <c r="B13" s="5" t="s">
        <v>8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1" t="s">
        <v>1036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22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273</v>
      </c>
      <c r="C6" s="8" t="s">
        <v>274</v>
      </c>
      <c r="D6" s="8" t="s">
        <v>275</v>
      </c>
      <c r="E6" s="8" t="s">
        <v>1262</v>
      </c>
      <c r="F6" s="8" t="s">
        <v>1198</v>
      </c>
      <c r="G6" s="21" t="s">
        <v>30</v>
      </c>
      <c r="H6" s="21" t="s">
        <v>73</v>
      </c>
      <c r="I6" s="20" t="s">
        <v>43</v>
      </c>
      <c r="J6" s="9"/>
      <c r="K6" s="9" t="str">
        <f>"87,5"</f>
        <v>87,5</v>
      </c>
      <c r="L6" s="9" t="str">
        <f>"104,5625"</f>
        <v>104,5625</v>
      </c>
      <c r="M6" s="8"/>
    </row>
    <row r="7" spans="1:13">
      <c r="B7" s="5" t="s">
        <v>8</v>
      </c>
    </row>
    <row r="8" spans="1:13" ht="16">
      <c r="A8" s="52" t="s">
        <v>89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9" t="s">
        <v>233</v>
      </c>
      <c r="B9" s="8" t="s">
        <v>907</v>
      </c>
      <c r="C9" s="8" t="s">
        <v>908</v>
      </c>
      <c r="D9" s="8" t="s">
        <v>497</v>
      </c>
      <c r="E9" s="8" t="s">
        <v>1262</v>
      </c>
      <c r="F9" s="8" t="s">
        <v>1195</v>
      </c>
      <c r="G9" s="21" t="s">
        <v>70</v>
      </c>
      <c r="H9" s="21" t="s">
        <v>260</v>
      </c>
      <c r="I9" s="21" t="s">
        <v>60</v>
      </c>
      <c r="J9" s="9"/>
      <c r="K9" s="9" t="str">
        <f>"72,5"</f>
        <v>72,5</v>
      </c>
      <c r="L9" s="9" t="str">
        <f>"70,6295"</f>
        <v>70,6295</v>
      </c>
      <c r="M9" s="8" t="s">
        <v>909</v>
      </c>
    </row>
    <row r="10" spans="1:13">
      <c r="B10" s="5" t="s">
        <v>8</v>
      </c>
    </row>
    <row r="11" spans="1:13" ht="16">
      <c r="A11" s="52" t="s">
        <v>139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9" t="s">
        <v>233</v>
      </c>
      <c r="B12" s="8" t="s">
        <v>409</v>
      </c>
      <c r="C12" s="8" t="s">
        <v>410</v>
      </c>
      <c r="D12" s="8" t="s">
        <v>411</v>
      </c>
      <c r="E12" s="8" t="s">
        <v>1262</v>
      </c>
      <c r="F12" s="8" t="s">
        <v>1210</v>
      </c>
      <c r="G12" s="21" t="s">
        <v>94</v>
      </c>
      <c r="H12" s="21" t="s">
        <v>364</v>
      </c>
      <c r="I12" s="21" t="s">
        <v>120</v>
      </c>
      <c r="J12" s="9"/>
      <c r="K12" s="9" t="str">
        <f>"200,0"</f>
        <v>200,0</v>
      </c>
      <c r="L12" s="9" t="str">
        <f>"122,6200"</f>
        <v>122,6200</v>
      </c>
      <c r="M12" s="8" t="s">
        <v>1071</v>
      </c>
    </row>
    <row r="13" spans="1:13">
      <c r="B13" s="5" t="s">
        <v>8</v>
      </c>
    </row>
    <row r="14" spans="1:13" ht="16">
      <c r="A14" s="52" t="s">
        <v>169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11" t="s">
        <v>233</v>
      </c>
      <c r="B15" s="10" t="s">
        <v>427</v>
      </c>
      <c r="C15" s="10" t="s">
        <v>428</v>
      </c>
      <c r="D15" s="10" t="s">
        <v>429</v>
      </c>
      <c r="E15" s="10" t="s">
        <v>1262</v>
      </c>
      <c r="F15" s="10" t="s">
        <v>1212</v>
      </c>
      <c r="G15" s="22" t="s">
        <v>164</v>
      </c>
      <c r="H15" s="22" t="s">
        <v>398</v>
      </c>
      <c r="I15" s="23" t="s">
        <v>102</v>
      </c>
      <c r="J15" s="11"/>
      <c r="K15" s="11" t="str">
        <f>"252,5"</f>
        <v>252,5</v>
      </c>
      <c r="L15" s="11" t="str">
        <f>"148,8992"</f>
        <v>148,8992</v>
      </c>
      <c r="M15" s="10" t="s">
        <v>1073</v>
      </c>
    </row>
    <row r="16" spans="1:13">
      <c r="A16" s="15" t="s">
        <v>235</v>
      </c>
      <c r="B16" s="14" t="s">
        <v>897</v>
      </c>
      <c r="C16" s="14" t="s">
        <v>1102</v>
      </c>
      <c r="D16" s="14" t="s">
        <v>429</v>
      </c>
      <c r="E16" s="14" t="s">
        <v>1265</v>
      </c>
      <c r="F16" s="14" t="s">
        <v>1195</v>
      </c>
      <c r="G16" s="27" t="s">
        <v>46</v>
      </c>
      <c r="H16" s="27" t="s">
        <v>46</v>
      </c>
      <c r="I16" s="27" t="s">
        <v>46</v>
      </c>
      <c r="J16" s="15"/>
      <c r="K16" s="15" t="str">
        <f>"0.00"</f>
        <v>0.00</v>
      </c>
      <c r="L16" s="15" t="str">
        <f>"0,0000"</f>
        <v>0,0000</v>
      </c>
      <c r="M16" s="14"/>
    </row>
    <row r="17" spans="2:2">
      <c r="B17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41" t="s">
        <v>1037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9</v>
      </c>
      <c r="H3" s="35"/>
      <c r="I3" s="35"/>
      <c r="J3" s="35"/>
      <c r="K3" s="35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6"/>
      <c r="L4" s="36"/>
      <c r="M4" s="38"/>
    </row>
    <row r="5" spans="1:13" ht="16">
      <c r="A5" s="39" t="s">
        <v>193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480</v>
      </c>
      <c r="C6" s="8" t="s">
        <v>481</v>
      </c>
      <c r="D6" s="8" t="s">
        <v>482</v>
      </c>
      <c r="E6" s="8" t="s">
        <v>1262</v>
      </c>
      <c r="F6" s="8" t="s">
        <v>1197</v>
      </c>
      <c r="G6" s="21" t="s">
        <v>483</v>
      </c>
      <c r="H6" s="20" t="s">
        <v>484</v>
      </c>
      <c r="I6" s="20" t="s">
        <v>484</v>
      </c>
      <c r="J6" s="9"/>
      <c r="K6" s="9" t="str">
        <f>"320,0"</f>
        <v>320,0</v>
      </c>
      <c r="L6" s="9" t="str">
        <f>"183,9680"</f>
        <v>183,9680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40"/>
  <sheetViews>
    <sheetView topLeftCell="A89" workbookViewId="0">
      <selection activeCell="E111" sqref="E111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8.6640625" style="5" bestFit="1" customWidth="1"/>
    <col min="14" max="16384" width="9.1640625" style="3"/>
  </cols>
  <sheetData>
    <row r="1" spans="1:13" s="2" customFormat="1" ht="29" customHeight="1">
      <c r="A1" s="41" t="s">
        <v>1038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" customHeight="1" thickBot="1">
      <c r="A2" s="45"/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>
      <c r="A3" s="49" t="s">
        <v>1193</v>
      </c>
      <c r="B3" s="53" t="s">
        <v>0</v>
      </c>
      <c r="C3" s="51" t="s">
        <v>1259</v>
      </c>
      <c r="D3" s="51" t="s">
        <v>5</v>
      </c>
      <c r="E3" s="35" t="s">
        <v>1260</v>
      </c>
      <c r="F3" s="35" t="s">
        <v>6</v>
      </c>
      <c r="G3" s="35" t="s">
        <v>10</v>
      </c>
      <c r="H3" s="35"/>
      <c r="I3" s="35"/>
      <c r="J3" s="35"/>
      <c r="K3" s="33" t="s">
        <v>609</v>
      </c>
      <c r="L3" s="35" t="s">
        <v>3</v>
      </c>
      <c r="M3" s="37" t="s">
        <v>2</v>
      </c>
    </row>
    <row r="4" spans="1:13" s="1" customFormat="1" ht="21" customHeight="1" thickBot="1">
      <c r="A4" s="50"/>
      <c r="B4" s="54"/>
      <c r="C4" s="36"/>
      <c r="D4" s="36"/>
      <c r="E4" s="36"/>
      <c r="F4" s="36"/>
      <c r="G4" s="4">
        <v>1</v>
      </c>
      <c r="H4" s="4">
        <v>2</v>
      </c>
      <c r="I4" s="4">
        <v>3</v>
      </c>
      <c r="J4" s="4" t="s">
        <v>4</v>
      </c>
      <c r="K4" s="34"/>
      <c r="L4" s="36"/>
      <c r="M4" s="38"/>
    </row>
    <row r="5" spans="1:13" ht="16">
      <c r="A5" s="39" t="s">
        <v>238</v>
      </c>
      <c r="B5" s="39"/>
      <c r="C5" s="40"/>
      <c r="D5" s="40"/>
      <c r="E5" s="40"/>
      <c r="F5" s="40"/>
      <c r="G5" s="40"/>
      <c r="H5" s="40"/>
      <c r="I5" s="40"/>
      <c r="J5" s="40"/>
    </row>
    <row r="6" spans="1:13">
      <c r="A6" s="9" t="s">
        <v>233</v>
      </c>
      <c r="B6" s="8" t="s">
        <v>610</v>
      </c>
      <c r="C6" s="8" t="s">
        <v>611</v>
      </c>
      <c r="D6" s="8" t="s">
        <v>612</v>
      </c>
      <c r="E6" s="8" t="s">
        <v>1262</v>
      </c>
      <c r="F6" s="8" t="s">
        <v>1176</v>
      </c>
      <c r="G6" s="21" t="s">
        <v>62</v>
      </c>
      <c r="H6" s="20" t="s">
        <v>63</v>
      </c>
      <c r="I6" s="20" t="s">
        <v>63</v>
      </c>
      <c r="J6" s="9"/>
      <c r="K6" s="32" t="str">
        <f>"30,0"</f>
        <v>30,0</v>
      </c>
      <c r="L6" s="9" t="str">
        <f>"42,3060"</f>
        <v>42,3060</v>
      </c>
      <c r="M6" s="8" t="s">
        <v>613</v>
      </c>
    </row>
    <row r="7" spans="1:13">
      <c r="B7" s="5" t="s">
        <v>8</v>
      </c>
    </row>
    <row r="8" spans="1:13" ht="16">
      <c r="A8" s="52" t="s">
        <v>256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1" t="s">
        <v>233</v>
      </c>
      <c r="B9" s="10" t="s">
        <v>614</v>
      </c>
      <c r="C9" s="10" t="s">
        <v>615</v>
      </c>
      <c r="D9" s="10" t="s">
        <v>616</v>
      </c>
      <c r="E9" s="10" t="s">
        <v>1262</v>
      </c>
      <c r="F9" s="10" t="s">
        <v>1195</v>
      </c>
      <c r="G9" s="22" t="s">
        <v>78</v>
      </c>
      <c r="H9" s="23" t="s">
        <v>245</v>
      </c>
      <c r="I9" s="23" t="s">
        <v>245</v>
      </c>
      <c r="J9" s="11"/>
      <c r="K9" s="29" t="str">
        <f>"60,0"</f>
        <v>60,0</v>
      </c>
      <c r="L9" s="11" t="str">
        <f>"75,0240"</f>
        <v>75,0240</v>
      </c>
      <c r="M9" s="10" t="s">
        <v>1167</v>
      </c>
    </row>
    <row r="10" spans="1:13">
      <c r="A10" s="13" t="s">
        <v>234</v>
      </c>
      <c r="B10" s="12" t="s">
        <v>617</v>
      </c>
      <c r="C10" s="12" t="s">
        <v>618</v>
      </c>
      <c r="D10" s="12" t="s">
        <v>619</v>
      </c>
      <c r="E10" s="12" t="s">
        <v>1262</v>
      </c>
      <c r="F10" s="12" t="s">
        <v>1220</v>
      </c>
      <c r="G10" s="24" t="s">
        <v>18</v>
      </c>
      <c r="H10" s="24" t="s">
        <v>72</v>
      </c>
      <c r="I10" s="25" t="s">
        <v>302</v>
      </c>
      <c r="J10" s="13"/>
      <c r="K10" s="31" t="str">
        <f>"55,0"</f>
        <v>55,0</v>
      </c>
      <c r="L10" s="13" t="str">
        <f>"69,8060"</f>
        <v>69,8060</v>
      </c>
      <c r="M10" s="12" t="s">
        <v>1163</v>
      </c>
    </row>
    <row r="11" spans="1:13">
      <c r="A11" s="13" t="s">
        <v>236</v>
      </c>
      <c r="B11" s="12" t="s">
        <v>620</v>
      </c>
      <c r="C11" s="12" t="s">
        <v>621</v>
      </c>
      <c r="D11" s="12" t="s">
        <v>622</v>
      </c>
      <c r="E11" s="12" t="s">
        <v>1262</v>
      </c>
      <c r="F11" s="12" t="s">
        <v>1195</v>
      </c>
      <c r="G11" s="24" t="s">
        <v>18</v>
      </c>
      <c r="H11" s="25" t="s">
        <v>72</v>
      </c>
      <c r="I11" s="25" t="s">
        <v>302</v>
      </c>
      <c r="J11" s="13"/>
      <c r="K11" s="31" t="str">
        <f>"52,5"</f>
        <v>52,5</v>
      </c>
      <c r="L11" s="13" t="str">
        <f>"67,3417"</f>
        <v>67,3417</v>
      </c>
      <c r="M11" s="12"/>
    </row>
    <row r="12" spans="1:13">
      <c r="A12" s="15" t="s">
        <v>237</v>
      </c>
      <c r="B12" s="14" t="s">
        <v>257</v>
      </c>
      <c r="C12" s="14" t="s">
        <v>258</v>
      </c>
      <c r="D12" s="14" t="s">
        <v>259</v>
      </c>
      <c r="E12" s="14" t="s">
        <v>1262</v>
      </c>
      <c r="F12" s="14" t="s">
        <v>1194</v>
      </c>
      <c r="G12" s="26" t="s">
        <v>261</v>
      </c>
      <c r="H12" s="27" t="s">
        <v>71</v>
      </c>
      <c r="I12" s="27" t="s">
        <v>17</v>
      </c>
      <c r="J12" s="15"/>
      <c r="K12" s="30" t="str">
        <f>"45,0"</f>
        <v>45,0</v>
      </c>
      <c r="L12" s="15" t="str">
        <f>"56,5200"</f>
        <v>56,5200</v>
      </c>
      <c r="M12" s="14" t="s">
        <v>1054</v>
      </c>
    </row>
    <row r="13" spans="1:13">
      <c r="B13" s="5" t="s">
        <v>8</v>
      </c>
    </row>
    <row r="14" spans="1:13" ht="16">
      <c r="A14" s="52" t="s">
        <v>22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9" t="s">
        <v>233</v>
      </c>
      <c r="B15" s="8" t="s">
        <v>273</v>
      </c>
      <c r="C15" s="8" t="s">
        <v>274</v>
      </c>
      <c r="D15" s="8" t="s">
        <v>275</v>
      </c>
      <c r="E15" s="8" t="s">
        <v>1262</v>
      </c>
      <c r="F15" s="8" t="s">
        <v>1198</v>
      </c>
      <c r="G15" s="21" t="s">
        <v>17</v>
      </c>
      <c r="H15" s="20" t="s">
        <v>72</v>
      </c>
      <c r="I15" s="21" t="s">
        <v>72</v>
      </c>
      <c r="J15" s="9"/>
      <c r="K15" s="32" t="str">
        <f>"55,0"</f>
        <v>55,0</v>
      </c>
      <c r="L15" s="9" t="str">
        <f>"65,7250"</f>
        <v>65,7250</v>
      </c>
      <c r="M15" s="8"/>
    </row>
    <row r="16" spans="1:13">
      <c r="B16" s="5" t="s">
        <v>8</v>
      </c>
    </row>
    <row r="17" spans="1:13" ht="16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11" t="s">
        <v>233</v>
      </c>
      <c r="B18" s="10" t="s">
        <v>623</v>
      </c>
      <c r="C18" s="10" t="s">
        <v>624</v>
      </c>
      <c r="D18" s="10" t="s">
        <v>625</v>
      </c>
      <c r="E18" s="10" t="s">
        <v>1262</v>
      </c>
      <c r="F18" s="10" t="s">
        <v>1201</v>
      </c>
      <c r="G18" s="22" t="s">
        <v>30</v>
      </c>
      <c r="H18" s="22" t="s">
        <v>42</v>
      </c>
      <c r="I18" s="23" t="s">
        <v>65</v>
      </c>
      <c r="J18" s="11"/>
      <c r="K18" s="29" t="str">
        <f>"85,0"</f>
        <v>85,0</v>
      </c>
      <c r="L18" s="11" t="str">
        <f>"98,4980"</f>
        <v>98,4980</v>
      </c>
      <c r="M18" s="10" t="s">
        <v>188</v>
      </c>
    </row>
    <row r="19" spans="1:13">
      <c r="A19" s="13" t="s">
        <v>234</v>
      </c>
      <c r="B19" s="12" t="s">
        <v>626</v>
      </c>
      <c r="C19" s="12" t="s">
        <v>627</v>
      </c>
      <c r="D19" s="12" t="s">
        <v>628</v>
      </c>
      <c r="E19" s="12" t="s">
        <v>1262</v>
      </c>
      <c r="F19" s="12" t="s">
        <v>1227</v>
      </c>
      <c r="G19" s="24" t="s">
        <v>260</v>
      </c>
      <c r="H19" s="25" t="s">
        <v>60</v>
      </c>
      <c r="I19" s="24" t="s">
        <v>60</v>
      </c>
      <c r="J19" s="13"/>
      <c r="K19" s="31" t="str">
        <f>"72,5"</f>
        <v>72,5</v>
      </c>
      <c r="L19" s="13" t="str">
        <f>"82,1063"</f>
        <v>82,1063</v>
      </c>
      <c r="M19" s="12"/>
    </row>
    <row r="20" spans="1:13">
      <c r="A20" s="13" t="s">
        <v>236</v>
      </c>
      <c r="B20" s="12" t="s">
        <v>629</v>
      </c>
      <c r="C20" s="12" t="s">
        <v>630</v>
      </c>
      <c r="D20" s="12" t="s">
        <v>631</v>
      </c>
      <c r="E20" s="12" t="s">
        <v>1262</v>
      </c>
      <c r="F20" s="12" t="s">
        <v>1228</v>
      </c>
      <c r="G20" s="24" t="s">
        <v>245</v>
      </c>
      <c r="H20" s="25" t="s">
        <v>70</v>
      </c>
      <c r="I20" s="25" t="s">
        <v>70</v>
      </c>
      <c r="J20" s="13"/>
      <c r="K20" s="31" t="str">
        <f>"62,5"</f>
        <v>62,5</v>
      </c>
      <c r="L20" s="13" t="str">
        <f>"71,1625"</f>
        <v>71,1625</v>
      </c>
      <c r="M20" s="12" t="s">
        <v>1168</v>
      </c>
    </row>
    <row r="21" spans="1:13">
      <c r="A21" s="13" t="s">
        <v>237</v>
      </c>
      <c r="B21" s="12" t="s">
        <v>632</v>
      </c>
      <c r="C21" s="12" t="s">
        <v>633</v>
      </c>
      <c r="D21" s="12" t="s">
        <v>634</v>
      </c>
      <c r="E21" s="12" t="s">
        <v>1262</v>
      </c>
      <c r="F21" s="12" t="s">
        <v>1195</v>
      </c>
      <c r="G21" s="24" t="s">
        <v>63</v>
      </c>
      <c r="H21" s="25" t="s">
        <v>64</v>
      </c>
      <c r="I21" s="25" t="s">
        <v>241</v>
      </c>
      <c r="J21" s="13"/>
      <c r="K21" s="31" t="str">
        <f>"35,0"</f>
        <v>35,0</v>
      </c>
      <c r="L21" s="13" t="str">
        <f>"40,2815"</f>
        <v>40,2815</v>
      </c>
      <c r="M21" s="12" t="s">
        <v>1169</v>
      </c>
    </row>
    <row r="22" spans="1:13">
      <c r="A22" s="13" t="s">
        <v>233</v>
      </c>
      <c r="B22" s="12" t="s">
        <v>623</v>
      </c>
      <c r="C22" s="12" t="s">
        <v>1103</v>
      </c>
      <c r="D22" s="12" t="s">
        <v>625</v>
      </c>
      <c r="E22" s="12" t="s">
        <v>1264</v>
      </c>
      <c r="F22" s="12" t="s">
        <v>1201</v>
      </c>
      <c r="G22" s="24" t="s">
        <v>30</v>
      </c>
      <c r="H22" s="24" t="s">
        <v>42</v>
      </c>
      <c r="I22" s="25" t="s">
        <v>65</v>
      </c>
      <c r="J22" s="13"/>
      <c r="K22" s="31" t="str">
        <f>"85,0"</f>
        <v>85,0</v>
      </c>
      <c r="L22" s="13" t="str">
        <f>"104,4079"</f>
        <v>104,4079</v>
      </c>
      <c r="M22" s="12" t="s">
        <v>188</v>
      </c>
    </row>
    <row r="23" spans="1:13">
      <c r="A23" s="13" t="s">
        <v>234</v>
      </c>
      <c r="B23" s="12" t="s">
        <v>635</v>
      </c>
      <c r="C23" s="12" t="s">
        <v>1104</v>
      </c>
      <c r="D23" s="12" t="s">
        <v>287</v>
      </c>
      <c r="E23" s="12" t="s">
        <v>1264</v>
      </c>
      <c r="F23" s="12" t="s">
        <v>1195</v>
      </c>
      <c r="G23" s="24" t="s">
        <v>71</v>
      </c>
      <c r="H23" s="24" t="s">
        <v>17</v>
      </c>
      <c r="I23" s="25" t="s">
        <v>18</v>
      </c>
      <c r="J23" s="13"/>
      <c r="K23" s="31" t="str">
        <f>"50,0"</f>
        <v>50,0</v>
      </c>
      <c r="L23" s="13" t="str">
        <f>"64,3599"</f>
        <v>64,3599</v>
      </c>
      <c r="M23" s="12" t="s">
        <v>636</v>
      </c>
    </row>
    <row r="24" spans="1:13">
      <c r="A24" s="15" t="s">
        <v>233</v>
      </c>
      <c r="B24" s="14" t="s">
        <v>637</v>
      </c>
      <c r="C24" s="14" t="s">
        <v>1105</v>
      </c>
      <c r="D24" s="14" t="s">
        <v>638</v>
      </c>
      <c r="E24" s="14" t="s">
        <v>1267</v>
      </c>
      <c r="F24" s="14" t="s">
        <v>1201</v>
      </c>
      <c r="G24" s="26" t="s">
        <v>261</v>
      </c>
      <c r="H24" s="26" t="s">
        <v>71</v>
      </c>
      <c r="I24" s="27" t="s">
        <v>17</v>
      </c>
      <c r="J24" s="15"/>
      <c r="K24" s="30" t="str">
        <f>"47,5"</f>
        <v>47,5</v>
      </c>
      <c r="L24" s="15" t="str">
        <f>"65,3648"</f>
        <v>65,3648</v>
      </c>
      <c r="M24" s="14" t="s">
        <v>639</v>
      </c>
    </row>
    <row r="25" spans="1:13">
      <c r="B25" s="5" t="s">
        <v>8</v>
      </c>
    </row>
    <row r="26" spans="1:13" ht="16">
      <c r="A26" s="52" t="s">
        <v>55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11" t="s">
        <v>233</v>
      </c>
      <c r="B27" s="10" t="s">
        <v>640</v>
      </c>
      <c r="C27" s="10" t="s">
        <v>1106</v>
      </c>
      <c r="D27" s="10" t="s">
        <v>641</v>
      </c>
      <c r="E27" s="10" t="s">
        <v>1261</v>
      </c>
      <c r="F27" s="10" t="s">
        <v>1195</v>
      </c>
      <c r="G27" s="23" t="s">
        <v>59</v>
      </c>
      <c r="H27" s="22" t="s">
        <v>59</v>
      </c>
      <c r="I27" s="23" t="s">
        <v>260</v>
      </c>
      <c r="J27" s="11"/>
      <c r="K27" s="29" t="str">
        <f>"65,0"</f>
        <v>65,0</v>
      </c>
      <c r="L27" s="11" t="str">
        <f>"71,1880"</f>
        <v>71,1880</v>
      </c>
      <c r="M27" s="10"/>
    </row>
    <row r="28" spans="1:13">
      <c r="A28" s="13" t="s">
        <v>233</v>
      </c>
      <c r="B28" s="12" t="s">
        <v>642</v>
      </c>
      <c r="C28" s="12" t="s">
        <v>643</v>
      </c>
      <c r="D28" s="12" t="s">
        <v>644</v>
      </c>
      <c r="E28" s="12" t="s">
        <v>1262</v>
      </c>
      <c r="F28" s="12" t="s">
        <v>1195</v>
      </c>
      <c r="G28" s="24" t="s">
        <v>245</v>
      </c>
      <c r="H28" s="24" t="s">
        <v>59</v>
      </c>
      <c r="I28" s="25" t="s">
        <v>70</v>
      </c>
      <c r="J28" s="13"/>
      <c r="K28" s="31" t="str">
        <f>"65,0"</f>
        <v>65,0</v>
      </c>
      <c r="L28" s="13" t="str">
        <f>"66,9110"</f>
        <v>66,9110</v>
      </c>
      <c r="M28" s="12" t="s">
        <v>636</v>
      </c>
    </row>
    <row r="29" spans="1:13">
      <c r="A29" s="13" t="s">
        <v>234</v>
      </c>
      <c r="B29" s="12" t="s">
        <v>645</v>
      </c>
      <c r="C29" s="12" t="s">
        <v>646</v>
      </c>
      <c r="D29" s="12" t="s">
        <v>647</v>
      </c>
      <c r="E29" s="12" t="s">
        <v>1262</v>
      </c>
      <c r="F29" s="12" t="s">
        <v>1195</v>
      </c>
      <c r="G29" s="24" t="s">
        <v>302</v>
      </c>
      <c r="H29" s="24" t="s">
        <v>78</v>
      </c>
      <c r="I29" s="24" t="s">
        <v>245</v>
      </c>
      <c r="J29" s="13"/>
      <c r="K29" s="31" t="str">
        <f>"62,5"</f>
        <v>62,5</v>
      </c>
      <c r="L29" s="13" t="str">
        <f>"64,4813"</f>
        <v>64,4813</v>
      </c>
      <c r="M29" s="12" t="s">
        <v>636</v>
      </c>
    </row>
    <row r="30" spans="1:13">
      <c r="A30" s="13" t="s">
        <v>236</v>
      </c>
      <c r="B30" s="12" t="s">
        <v>648</v>
      </c>
      <c r="C30" s="12" t="s">
        <v>649</v>
      </c>
      <c r="D30" s="12" t="s">
        <v>650</v>
      </c>
      <c r="E30" s="12" t="s">
        <v>1262</v>
      </c>
      <c r="F30" s="12" t="s">
        <v>1195</v>
      </c>
      <c r="G30" s="24" t="s">
        <v>241</v>
      </c>
      <c r="H30" s="24" t="s">
        <v>261</v>
      </c>
      <c r="I30" s="25" t="s">
        <v>18</v>
      </c>
      <c r="J30" s="13"/>
      <c r="K30" s="31" t="str">
        <f>"45,0"</f>
        <v>45,0</v>
      </c>
      <c r="L30" s="13" t="str">
        <f>"46,0260"</f>
        <v>46,0260</v>
      </c>
      <c r="M30" s="12" t="s">
        <v>1170</v>
      </c>
    </row>
    <row r="31" spans="1:13">
      <c r="A31" s="15" t="s">
        <v>233</v>
      </c>
      <c r="B31" s="14" t="s">
        <v>651</v>
      </c>
      <c r="C31" s="14" t="s">
        <v>1107</v>
      </c>
      <c r="D31" s="14" t="s">
        <v>652</v>
      </c>
      <c r="E31" s="14" t="s">
        <v>1264</v>
      </c>
      <c r="F31" s="14" t="s">
        <v>1197</v>
      </c>
      <c r="G31" s="26" t="s">
        <v>78</v>
      </c>
      <c r="H31" s="26" t="s">
        <v>245</v>
      </c>
      <c r="I31" s="27" t="s">
        <v>59</v>
      </c>
      <c r="J31" s="15"/>
      <c r="K31" s="30" t="str">
        <f>"62,5"</f>
        <v>62,5</v>
      </c>
      <c r="L31" s="15" t="str">
        <f>"68,7629"</f>
        <v>68,7629</v>
      </c>
      <c r="M31" s="14"/>
    </row>
    <row r="32" spans="1:13">
      <c r="B32" s="5" t="s">
        <v>8</v>
      </c>
    </row>
    <row r="33" spans="1:13" ht="16">
      <c r="A33" s="52" t="s">
        <v>89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3">
      <c r="A34" s="11" t="s">
        <v>233</v>
      </c>
      <c r="B34" s="10" t="s">
        <v>653</v>
      </c>
      <c r="C34" s="10" t="s">
        <v>654</v>
      </c>
      <c r="D34" s="10" t="s">
        <v>655</v>
      </c>
      <c r="E34" s="10" t="s">
        <v>1262</v>
      </c>
      <c r="F34" s="10" t="s">
        <v>1201</v>
      </c>
      <c r="G34" s="22" t="s">
        <v>302</v>
      </c>
      <c r="H34" s="23" t="s">
        <v>78</v>
      </c>
      <c r="I34" s="23" t="s">
        <v>78</v>
      </c>
      <c r="J34" s="11"/>
      <c r="K34" s="29" t="str">
        <f>"57,5"</f>
        <v>57,5</v>
      </c>
      <c r="L34" s="11" t="str">
        <f>"55,6658"</f>
        <v>55,6658</v>
      </c>
      <c r="M34" s="10" t="s">
        <v>188</v>
      </c>
    </row>
    <row r="35" spans="1:13">
      <c r="A35" s="15" t="s">
        <v>233</v>
      </c>
      <c r="B35" s="14" t="s">
        <v>653</v>
      </c>
      <c r="C35" s="14" t="s">
        <v>1108</v>
      </c>
      <c r="D35" s="14" t="s">
        <v>655</v>
      </c>
      <c r="E35" s="14" t="s">
        <v>1266</v>
      </c>
      <c r="F35" s="14" t="s">
        <v>1201</v>
      </c>
      <c r="G35" s="26" t="s">
        <v>302</v>
      </c>
      <c r="H35" s="27" t="s">
        <v>78</v>
      </c>
      <c r="I35" s="27" t="s">
        <v>78</v>
      </c>
      <c r="J35" s="15"/>
      <c r="K35" s="30" t="str">
        <f>"57,5"</f>
        <v>57,5</v>
      </c>
      <c r="L35" s="15" t="str">
        <f>"75,1488"</f>
        <v>75,1488</v>
      </c>
      <c r="M35" s="14" t="s">
        <v>188</v>
      </c>
    </row>
    <row r="36" spans="1:13">
      <c r="B36" s="5" t="s">
        <v>8</v>
      </c>
    </row>
    <row r="37" spans="1:13" ht="16">
      <c r="A37" s="52" t="s">
        <v>79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3">
      <c r="A38" s="9" t="s">
        <v>233</v>
      </c>
      <c r="B38" s="8" t="s">
        <v>656</v>
      </c>
      <c r="C38" s="8" t="s">
        <v>1109</v>
      </c>
      <c r="D38" s="8" t="s">
        <v>657</v>
      </c>
      <c r="E38" s="8" t="s">
        <v>1261</v>
      </c>
      <c r="F38" s="8" t="s">
        <v>1195</v>
      </c>
      <c r="G38" s="21" t="s">
        <v>63</v>
      </c>
      <c r="H38" s="20" t="s">
        <v>241</v>
      </c>
      <c r="I38" s="20" t="s">
        <v>241</v>
      </c>
      <c r="J38" s="9"/>
      <c r="K38" s="32" t="str">
        <f>"35,0"</f>
        <v>35,0</v>
      </c>
      <c r="L38" s="9" t="str">
        <f>"32,9210"</f>
        <v>32,9210</v>
      </c>
      <c r="M38" s="8" t="s">
        <v>1171</v>
      </c>
    </row>
    <row r="39" spans="1:13">
      <c r="B39" s="5" t="s">
        <v>8</v>
      </c>
    </row>
    <row r="40" spans="1:13" ht="16">
      <c r="A40" s="52" t="s">
        <v>22</v>
      </c>
      <c r="B40" s="52"/>
      <c r="C40" s="52"/>
      <c r="D40" s="52"/>
      <c r="E40" s="52"/>
      <c r="F40" s="52"/>
      <c r="G40" s="52"/>
      <c r="H40" s="52"/>
      <c r="I40" s="52"/>
      <c r="J40" s="52"/>
    </row>
    <row r="41" spans="1:13">
      <c r="A41" s="11" t="s">
        <v>233</v>
      </c>
      <c r="B41" s="10" t="s">
        <v>658</v>
      </c>
      <c r="C41" s="10" t="s">
        <v>659</v>
      </c>
      <c r="D41" s="10" t="s">
        <v>660</v>
      </c>
      <c r="E41" s="10" t="s">
        <v>1263</v>
      </c>
      <c r="F41" s="10" t="s">
        <v>1195</v>
      </c>
      <c r="G41" s="23" t="s">
        <v>261</v>
      </c>
      <c r="H41" s="22" t="s">
        <v>261</v>
      </c>
      <c r="I41" s="22" t="s">
        <v>17</v>
      </c>
      <c r="J41" s="11"/>
      <c r="K41" s="29" t="str">
        <f>"50,0"</f>
        <v>50,0</v>
      </c>
      <c r="L41" s="11" t="str">
        <f>"48,6750"</f>
        <v>48,6750</v>
      </c>
      <c r="M41" s="10"/>
    </row>
    <row r="42" spans="1:13">
      <c r="A42" s="15" t="s">
        <v>233</v>
      </c>
      <c r="B42" s="14" t="s">
        <v>661</v>
      </c>
      <c r="C42" s="14" t="s">
        <v>1110</v>
      </c>
      <c r="D42" s="14" t="s">
        <v>662</v>
      </c>
      <c r="E42" s="14" t="s">
        <v>1261</v>
      </c>
      <c r="F42" s="14" t="s">
        <v>1195</v>
      </c>
      <c r="G42" s="26" t="s">
        <v>30</v>
      </c>
      <c r="H42" s="27" t="s">
        <v>65</v>
      </c>
      <c r="I42" s="27" t="s">
        <v>65</v>
      </c>
      <c r="J42" s="15"/>
      <c r="K42" s="30" t="str">
        <f>"80,0"</f>
        <v>80,0</v>
      </c>
      <c r="L42" s="15" t="str">
        <f>"73,6000"</f>
        <v>73,6000</v>
      </c>
      <c r="M42" s="14"/>
    </row>
    <row r="43" spans="1:13">
      <c r="B43" s="5" t="s">
        <v>8</v>
      </c>
    </row>
    <row r="44" spans="1:13" ht="16">
      <c r="A44" s="52" t="s">
        <v>35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3">
      <c r="A45" s="11" t="s">
        <v>233</v>
      </c>
      <c r="B45" s="10" t="s">
        <v>663</v>
      </c>
      <c r="C45" s="10" t="s">
        <v>664</v>
      </c>
      <c r="D45" s="10" t="s">
        <v>665</v>
      </c>
      <c r="E45" s="10" t="s">
        <v>1263</v>
      </c>
      <c r="F45" s="10" t="s">
        <v>1201</v>
      </c>
      <c r="G45" s="22" t="s">
        <v>72</v>
      </c>
      <c r="H45" s="22" t="s">
        <v>78</v>
      </c>
      <c r="I45" s="22" t="s">
        <v>245</v>
      </c>
      <c r="J45" s="11"/>
      <c r="K45" s="29" t="str">
        <f>"62,5"</f>
        <v>62,5</v>
      </c>
      <c r="L45" s="11" t="str">
        <f>"55,0125"</f>
        <v>55,0125</v>
      </c>
      <c r="M45" s="10" t="s">
        <v>188</v>
      </c>
    </row>
    <row r="46" spans="1:13">
      <c r="A46" s="15" t="s">
        <v>233</v>
      </c>
      <c r="B46" s="14" t="s">
        <v>666</v>
      </c>
      <c r="C46" s="14" t="s">
        <v>1100</v>
      </c>
      <c r="D46" s="14" t="s">
        <v>667</v>
      </c>
      <c r="E46" s="14" t="s">
        <v>1261</v>
      </c>
      <c r="F46" s="14" t="s">
        <v>1229</v>
      </c>
      <c r="G46" s="26" t="s">
        <v>30</v>
      </c>
      <c r="H46" s="26" t="s">
        <v>65</v>
      </c>
      <c r="I46" s="27" t="s">
        <v>43</v>
      </c>
      <c r="J46" s="15"/>
      <c r="K46" s="30" t="str">
        <f>"90,0"</f>
        <v>90,0</v>
      </c>
      <c r="L46" s="15" t="str">
        <f>"80,2710"</f>
        <v>80,2710</v>
      </c>
      <c r="M46" s="14" t="s">
        <v>668</v>
      </c>
    </row>
    <row r="47" spans="1:13">
      <c r="B47" s="5" t="s">
        <v>8</v>
      </c>
    </row>
    <row r="48" spans="1:13" ht="16">
      <c r="A48" s="52" t="s">
        <v>55</v>
      </c>
      <c r="B48" s="52"/>
      <c r="C48" s="52"/>
      <c r="D48" s="52"/>
      <c r="E48" s="52"/>
      <c r="F48" s="52"/>
      <c r="G48" s="52"/>
      <c r="H48" s="52"/>
      <c r="I48" s="52"/>
      <c r="J48" s="52"/>
    </row>
    <row r="49" spans="1:13">
      <c r="A49" s="11" t="s">
        <v>233</v>
      </c>
      <c r="B49" s="10" t="s">
        <v>669</v>
      </c>
      <c r="C49" s="10" t="s">
        <v>670</v>
      </c>
      <c r="D49" s="10" t="s">
        <v>647</v>
      </c>
      <c r="E49" s="10" t="s">
        <v>1262</v>
      </c>
      <c r="F49" s="10" t="s">
        <v>1230</v>
      </c>
      <c r="G49" s="22" t="s">
        <v>39</v>
      </c>
      <c r="H49" s="22" t="s">
        <v>40</v>
      </c>
      <c r="I49" s="23" t="s">
        <v>41</v>
      </c>
      <c r="J49" s="11"/>
      <c r="K49" s="29" t="str">
        <f>"150,0"</f>
        <v>150,0</v>
      </c>
      <c r="L49" s="11" t="str">
        <f>"117,0600"</f>
        <v>117,0600</v>
      </c>
      <c r="M49" s="10"/>
    </row>
    <row r="50" spans="1:13">
      <c r="A50" s="13" t="s">
        <v>234</v>
      </c>
      <c r="B50" s="12" t="s">
        <v>671</v>
      </c>
      <c r="C50" s="12" t="s">
        <v>672</v>
      </c>
      <c r="D50" s="12" t="s">
        <v>673</v>
      </c>
      <c r="E50" s="12" t="s">
        <v>1262</v>
      </c>
      <c r="F50" s="12" t="s">
        <v>1195</v>
      </c>
      <c r="G50" s="24" t="s">
        <v>16</v>
      </c>
      <c r="H50" s="25" t="s">
        <v>52</v>
      </c>
      <c r="I50" s="25" t="s">
        <v>52</v>
      </c>
      <c r="J50" s="13"/>
      <c r="K50" s="31" t="str">
        <f>"102,5"</f>
        <v>102,5</v>
      </c>
      <c r="L50" s="13" t="str">
        <f>"79,6015"</f>
        <v>79,6015</v>
      </c>
      <c r="M50" s="12" t="s">
        <v>674</v>
      </c>
    </row>
    <row r="51" spans="1:13">
      <c r="A51" s="15" t="s">
        <v>235</v>
      </c>
      <c r="B51" s="14" t="s">
        <v>675</v>
      </c>
      <c r="C51" s="14" t="s">
        <v>676</v>
      </c>
      <c r="D51" s="14" t="s">
        <v>491</v>
      </c>
      <c r="E51" s="14" t="s">
        <v>1262</v>
      </c>
      <c r="F51" s="14" t="s">
        <v>1201</v>
      </c>
      <c r="G51" s="27" t="s">
        <v>43</v>
      </c>
      <c r="H51" s="27" t="s">
        <v>270</v>
      </c>
      <c r="I51" s="27" t="s">
        <v>270</v>
      </c>
      <c r="J51" s="15"/>
      <c r="K51" s="30">
        <v>0</v>
      </c>
      <c r="L51" s="15" t="str">
        <f>"0,0000"</f>
        <v>0,0000</v>
      </c>
      <c r="M51" s="14"/>
    </row>
    <row r="52" spans="1:13">
      <c r="B52" s="5" t="s">
        <v>8</v>
      </c>
    </row>
    <row r="53" spans="1:13" ht="16">
      <c r="A53" s="52" t="s">
        <v>89</v>
      </c>
      <c r="B53" s="52"/>
      <c r="C53" s="52"/>
      <c r="D53" s="52"/>
      <c r="E53" s="52"/>
      <c r="F53" s="52"/>
      <c r="G53" s="52"/>
      <c r="H53" s="52"/>
      <c r="I53" s="52"/>
      <c r="J53" s="52"/>
    </row>
    <row r="54" spans="1:13">
      <c r="A54" s="11" t="s">
        <v>233</v>
      </c>
      <c r="B54" s="10" t="s">
        <v>677</v>
      </c>
      <c r="C54" s="10" t="s">
        <v>678</v>
      </c>
      <c r="D54" s="10" t="s">
        <v>679</v>
      </c>
      <c r="E54" s="10" t="s">
        <v>1263</v>
      </c>
      <c r="F54" s="10" t="s">
        <v>1201</v>
      </c>
      <c r="G54" s="22" t="s">
        <v>288</v>
      </c>
      <c r="H54" s="22" t="s">
        <v>86</v>
      </c>
      <c r="I54" s="22" t="s">
        <v>271</v>
      </c>
      <c r="J54" s="11"/>
      <c r="K54" s="29" t="str">
        <f>"117,5"</f>
        <v>117,5</v>
      </c>
      <c r="L54" s="11" t="str">
        <f>"84,6823"</f>
        <v>84,6823</v>
      </c>
      <c r="M54" s="10" t="s">
        <v>188</v>
      </c>
    </row>
    <row r="55" spans="1:13">
      <c r="A55" s="13" t="s">
        <v>234</v>
      </c>
      <c r="B55" s="12" t="s">
        <v>680</v>
      </c>
      <c r="C55" s="12" t="s">
        <v>681</v>
      </c>
      <c r="D55" s="12" t="s">
        <v>682</v>
      </c>
      <c r="E55" s="12" t="s">
        <v>1263</v>
      </c>
      <c r="F55" s="12" t="s">
        <v>1197</v>
      </c>
      <c r="G55" s="24" t="s">
        <v>44</v>
      </c>
      <c r="H55" s="25" t="s">
        <v>270</v>
      </c>
      <c r="I55" s="25" t="s">
        <v>288</v>
      </c>
      <c r="J55" s="13"/>
      <c r="K55" s="31" t="str">
        <f>"100,0"</f>
        <v>100,0</v>
      </c>
      <c r="L55" s="13" t="str">
        <f>"76,9200"</f>
        <v>76,9200</v>
      </c>
      <c r="M55" s="12" t="s">
        <v>1172</v>
      </c>
    </row>
    <row r="56" spans="1:13">
      <c r="A56" s="13" t="s">
        <v>236</v>
      </c>
      <c r="B56" s="12" t="s">
        <v>683</v>
      </c>
      <c r="C56" s="12" t="s">
        <v>684</v>
      </c>
      <c r="D56" s="12" t="s">
        <v>685</v>
      </c>
      <c r="E56" s="12" t="s">
        <v>1263</v>
      </c>
      <c r="F56" s="12" t="s">
        <v>1201</v>
      </c>
      <c r="G56" s="24" t="s">
        <v>302</v>
      </c>
      <c r="H56" s="24" t="s">
        <v>245</v>
      </c>
      <c r="I56" s="25" t="s">
        <v>59</v>
      </c>
      <c r="J56" s="13"/>
      <c r="K56" s="31" t="str">
        <f>"62,5"</f>
        <v>62,5</v>
      </c>
      <c r="L56" s="13" t="str">
        <f>"45,8125"</f>
        <v>45,8125</v>
      </c>
      <c r="M56" s="12" t="s">
        <v>188</v>
      </c>
    </row>
    <row r="57" spans="1:13">
      <c r="A57" s="13" t="s">
        <v>233</v>
      </c>
      <c r="B57" s="12" t="s">
        <v>686</v>
      </c>
      <c r="C57" s="12" t="s">
        <v>1111</v>
      </c>
      <c r="D57" s="12" t="s">
        <v>500</v>
      </c>
      <c r="E57" s="12" t="s">
        <v>1261</v>
      </c>
      <c r="F57" s="12" t="s">
        <v>1195</v>
      </c>
      <c r="G57" s="24" t="s">
        <v>44</v>
      </c>
      <c r="H57" s="24" t="s">
        <v>270</v>
      </c>
      <c r="I57" s="25" t="s">
        <v>271</v>
      </c>
      <c r="J57" s="13"/>
      <c r="K57" s="31" t="str">
        <f>"105,0"</f>
        <v>105,0</v>
      </c>
      <c r="L57" s="13" t="str">
        <f>"75,6000"</f>
        <v>75,6000</v>
      </c>
      <c r="M57" s="12"/>
    </row>
    <row r="58" spans="1:13">
      <c r="A58" s="13" t="s">
        <v>233</v>
      </c>
      <c r="B58" s="12" t="s">
        <v>687</v>
      </c>
      <c r="C58" s="12" t="s">
        <v>688</v>
      </c>
      <c r="D58" s="12" t="s">
        <v>689</v>
      </c>
      <c r="E58" s="12" t="s">
        <v>1262</v>
      </c>
      <c r="F58" s="12" t="s">
        <v>1226</v>
      </c>
      <c r="G58" s="24" t="s">
        <v>39</v>
      </c>
      <c r="H58" s="25" t="s">
        <v>50</v>
      </c>
      <c r="I58" s="24" t="s">
        <v>50</v>
      </c>
      <c r="J58" s="13"/>
      <c r="K58" s="31" t="str">
        <f>"142,5"</f>
        <v>142,5</v>
      </c>
      <c r="L58" s="13" t="str">
        <f>"102,9990"</f>
        <v>102,9990</v>
      </c>
      <c r="M58" s="12"/>
    </row>
    <row r="59" spans="1:13">
      <c r="A59" s="13" t="s">
        <v>234</v>
      </c>
      <c r="B59" s="12" t="s">
        <v>690</v>
      </c>
      <c r="C59" s="12" t="s">
        <v>691</v>
      </c>
      <c r="D59" s="12" t="s">
        <v>503</v>
      </c>
      <c r="E59" s="12" t="s">
        <v>1262</v>
      </c>
      <c r="F59" s="12" t="s">
        <v>1195</v>
      </c>
      <c r="G59" s="24" t="s">
        <v>107</v>
      </c>
      <c r="H59" s="24" t="s">
        <v>39</v>
      </c>
      <c r="I59" s="25" t="s">
        <v>28</v>
      </c>
      <c r="J59" s="13"/>
      <c r="K59" s="31" t="str">
        <f>"140,0"</f>
        <v>140,0</v>
      </c>
      <c r="L59" s="13" t="str">
        <f>"100,7020"</f>
        <v>100,7020</v>
      </c>
      <c r="M59" s="12"/>
    </row>
    <row r="60" spans="1:13">
      <c r="A60" s="13" t="s">
        <v>236</v>
      </c>
      <c r="B60" s="12" t="s">
        <v>692</v>
      </c>
      <c r="C60" s="12" t="s">
        <v>693</v>
      </c>
      <c r="D60" s="12" t="s">
        <v>500</v>
      </c>
      <c r="E60" s="12" t="s">
        <v>1262</v>
      </c>
      <c r="F60" s="12" t="s">
        <v>1197</v>
      </c>
      <c r="G60" s="24" t="s">
        <v>288</v>
      </c>
      <c r="H60" s="24" t="s">
        <v>121</v>
      </c>
      <c r="I60" s="25" t="s">
        <v>316</v>
      </c>
      <c r="J60" s="13"/>
      <c r="K60" s="31" t="str">
        <f>"120,0"</f>
        <v>120,0</v>
      </c>
      <c r="L60" s="13" t="str">
        <f>"86,4000"</f>
        <v>86,4000</v>
      </c>
      <c r="M60" s="12"/>
    </row>
    <row r="61" spans="1:13">
      <c r="A61" s="13" t="s">
        <v>237</v>
      </c>
      <c r="B61" s="12" t="s">
        <v>694</v>
      </c>
      <c r="C61" s="12" t="s">
        <v>695</v>
      </c>
      <c r="D61" s="12" t="s">
        <v>696</v>
      </c>
      <c r="E61" s="12" t="s">
        <v>1262</v>
      </c>
      <c r="F61" s="12" t="s">
        <v>1195</v>
      </c>
      <c r="G61" s="24" t="s">
        <v>270</v>
      </c>
      <c r="H61" s="25" t="s">
        <v>288</v>
      </c>
      <c r="I61" s="25" t="s">
        <v>288</v>
      </c>
      <c r="J61" s="13"/>
      <c r="K61" s="31" t="str">
        <f>"105,0"</f>
        <v>105,0</v>
      </c>
      <c r="L61" s="13" t="str">
        <f>"77,4375"</f>
        <v>77,4375</v>
      </c>
      <c r="M61" s="12" t="s">
        <v>1173</v>
      </c>
    </row>
    <row r="62" spans="1:13">
      <c r="A62" s="13" t="s">
        <v>235</v>
      </c>
      <c r="B62" s="12" t="s">
        <v>697</v>
      </c>
      <c r="C62" s="12" t="s">
        <v>698</v>
      </c>
      <c r="D62" s="12" t="s">
        <v>494</v>
      </c>
      <c r="E62" s="12" t="s">
        <v>1262</v>
      </c>
      <c r="F62" s="12" t="s">
        <v>1195</v>
      </c>
      <c r="G62" s="25" t="s">
        <v>19</v>
      </c>
      <c r="H62" s="25" t="s">
        <v>19</v>
      </c>
      <c r="I62" s="25" t="s">
        <v>19</v>
      </c>
      <c r="J62" s="13"/>
      <c r="K62" s="31">
        <v>0</v>
      </c>
      <c r="L62" s="13" t="str">
        <f>"0,0000"</f>
        <v>0,0000</v>
      </c>
      <c r="M62" s="12" t="s">
        <v>699</v>
      </c>
    </row>
    <row r="63" spans="1:13">
      <c r="A63" s="13" t="s">
        <v>233</v>
      </c>
      <c r="B63" s="12" t="s">
        <v>700</v>
      </c>
      <c r="C63" s="12" t="s">
        <v>1112</v>
      </c>
      <c r="D63" s="12" t="s">
        <v>341</v>
      </c>
      <c r="E63" s="12" t="s">
        <v>1264</v>
      </c>
      <c r="F63" s="12" t="s">
        <v>1231</v>
      </c>
      <c r="G63" s="24" t="s">
        <v>279</v>
      </c>
      <c r="H63" s="24" t="s">
        <v>271</v>
      </c>
      <c r="I63" s="25" t="s">
        <v>87</v>
      </c>
      <c r="J63" s="13"/>
      <c r="K63" s="31" t="str">
        <f>"117,5"</f>
        <v>117,5</v>
      </c>
      <c r="L63" s="13" t="str">
        <f>"90,6475"</f>
        <v>90,6475</v>
      </c>
      <c r="M63" s="12" t="s">
        <v>701</v>
      </c>
    </row>
    <row r="64" spans="1:13">
      <c r="A64" s="15" t="s">
        <v>235</v>
      </c>
      <c r="B64" s="14" t="s">
        <v>702</v>
      </c>
      <c r="C64" s="14" t="s">
        <v>1113</v>
      </c>
      <c r="D64" s="14" t="s">
        <v>703</v>
      </c>
      <c r="E64" s="14" t="s">
        <v>1267</v>
      </c>
      <c r="F64" s="14" t="s">
        <v>1195</v>
      </c>
      <c r="G64" s="27" t="s">
        <v>20</v>
      </c>
      <c r="H64" s="27" t="s">
        <v>20</v>
      </c>
      <c r="I64" s="27" t="s">
        <v>20</v>
      </c>
      <c r="J64" s="15"/>
      <c r="K64" s="30">
        <v>0</v>
      </c>
      <c r="L64" s="15" t="str">
        <f>"0,0000"</f>
        <v>0,0000</v>
      </c>
      <c r="M64" s="14"/>
    </row>
    <row r="65" spans="1:13">
      <c r="B65" s="5" t="s">
        <v>8</v>
      </c>
    </row>
    <row r="66" spans="1:13" ht="16">
      <c r="A66" s="52" t="s">
        <v>79</v>
      </c>
      <c r="B66" s="52"/>
      <c r="C66" s="52"/>
      <c r="D66" s="52"/>
      <c r="E66" s="52"/>
      <c r="F66" s="52"/>
      <c r="G66" s="52"/>
      <c r="H66" s="52"/>
      <c r="I66" s="52"/>
      <c r="J66" s="52"/>
    </row>
    <row r="67" spans="1:13">
      <c r="A67" s="11" t="s">
        <v>233</v>
      </c>
      <c r="B67" s="10" t="s">
        <v>704</v>
      </c>
      <c r="C67" s="10" t="s">
        <v>1114</v>
      </c>
      <c r="D67" s="10" t="s">
        <v>705</v>
      </c>
      <c r="E67" s="10" t="s">
        <v>1261</v>
      </c>
      <c r="F67" s="10" t="s">
        <v>1232</v>
      </c>
      <c r="G67" s="22" t="s">
        <v>316</v>
      </c>
      <c r="H67" s="22" t="s">
        <v>107</v>
      </c>
      <c r="I67" s="22" t="s">
        <v>50</v>
      </c>
      <c r="J67" s="11"/>
      <c r="K67" s="29" t="str">
        <f>"142,5"</f>
        <v>142,5</v>
      </c>
      <c r="L67" s="11" t="str">
        <f>"99,9067"</f>
        <v>99,9067</v>
      </c>
      <c r="M67" s="10"/>
    </row>
    <row r="68" spans="1:13">
      <c r="A68" s="13" t="s">
        <v>233</v>
      </c>
      <c r="B68" s="12" t="s">
        <v>706</v>
      </c>
      <c r="C68" s="12" t="s">
        <v>707</v>
      </c>
      <c r="D68" s="12" t="s">
        <v>708</v>
      </c>
      <c r="E68" s="12" t="s">
        <v>1262</v>
      </c>
      <c r="F68" s="12" t="s">
        <v>1215</v>
      </c>
      <c r="G68" s="24" t="s">
        <v>108</v>
      </c>
      <c r="H68" s="24" t="s">
        <v>93</v>
      </c>
      <c r="I68" s="25" t="s">
        <v>53</v>
      </c>
      <c r="J68" s="13"/>
      <c r="K68" s="31" t="str">
        <f>"165,0"</f>
        <v>165,0</v>
      </c>
      <c r="L68" s="13" t="str">
        <f>"114,7905"</f>
        <v>114,7905</v>
      </c>
      <c r="M68" s="12" t="s">
        <v>709</v>
      </c>
    </row>
    <row r="69" spans="1:13">
      <c r="A69" s="13" t="s">
        <v>234</v>
      </c>
      <c r="B69" s="12" t="s">
        <v>358</v>
      </c>
      <c r="C69" s="12" t="s">
        <v>359</v>
      </c>
      <c r="D69" s="12" t="s">
        <v>360</v>
      </c>
      <c r="E69" s="12" t="s">
        <v>1262</v>
      </c>
      <c r="F69" s="12" t="s">
        <v>1206</v>
      </c>
      <c r="G69" s="24" t="s">
        <v>40</v>
      </c>
      <c r="H69" s="25" t="s">
        <v>108</v>
      </c>
      <c r="I69" s="24" t="s">
        <v>108</v>
      </c>
      <c r="J69" s="13"/>
      <c r="K69" s="31" t="str">
        <f>"160,0"</f>
        <v>160,0</v>
      </c>
      <c r="L69" s="13" t="str">
        <f>"108,1440"</f>
        <v>108,1440</v>
      </c>
      <c r="M69" s="12"/>
    </row>
    <row r="70" spans="1:13">
      <c r="A70" s="13" t="s">
        <v>236</v>
      </c>
      <c r="B70" s="12" t="s">
        <v>710</v>
      </c>
      <c r="C70" s="12" t="s">
        <v>711</v>
      </c>
      <c r="D70" s="12" t="s">
        <v>712</v>
      </c>
      <c r="E70" s="12" t="s">
        <v>1262</v>
      </c>
      <c r="F70" s="12" t="s">
        <v>1202</v>
      </c>
      <c r="G70" s="24" t="s">
        <v>50</v>
      </c>
      <c r="H70" s="24" t="s">
        <v>40</v>
      </c>
      <c r="I70" s="25" t="s">
        <v>165</v>
      </c>
      <c r="J70" s="13"/>
      <c r="K70" s="31" t="str">
        <f>"150,0"</f>
        <v>150,0</v>
      </c>
      <c r="L70" s="13" t="str">
        <f>"101,6100"</f>
        <v>101,6100</v>
      </c>
      <c r="M70" s="12"/>
    </row>
    <row r="71" spans="1:13">
      <c r="A71" s="13" t="s">
        <v>237</v>
      </c>
      <c r="B71" s="12" t="s">
        <v>713</v>
      </c>
      <c r="C71" s="12" t="s">
        <v>714</v>
      </c>
      <c r="D71" s="12" t="s">
        <v>363</v>
      </c>
      <c r="E71" s="12" t="s">
        <v>1262</v>
      </c>
      <c r="F71" s="12" t="s">
        <v>1195</v>
      </c>
      <c r="G71" s="24" t="s">
        <v>101</v>
      </c>
      <c r="H71" s="24" t="s">
        <v>107</v>
      </c>
      <c r="I71" s="25" t="s">
        <v>27</v>
      </c>
      <c r="J71" s="13"/>
      <c r="K71" s="31" t="str">
        <f>"135,0"</f>
        <v>135,0</v>
      </c>
      <c r="L71" s="13" t="str">
        <f>"91,1115"</f>
        <v>91,1115</v>
      </c>
      <c r="M71" s="12" t="s">
        <v>715</v>
      </c>
    </row>
    <row r="72" spans="1:13">
      <c r="A72" s="13" t="s">
        <v>462</v>
      </c>
      <c r="B72" s="12" t="s">
        <v>716</v>
      </c>
      <c r="C72" s="12" t="s">
        <v>717</v>
      </c>
      <c r="D72" s="12" t="s">
        <v>363</v>
      </c>
      <c r="E72" s="12" t="s">
        <v>1262</v>
      </c>
      <c r="F72" s="12" t="s">
        <v>1195</v>
      </c>
      <c r="G72" s="24" t="s">
        <v>19</v>
      </c>
      <c r="H72" s="24" t="s">
        <v>20</v>
      </c>
      <c r="I72" s="24" t="s">
        <v>107</v>
      </c>
      <c r="J72" s="13"/>
      <c r="K72" s="31" t="str">
        <f>"135,0"</f>
        <v>135,0</v>
      </c>
      <c r="L72" s="13" t="str">
        <f>"91,1115"</f>
        <v>91,1115</v>
      </c>
      <c r="M72" s="12"/>
    </row>
    <row r="73" spans="1:13">
      <c r="A73" s="13" t="s">
        <v>463</v>
      </c>
      <c r="B73" s="12" t="s">
        <v>718</v>
      </c>
      <c r="C73" s="12" t="s">
        <v>719</v>
      </c>
      <c r="D73" s="12" t="s">
        <v>720</v>
      </c>
      <c r="E73" s="12" t="s">
        <v>1262</v>
      </c>
      <c r="F73" s="12" t="s">
        <v>1195</v>
      </c>
      <c r="G73" s="24" t="s">
        <v>121</v>
      </c>
      <c r="H73" s="25" t="s">
        <v>19</v>
      </c>
      <c r="I73" s="25" t="s">
        <v>316</v>
      </c>
      <c r="J73" s="13"/>
      <c r="K73" s="31" t="str">
        <f>"120,0"</f>
        <v>120,0</v>
      </c>
      <c r="L73" s="13" t="str">
        <f>"81,6720"</f>
        <v>81,6720</v>
      </c>
      <c r="M73" s="12" t="s">
        <v>721</v>
      </c>
    </row>
    <row r="74" spans="1:13">
      <c r="A74" s="13" t="s">
        <v>464</v>
      </c>
      <c r="B74" s="12" t="s">
        <v>722</v>
      </c>
      <c r="C74" s="12" t="s">
        <v>723</v>
      </c>
      <c r="D74" s="12" t="s">
        <v>724</v>
      </c>
      <c r="E74" s="12" t="s">
        <v>1262</v>
      </c>
      <c r="F74" s="12" t="s">
        <v>1195</v>
      </c>
      <c r="G74" s="24" t="s">
        <v>16</v>
      </c>
      <c r="H74" s="24" t="s">
        <v>279</v>
      </c>
      <c r="I74" s="25" t="s">
        <v>86</v>
      </c>
      <c r="J74" s="13"/>
      <c r="K74" s="31" t="str">
        <f>"112,5"</f>
        <v>112,5</v>
      </c>
      <c r="L74" s="13" t="str">
        <f>"77,3550"</f>
        <v>77,3550</v>
      </c>
      <c r="M74" s="12"/>
    </row>
    <row r="75" spans="1:13">
      <c r="A75" s="13" t="s">
        <v>233</v>
      </c>
      <c r="B75" s="12" t="s">
        <v>713</v>
      </c>
      <c r="C75" s="12" t="s">
        <v>1115</v>
      </c>
      <c r="D75" s="12" t="s">
        <v>363</v>
      </c>
      <c r="E75" s="12" t="s">
        <v>1265</v>
      </c>
      <c r="F75" s="12" t="s">
        <v>1195</v>
      </c>
      <c r="G75" s="24" t="s">
        <v>101</v>
      </c>
      <c r="H75" s="24" t="s">
        <v>107</v>
      </c>
      <c r="I75" s="25" t="s">
        <v>27</v>
      </c>
      <c r="J75" s="13"/>
      <c r="K75" s="31" t="str">
        <f>"135,0"</f>
        <v>135,0</v>
      </c>
      <c r="L75" s="13" t="str">
        <f>"93,6626"</f>
        <v>93,6626</v>
      </c>
      <c r="M75" s="12" t="s">
        <v>715</v>
      </c>
    </row>
    <row r="76" spans="1:13">
      <c r="A76" s="15" t="s">
        <v>234</v>
      </c>
      <c r="B76" s="14" t="s">
        <v>369</v>
      </c>
      <c r="C76" s="14" t="s">
        <v>1083</v>
      </c>
      <c r="D76" s="14" t="s">
        <v>370</v>
      </c>
      <c r="E76" s="14" t="s">
        <v>1265</v>
      </c>
      <c r="F76" s="14" t="s">
        <v>1195</v>
      </c>
      <c r="G76" s="26" t="s">
        <v>288</v>
      </c>
      <c r="H76" s="26" t="s">
        <v>121</v>
      </c>
      <c r="I76" s="27" t="s">
        <v>19</v>
      </c>
      <c r="J76" s="15"/>
      <c r="K76" s="30" t="str">
        <f>"120,0"</f>
        <v>120,0</v>
      </c>
      <c r="L76" s="15" t="str">
        <f>"84,8718"</f>
        <v>84,8718</v>
      </c>
      <c r="M76" s="14"/>
    </row>
    <row r="77" spans="1:13">
      <c r="B77" s="5" t="s">
        <v>8</v>
      </c>
    </row>
    <row r="78" spans="1:13" ht="16">
      <c r="A78" s="52" t="s">
        <v>124</v>
      </c>
      <c r="B78" s="52"/>
      <c r="C78" s="52"/>
      <c r="D78" s="52"/>
      <c r="E78" s="52"/>
      <c r="F78" s="52"/>
      <c r="G78" s="52"/>
      <c r="H78" s="52"/>
      <c r="I78" s="52"/>
      <c r="J78" s="52"/>
    </row>
    <row r="79" spans="1:13">
      <c r="A79" s="11" t="s">
        <v>233</v>
      </c>
      <c r="B79" s="10" t="s">
        <v>725</v>
      </c>
      <c r="C79" s="10" t="s">
        <v>726</v>
      </c>
      <c r="D79" s="10" t="s">
        <v>727</v>
      </c>
      <c r="E79" s="10" t="s">
        <v>1263</v>
      </c>
      <c r="F79" s="10" t="s">
        <v>1201</v>
      </c>
      <c r="G79" s="22" t="s">
        <v>39</v>
      </c>
      <c r="H79" s="22" t="s">
        <v>28</v>
      </c>
      <c r="I79" s="22" t="s">
        <v>412</v>
      </c>
      <c r="J79" s="11"/>
      <c r="K79" s="29" t="str">
        <f>"147,5"</f>
        <v>147,5</v>
      </c>
      <c r="L79" s="11" t="str">
        <f>"94,2230"</f>
        <v>94,2230</v>
      </c>
      <c r="M79" s="10" t="s">
        <v>188</v>
      </c>
    </row>
    <row r="80" spans="1:13">
      <c r="A80" s="13" t="s">
        <v>234</v>
      </c>
      <c r="B80" s="12" t="s">
        <v>728</v>
      </c>
      <c r="C80" s="12" t="s">
        <v>729</v>
      </c>
      <c r="D80" s="12" t="s">
        <v>730</v>
      </c>
      <c r="E80" s="12" t="s">
        <v>1263</v>
      </c>
      <c r="F80" s="12" t="s">
        <v>1233</v>
      </c>
      <c r="G80" s="24" t="s">
        <v>43</v>
      </c>
      <c r="H80" s="25" t="s">
        <v>16</v>
      </c>
      <c r="I80" s="25" t="s">
        <v>16</v>
      </c>
      <c r="J80" s="13"/>
      <c r="K80" s="31" t="str">
        <f>"95,0"</f>
        <v>95,0</v>
      </c>
      <c r="L80" s="13" t="str">
        <f>"61,8545"</f>
        <v>61,8545</v>
      </c>
      <c r="M80" s="12" t="s">
        <v>731</v>
      </c>
    </row>
    <row r="81" spans="1:13">
      <c r="A81" s="13" t="s">
        <v>233</v>
      </c>
      <c r="B81" s="12" t="s">
        <v>732</v>
      </c>
      <c r="C81" s="12" t="s">
        <v>733</v>
      </c>
      <c r="D81" s="12" t="s">
        <v>734</v>
      </c>
      <c r="E81" s="12" t="s">
        <v>1262</v>
      </c>
      <c r="F81" s="12" t="s">
        <v>1195</v>
      </c>
      <c r="G81" s="24" t="s">
        <v>735</v>
      </c>
      <c r="H81" s="24" t="s">
        <v>53</v>
      </c>
      <c r="I81" s="25" t="s">
        <v>94</v>
      </c>
      <c r="J81" s="13"/>
      <c r="K81" s="31" t="str">
        <f>"170,0"</f>
        <v>170,0</v>
      </c>
      <c r="L81" s="13" t="str">
        <f>"109,4120"</f>
        <v>109,4120</v>
      </c>
      <c r="M81" s="12" t="s">
        <v>344</v>
      </c>
    </row>
    <row r="82" spans="1:13">
      <c r="A82" s="13" t="s">
        <v>234</v>
      </c>
      <c r="B82" s="12" t="s">
        <v>736</v>
      </c>
      <c r="C82" s="12" t="s">
        <v>737</v>
      </c>
      <c r="D82" s="12" t="s">
        <v>738</v>
      </c>
      <c r="E82" s="12" t="s">
        <v>1262</v>
      </c>
      <c r="F82" s="12" t="s">
        <v>1209</v>
      </c>
      <c r="G82" s="24" t="s">
        <v>27</v>
      </c>
      <c r="H82" s="25" t="s">
        <v>50</v>
      </c>
      <c r="I82" s="25" t="s">
        <v>50</v>
      </c>
      <c r="J82" s="13"/>
      <c r="K82" s="31" t="str">
        <f>"137,5"</f>
        <v>137,5</v>
      </c>
      <c r="L82" s="13" t="str">
        <f>"88,2338"</f>
        <v>88,2338</v>
      </c>
      <c r="M82" s="12"/>
    </row>
    <row r="83" spans="1:13">
      <c r="A83" s="13" t="s">
        <v>233</v>
      </c>
      <c r="B83" s="12" t="s">
        <v>739</v>
      </c>
      <c r="C83" s="12" t="s">
        <v>1116</v>
      </c>
      <c r="D83" s="12" t="s">
        <v>738</v>
      </c>
      <c r="E83" s="12" t="s">
        <v>1265</v>
      </c>
      <c r="F83" s="12" t="s">
        <v>1195</v>
      </c>
      <c r="G83" s="24" t="s">
        <v>20</v>
      </c>
      <c r="H83" s="25" t="s">
        <v>101</v>
      </c>
      <c r="I83" s="24" t="s">
        <v>101</v>
      </c>
      <c r="J83" s="13"/>
      <c r="K83" s="31" t="str">
        <f>"132,5"</f>
        <v>132,5</v>
      </c>
      <c r="L83" s="13" t="str">
        <f>"85,0253"</f>
        <v>85,0253</v>
      </c>
      <c r="M83" s="12" t="s">
        <v>1174</v>
      </c>
    </row>
    <row r="84" spans="1:13">
      <c r="A84" s="13" t="s">
        <v>234</v>
      </c>
      <c r="B84" s="12" t="s">
        <v>740</v>
      </c>
      <c r="C84" s="12" t="s">
        <v>1117</v>
      </c>
      <c r="D84" s="12" t="s">
        <v>741</v>
      </c>
      <c r="E84" s="12" t="s">
        <v>1265</v>
      </c>
      <c r="F84" s="12" t="s">
        <v>1207</v>
      </c>
      <c r="G84" s="25" t="s">
        <v>42</v>
      </c>
      <c r="H84" s="24" t="s">
        <v>42</v>
      </c>
      <c r="I84" s="24" t="s">
        <v>65</v>
      </c>
      <c r="J84" s="13"/>
      <c r="K84" s="31" t="str">
        <f>"90,0"</f>
        <v>90,0</v>
      </c>
      <c r="L84" s="13" t="str">
        <f>"61,3223"</f>
        <v>61,3223</v>
      </c>
      <c r="M84" s="12"/>
    </row>
    <row r="85" spans="1:13">
      <c r="A85" s="15" t="s">
        <v>233</v>
      </c>
      <c r="B85" s="14" t="s">
        <v>742</v>
      </c>
      <c r="C85" s="14" t="s">
        <v>1118</v>
      </c>
      <c r="D85" s="14" t="s">
        <v>743</v>
      </c>
      <c r="E85" s="14" t="s">
        <v>1264</v>
      </c>
      <c r="F85" s="14" t="s">
        <v>1197</v>
      </c>
      <c r="G85" s="26" t="s">
        <v>39</v>
      </c>
      <c r="H85" s="27" t="s">
        <v>412</v>
      </c>
      <c r="I85" s="27" t="s">
        <v>412</v>
      </c>
      <c r="J85" s="15"/>
      <c r="K85" s="30" t="str">
        <f>"140,0"</f>
        <v>140,0</v>
      </c>
      <c r="L85" s="15" t="str">
        <f>"97,0114"</f>
        <v>97,0114</v>
      </c>
      <c r="M85" s="14"/>
    </row>
    <row r="86" spans="1:13">
      <c r="B86" s="5" t="s">
        <v>8</v>
      </c>
    </row>
    <row r="87" spans="1:13" ht="16">
      <c r="A87" s="52" t="s">
        <v>139</v>
      </c>
      <c r="B87" s="52"/>
      <c r="C87" s="52"/>
      <c r="D87" s="52"/>
      <c r="E87" s="52"/>
      <c r="F87" s="52"/>
      <c r="G87" s="52"/>
      <c r="H87" s="52"/>
      <c r="I87" s="52"/>
      <c r="J87" s="52"/>
    </row>
    <row r="88" spans="1:13">
      <c r="A88" s="11" t="s">
        <v>233</v>
      </c>
      <c r="B88" s="10" t="s">
        <v>744</v>
      </c>
      <c r="C88" s="10" t="s">
        <v>745</v>
      </c>
      <c r="D88" s="10" t="s">
        <v>578</v>
      </c>
      <c r="E88" s="10" t="s">
        <v>1263</v>
      </c>
      <c r="F88" s="10" t="s">
        <v>1201</v>
      </c>
      <c r="G88" s="22" t="s">
        <v>39</v>
      </c>
      <c r="H88" s="22" t="s">
        <v>28</v>
      </c>
      <c r="I88" s="23" t="s">
        <v>412</v>
      </c>
      <c r="J88" s="11"/>
      <c r="K88" s="29" t="str">
        <f>"145,0"</f>
        <v>145,0</v>
      </c>
      <c r="L88" s="11" t="str">
        <f>"90,4075"</f>
        <v>90,4075</v>
      </c>
      <c r="M88" s="10" t="s">
        <v>188</v>
      </c>
    </row>
    <row r="89" spans="1:13">
      <c r="A89" s="13" t="s">
        <v>233</v>
      </c>
      <c r="B89" s="12" t="s">
        <v>746</v>
      </c>
      <c r="C89" s="12" t="s">
        <v>1119</v>
      </c>
      <c r="D89" s="12" t="s">
        <v>513</v>
      </c>
      <c r="E89" s="12" t="s">
        <v>1261</v>
      </c>
      <c r="F89" s="12" t="s">
        <v>1220</v>
      </c>
      <c r="G89" s="24" t="s">
        <v>28</v>
      </c>
      <c r="H89" s="24" t="s">
        <v>41</v>
      </c>
      <c r="I89" s="25" t="s">
        <v>735</v>
      </c>
      <c r="J89" s="13"/>
      <c r="K89" s="31" t="str">
        <f>"155,0"</f>
        <v>155,0</v>
      </c>
      <c r="L89" s="13" t="str">
        <f>"95,1545"</f>
        <v>95,1545</v>
      </c>
      <c r="M89" s="12"/>
    </row>
    <row r="90" spans="1:13">
      <c r="A90" s="13" t="s">
        <v>233</v>
      </c>
      <c r="B90" s="12" t="s">
        <v>747</v>
      </c>
      <c r="C90" s="12" t="s">
        <v>748</v>
      </c>
      <c r="D90" s="12" t="s">
        <v>749</v>
      </c>
      <c r="E90" s="12" t="s">
        <v>1262</v>
      </c>
      <c r="F90" s="12" t="s">
        <v>1197</v>
      </c>
      <c r="G90" s="24" t="s">
        <v>33</v>
      </c>
      <c r="H90" s="25" t="s">
        <v>177</v>
      </c>
      <c r="I90" s="25" t="s">
        <v>177</v>
      </c>
      <c r="J90" s="13"/>
      <c r="K90" s="31" t="str">
        <f>"190,0"</f>
        <v>190,0</v>
      </c>
      <c r="L90" s="13" t="str">
        <f>"116,2040"</f>
        <v>116,2040</v>
      </c>
      <c r="M90" s="12"/>
    </row>
    <row r="91" spans="1:13">
      <c r="A91" s="13" t="s">
        <v>234</v>
      </c>
      <c r="B91" s="12" t="s">
        <v>750</v>
      </c>
      <c r="C91" s="12" t="s">
        <v>751</v>
      </c>
      <c r="D91" s="12" t="s">
        <v>752</v>
      </c>
      <c r="E91" s="12" t="s">
        <v>1262</v>
      </c>
      <c r="F91" s="12" t="s">
        <v>1197</v>
      </c>
      <c r="G91" s="24" t="s">
        <v>28</v>
      </c>
      <c r="H91" s="25" t="s">
        <v>40</v>
      </c>
      <c r="I91" s="25" t="s">
        <v>40</v>
      </c>
      <c r="J91" s="13"/>
      <c r="K91" s="31" t="str">
        <f>"145,0"</f>
        <v>145,0</v>
      </c>
      <c r="L91" s="13" t="str">
        <f>"90,6830"</f>
        <v>90,6830</v>
      </c>
      <c r="M91" s="12" t="s">
        <v>753</v>
      </c>
    </row>
    <row r="92" spans="1:13">
      <c r="A92" s="13" t="s">
        <v>236</v>
      </c>
      <c r="B92" s="12" t="s">
        <v>754</v>
      </c>
      <c r="C92" s="12" t="s">
        <v>755</v>
      </c>
      <c r="D92" s="12" t="s">
        <v>411</v>
      </c>
      <c r="E92" s="12" t="s">
        <v>1262</v>
      </c>
      <c r="F92" s="12" t="s">
        <v>1197</v>
      </c>
      <c r="G92" s="24" t="s">
        <v>50</v>
      </c>
      <c r="H92" s="25" t="s">
        <v>412</v>
      </c>
      <c r="I92" s="25" t="s">
        <v>165</v>
      </c>
      <c r="J92" s="13"/>
      <c r="K92" s="31" t="str">
        <f>"142,5"</f>
        <v>142,5</v>
      </c>
      <c r="L92" s="13" t="str">
        <f>"87,3667"</f>
        <v>87,3667</v>
      </c>
      <c r="M92" s="12" t="s">
        <v>756</v>
      </c>
    </row>
    <row r="93" spans="1:13">
      <c r="A93" s="13" t="s">
        <v>237</v>
      </c>
      <c r="B93" s="12" t="s">
        <v>757</v>
      </c>
      <c r="C93" s="12" t="s">
        <v>758</v>
      </c>
      <c r="D93" s="12" t="s">
        <v>759</v>
      </c>
      <c r="E93" s="12" t="s">
        <v>1262</v>
      </c>
      <c r="F93" s="12" t="s">
        <v>1197</v>
      </c>
      <c r="G93" s="24" t="s">
        <v>107</v>
      </c>
      <c r="H93" s="25" t="s">
        <v>39</v>
      </c>
      <c r="I93" s="25" t="s">
        <v>39</v>
      </c>
      <c r="J93" s="13"/>
      <c r="K93" s="31" t="str">
        <f>"135,0"</f>
        <v>135,0</v>
      </c>
      <c r="L93" s="13" t="str">
        <f>"82,5255"</f>
        <v>82,5255</v>
      </c>
      <c r="M93" s="12" t="s">
        <v>760</v>
      </c>
    </row>
    <row r="94" spans="1:13">
      <c r="A94" s="13" t="s">
        <v>462</v>
      </c>
      <c r="B94" s="12" t="s">
        <v>761</v>
      </c>
      <c r="C94" s="12" t="s">
        <v>762</v>
      </c>
      <c r="D94" s="12" t="s">
        <v>411</v>
      </c>
      <c r="E94" s="12" t="s">
        <v>1262</v>
      </c>
      <c r="F94" s="12" t="s">
        <v>1195</v>
      </c>
      <c r="G94" s="24" t="s">
        <v>20</v>
      </c>
      <c r="H94" s="25" t="s">
        <v>39</v>
      </c>
      <c r="I94" s="25" t="s">
        <v>39</v>
      </c>
      <c r="J94" s="13"/>
      <c r="K94" s="31" t="str">
        <f>"130,0"</f>
        <v>130,0</v>
      </c>
      <c r="L94" s="13" t="str">
        <f>"79,7030"</f>
        <v>79,7030</v>
      </c>
      <c r="M94" s="12" t="s">
        <v>1173</v>
      </c>
    </row>
    <row r="95" spans="1:13">
      <c r="A95" s="13" t="s">
        <v>235</v>
      </c>
      <c r="B95" s="12" t="s">
        <v>763</v>
      </c>
      <c r="C95" s="12" t="s">
        <v>764</v>
      </c>
      <c r="D95" s="12" t="s">
        <v>765</v>
      </c>
      <c r="E95" s="12" t="s">
        <v>1262</v>
      </c>
      <c r="F95" s="12" t="s">
        <v>1234</v>
      </c>
      <c r="G95" s="25" t="s">
        <v>16</v>
      </c>
      <c r="H95" s="25" t="s">
        <v>16</v>
      </c>
      <c r="I95" s="25" t="s">
        <v>16</v>
      </c>
      <c r="J95" s="13"/>
      <c r="K95" s="31">
        <v>0</v>
      </c>
      <c r="L95" s="13" t="str">
        <f>"0,0000"</f>
        <v>0,0000</v>
      </c>
      <c r="M95" s="12" t="s">
        <v>1175</v>
      </c>
    </row>
    <row r="96" spans="1:13">
      <c r="A96" s="15" t="s">
        <v>233</v>
      </c>
      <c r="B96" s="14" t="s">
        <v>766</v>
      </c>
      <c r="C96" s="14" t="s">
        <v>1120</v>
      </c>
      <c r="D96" s="14" t="s">
        <v>402</v>
      </c>
      <c r="E96" s="14" t="s">
        <v>1264</v>
      </c>
      <c r="F96" s="14" t="s">
        <v>1235</v>
      </c>
      <c r="G96" s="26" t="s">
        <v>154</v>
      </c>
      <c r="H96" s="26" t="s">
        <v>94</v>
      </c>
      <c r="I96" s="27" t="s">
        <v>32</v>
      </c>
      <c r="J96" s="15"/>
      <c r="K96" s="30" t="str">
        <f>"175,0"</f>
        <v>175,0</v>
      </c>
      <c r="L96" s="15" t="str">
        <f>"119,7383"</f>
        <v>119,7383</v>
      </c>
      <c r="M96" s="14"/>
    </row>
    <row r="97" spans="1:13">
      <c r="B97" s="5" t="s">
        <v>8</v>
      </c>
    </row>
    <row r="98" spans="1:13" ht="16">
      <c r="A98" s="52" t="s">
        <v>169</v>
      </c>
      <c r="B98" s="52"/>
      <c r="C98" s="52"/>
      <c r="D98" s="52"/>
      <c r="E98" s="52"/>
      <c r="F98" s="52"/>
      <c r="G98" s="52"/>
      <c r="H98" s="52"/>
      <c r="I98" s="52"/>
      <c r="J98" s="52"/>
    </row>
    <row r="99" spans="1:13">
      <c r="A99" s="11" t="s">
        <v>233</v>
      </c>
      <c r="B99" s="10" t="s">
        <v>767</v>
      </c>
      <c r="C99" s="10" t="s">
        <v>768</v>
      </c>
      <c r="D99" s="10" t="s">
        <v>516</v>
      </c>
      <c r="E99" s="10" t="s">
        <v>1262</v>
      </c>
      <c r="F99" s="10" t="s">
        <v>1201</v>
      </c>
      <c r="G99" s="22" t="s">
        <v>108</v>
      </c>
      <c r="H99" s="22" t="s">
        <v>115</v>
      </c>
      <c r="I99" s="22" t="s">
        <v>154</v>
      </c>
      <c r="J99" s="11"/>
      <c r="K99" s="29" t="str">
        <f>"172,5"</f>
        <v>172,5</v>
      </c>
      <c r="L99" s="11" t="str">
        <f>"102,3442"</f>
        <v>102,3442</v>
      </c>
      <c r="M99" s="10" t="s">
        <v>188</v>
      </c>
    </row>
    <row r="100" spans="1:13">
      <c r="A100" s="13" t="s">
        <v>234</v>
      </c>
      <c r="B100" s="12" t="s">
        <v>769</v>
      </c>
      <c r="C100" s="12" t="s">
        <v>770</v>
      </c>
      <c r="D100" s="12" t="s">
        <v>771</v>
      </c>
      <c r="E100" s="12" t="s">
        <v>1262</v>
      </c>
      <c r="F100" s="12" t="s">
        <v>1195</v>
      </c>
      <c r="G100" s="24" t="s">
        <v>108</v>
      </c>
      <c r="H100" s="25" t="s">
        <v>115</v>
      </c>
      <c r="I100" s="24" t="s">
        <v>115</v>
      </c>
      <c r="J100" s="13"/>
      <c r="K100" s="31" t="str">
        <f>"167,5"</f>
        <v>167,5</v>
      </c>
      <c r="L100" s="13" t="str">
        <f>"100,6005"</f>
        <v>100,6005</v>
      </c>
      <c r="M100" s="12"/>
    </row>
    <row r="101" spans="1:13">
      <c r="A101" s="13" t="s">
        <v>236</v>
      </c>
      <c r="B101" s="12" t="s">
        <v>427</v>
      </c>
      <c r="C101" s="12" t="s">
        <v>428</v>
      </c>
      <c r="D101" s="12" t="s">
        <v>429</v>
      </c>
      <c r="E101" s="12" t="s">
        <v>1262</v>
      </c>
      <c r="F101" s="12" t="s">
        <v>1212</v>
      </c>
      <c r="G101" s="24" t="s">
        <v>108</v>
      </c>
      <c r="H101" s="24" t="s">
        <v>115</v>
      </c>
      <c r="I101" s="25" t="s">
        <v>154</v>
      </c>
      <c r="J101" s="13"/>
      <c r="K101" s="31" t="str">
        <f>"167,5"</f>
        <v>167,5</v>
      </c>
      <c r="L101" s="13" t="str">
        <f>"98,7747"</f>
        <v>98,7747</v>
      </c>
      <c r="M101" s="12" t="s">
        <v>1073</v>
      </c>
    </row>
    <row r="102" spans="1:13">
      <c r="A102" s="13" t="s">
        <v>237</v>
      </c>
      <c r="B102" s="12" t="s">
        <v>772</v>
      </c>
      <c r="C102" s="12" t="s">
        <v>773</v>
      </c>
      <c r="D102" s="12" t="s">
        <v>436</v>
      </c>
      <c r="E102" s="12" t="s">
        <v>1262</v>
      </c>
      <c r="F102" s="12" t="s">
        <v>1195</v>
      </c>
      <c r="G102" s="24" t="s">
        <v>108</v>
      </c>
      <c r="H102" s="24" t="s">
        <v>93</v>
      </c>
      <c r="I102" s="25" t="s">
        <v>115</v>
      </c>
      <c r="J102" s="13"/>
      <c r="K102" s="31" t="str">
        <f>"165,0"</f>
        <v>165,0</v>
      </c>
      <c r="L102" s="13" t="str">
        <f>"97,9605"</f>
        <v>97,9605</v>
      </c>
      <c r="M102" s="12"/>
    </row>
    <row r="103" spans="1:13">
      <c r="A103" s="15" t="s">
        <v>233</v>
      </c>
      <c r="B103" s="14" t="s">
        <v>767</v>
      </c>
      <c r="C103" s="14" t="s">
        <v>1121</v>
      </c>
      <c r="D103" s="14" t="s">
        <v>516</v>
      </c>
      <c r="E103" s="14" t="s">
        <v>1264</v>
      </c>
      <c r="F103" s="14" t="s">
        <v>1201</v>
      </c>
      <c r="G103" s="26" t="s">
        <v>108</v>
      </c>
      <c r="H103" s="26" t="s">
        <v>115</v>
      </c>
      <c r="I103" s="26" t="s">
        <v>154</v>
      </c>
      <c r="J103" s="15"/>
      <c r="K103" s="30" t="str">
        <f>"172,5"</f>
        <v>172,5</v>
      </c>
      <c r="L103" s="15" t="str">
        <f>"115,8537"</f>
        <v>115,8537</v>
      </c>
      <c r="M103" s="14" t="s">
        <v>188</v>
      </c>
    </row>
    <row r="104" spans="1:13">
      <c r="B104" s="5" t="s">
        <v>8</v>
      </c>
    </row>
    <row r="105" spans="1:13" ht="16">
      <c r="A105" s="52" t="s">
        <v>193</v>
      </c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3">
      <c r="A106" s="11" t="s">
        <v>233</v>
      </c>
      <c r="B106" s="10" t="s">
        <v>774</v>
      </c>
      <c r="C106" s="10" t="s">
        <v>775</v>
      </c>
      <c r="D106" s="10" t="s">
        <v>776</v>
      </c>
      <c r="E106" s="10" t="s">
        <v>1262</v>
      </c>
      <c r="F106" s="10" t="s">
        <v>1195</v>
      </c>
      <c r="G106" s="22" t="s">
        <v>95</v>
      </c>
      <c r="H106" s="23" t="s">
        <v>181</v>
      </c>
      <c r="I106" s="23" t="s">
        <v>181</v>
      </c>
      <c r="J106" s="11"/>
      <c r="K106" s="29" t="str">
        <f>"177,5"</f>
        <v>177,5</v>
      </c>
      <c r="L106" s="11" t="str">
        <f>"101,7075"</f>
        <v>101,7075</v>
      </c>
      <c r="M106" s="10" t="s">
        <v>21</v>
      </c>
    </row>
    <row r="107" spans="1:13">
      <c r="A107" s="13" t="s">
        <v>233</v>
      </c>
      <c r="B107" s="12" t="s">
        <v>774</v>
      </c>
      <c r="C107" s="12" t="s">
        <v>1122</v>
      </c>
      <c r="D107" s="12" t="s">
        <v>776</v>
      </c>
      <c r="E107" s="12" t="s">
        <v>1265</v>
      </c>
      <c r="F107" s="12" t="s">
        <v>1197</v>
      </c>
      <c r="G107" s="24" t="s">
        <v>95</v>
      </c>
      <c r="H107" s="25" t="s">
        <v>181</v>
      </c>
      <c r="I107" s="25" t="s">
        <v>181</v>
      </c>
      <c r="J107" s="13"/>
      <c r="K107" s="31" t="str">
        <f>"177,5"</f>
        <v>177,5</v>
      </c>
      <c r="L107" s="13" t="str">
        <f>"106,1826"</f>
        <v>106,1826</v>
      </c>
      <c r="M107" s="12" t="s">
        <v>21</v>
      </c>
    </row>
    <row r="108" spans="1:13">
      <c r="A108" s="13" t="s">
        <v>234</v>
      </c>
      <c r="B108" s="12" t="s">
        <v>777</v>
      </c>
      <c r="C108" s="12" t="s">
        <v>1123</v>
      </c>
      <c r="D108" s="12" t="s">
        <v>778</v>
      </c>
      <c r="E108" s="12" t="s">
        <v>1265</v>
      </c>
      <c r="F108" s="12" t="s">
        <v>1195</v>
      </c>
      <c r="G108" s="24" t="s">
        <v>412</v>
      </c>
      <c r="H108" s="24" t="s">
        <v>41</v>
      </c>
      <c r="I108" s="25" t="s">
        <v>735</v>
      </c>
      <c r="J108" s="13"/>
      <c r="K108" s="31" t="str">
        <f>"155,0"</f>
        <v>155,0</v>
      </c>
      <c r="L108" s="13" t="str">
        <f>"91,7002"</f>
        <v>91,7002</v>
      </c>
      <c r="M108" s="12"/>
    </row>
    <row r="109" spans="1:13">
      <c r="A109" s="13" t="s">
        <v>236</v>
      </c>
      <c r="B109" s="12" t="s">
        <v>779</v>
      </c>
      <c r="C109" s="12" t="s">
        <v>1124</v>
      </c>
      <c r="D109" s="12" t="s">
        <v>780</v>
      </c>
      <c r="E109" s="12" t="s">
        <v>1265</v>
      </c>
      <c r="F109" s="12" t="s">
        <v>1195</v>
      </c>
      <c r="G109" s="24" t="s">
        <v>27</v>
      </c>
      <c r="H109" s="25" t="s">
        <v>165</v>
      </c>
      <c r="I109" s="25" t="s">
        <v>165</v>
      </c>
      <c r="J109" s="13"/>
      <c r="K109" s="31" t="str">
        <f>"137,5"</f>
        <v>137,5</v>
      </c>
      <c r="L109" s="13" t="str">
        <f>"81,0218"</f>
        <v>81,0218</v>
      </c>
      <c r="M109" s="12"/>
    </row>
    <row r="110" spans="1:13">
      <c r="A110" s="15" t="s">
        <v>233</v>
      </c>
      <c r="B110" s="14" t="s">
        <v>781</v>
      </c>
      <c r="C110" s="14" t="s">
        <v>1125</v>
      </c>
      <c r="D110" s="14" t="s">
        <v>782</v>
      </c>
      <c r="E110" s="14" t="s">
        <v>1269</v>
      </c>
      <c r="F110" s="14" t="s">
        <v>1195</v>
      </c>
      <c r="G110" s="26" t="s">
        <v>39</v>
      </c>
      <c r="H110" s="26" t="s">
        <v>40</v>
      </c>
      <c r="I110" s="26" t="s">
        <v>41</v>
      </c>
      <c r="J110" s="15"/>
      <c r="K110" s="30" t="str">
        <f>"155,0"</f>
        <v>155,0</v>
      </c>
      <c r="L110" s="15" t="str">
        <f>"139,0523"</f>
        <v>139,0523</v>
      </c>
      <c r="M110" s="14"/>
    </row>
    <row r="111" spans="1:13">
      <c r="B111" s="5" t="s">
        <v>8</v>
      </c>
    </row>
    <row r="114" spans="2:6" ht="18">
      <c r="B114" s="7" t="s">
        <v>7</v>
      </c>
      <c r="C114" s="7"/>
    </row>
    <row r="115" spans="2:6" ht="16">
      <c r="B115" s="16" t="s">
        <v>202</v>
      </c>
      <c r="C115" s="16"/>
    </row>
    <row r="116" spans="2:6" ht="14">
      <c r="B116" s="17"/>
      <c r="C116" s="18" t="s">
        <v>210</v>
      </c>
    </row>
    <row r="117" spans="2:6" ht="14">
      <c r="B117" s="19" t="s">
        <v>203</v>
      </c>
      <c r="C117" s="19" t="s">
        <v>204</v>
      </c>
      <c r="D117" s="19" t="s">
        <v>1053</v>
      </c>
      <c r="E117" s="19" t="s">
        <v>602</v>
      </c>
      <c r="F117" s="19" t="s">
        <v>206</v>
      </c>
    </row>
    <row r="118" spans="2:6">
      <c r="B118" s="5" t="s">
        <v>623</v>
      </c>
      <c r="C118" s="5" t="s">
        <v>210</v>
      </c>
      <c r="D118" s="6" t="s">
        <v>211</v>
      </c>
      <c r="E118" s="6" t="s">
        <v>42</v>
      </c>
      <c r="F118" s="6" t="s">
        <v>783</v>
      </c>
    </row>
    <row r="119" spans="2:6">
      <c r="B119" s="5" t="s">
        <v>626</v>
      </c>
      <c r="C119" s="5" t="s">
        <v>210</v>
      </c>
      <c r="D119" s="6" t="s">
        <v>211</v>
      </c>
      <c r="E119" s="6" t="s">
        <v>60</v>
      </c>
      <c r="F119" s="6" t="s">
        <v>784</v>
      </c>
    </row>
    <row r="120" spans="2:6">
      <c r="B120" s="5" t="s">
        <v>614</v>
      </c>
      <c r="C120" s="5" t="s">
        <v>210</v>
      </c>
      <c r="D120" s="6" t="s">
        <v>454</v>
      </c>
      <c r="E120" s="6" t="s">
        <v>78</v>
      </c>
      <c r="F120" s="6" t="s">
        <v>785</v>
      </c>
    </row>
    <row r="122" spans="2:6" ht="16">
      <c r="B122" s="16" t="s">
        <v>220</v>
      </c>
      <c r="C122" s="16"/>
    </row>
    <row r="123" spans="2:6" ht="14">
      <c r="B123" s="17"/>
      <c r="C123" s="18" t="s">
        <v>221</v>
      </c>
    </row>
    <row r="124" spans="2:6" ht="14">
      <c r="B124" s="19" t="s">
        <v>203</v>
      </c>
      <c r="C124" s="19" t="s">
        <v>204</v>
      </c>
      <c r="D124" s="19" t="s">
        <v>1053</v>
      </c>
      <c r="E124" s="19" t="s">
        <v>602</v>
      </c>
      <c r="F124" s="19" t="s">
        <v>206</v>
      </c>
    </row>
    <row r="125" spans="2:6">
      <c r="B125" s="5" t="s">
        <v>725</v>
      </c>
      <c r="C125" s="5" t="s">
        <v>207</v>
      </c>
      <c r="D125" s="6" t="s">
        <v>455</v>
      </c>
      <c r="E125" s="6" t="s">
        <v>412</v>
      </c>
      <c r="F125" s="6" t="s">
        <v>786</v>
      </c>
    </row>
    <row r="126" spans="2:6">
      <c r="B126" s="5" t="s">
        <v>744</v>
      </c>
      <c r="C126" s="5" t="s">
        <v>207</v>
      </c>
      <c r="D126" s="6" t="s">
        <v>225</v>
      </c>
      <c r="E126" s="6" t="s">
        <v>28</v>
      </c>
      <c r="F126" s="6" t="s">
        <v>787</v>
      </c>
    </row>
    <row r="127" spans="2:6">
      <c r="B127" s="5" t="s">
        <v>677</v>
      </c>
      <c r="C127" s="5" t="s">
        <v>207</v>
      </c>
      <c r="D127" s="6" t="s">
        <v>222</v>
      </c>
      <c r="E127" s="6" t="s">
        <v>271</v>
      </c>
      <c r="F127" s="6" t="s">
        <v>788</v>
      </c>
    </row>
    <row r="129" spans="2:6" ht="14">
      <c r="B129" s="17"/>
      <c r="C129" s="18" t="s">
        <v>210</v>
      </c>
    </row>
    <row r="130" spans="2:6" ht="14">
      <c r="B130" s="19" t="s">
        <v>203</v>
      </c>
      <c r="C130" s="19" t="s">
        <v>204</v>
      </c>
      <c r="D130" s="19" t="s">
        <v>1053</v>
      </c>
      <c r="E130" s="19" t="s">
        <v>602</v>
      </c>
      <c r="F130" s="19" t="s">
        <v>206</v>
      </c>
    </row>
    <row r="131" spans="2:6">
      <c r="B131" s="5" t="s">
        <v>669</v>
      </c>
      <c r="C131" s="5" t="s">
        <v>210</v>
      </c>
      <c r="D131" s="6" t="s">
        <v>208</v>
      </c>
      <c r="E131" s="6" t="s">
        <v>40</v>
      </c>
      <c r="F131" s="6" t="s">
        <v>789</v>
      </c>
    </row>
    <row r="132" spans="2:6">
      <c r="B132" s="5" t="s">
        <v>747</v>
      </c>
      <c r="C132" s="5" t="s">
        <v>210</v>
      </c>
      <c r="D132" s="6" t="s">
        <v>225</v>
      </c>
      <c r="E132" s="6" t="s">
        <v>33</v>
      </c>
      <c r="F132" s="6" t="s">
        <v>790</v>
      </c>
    </row>
    <row r="133" spans="2:6">
      <c r="B133" s="5" t="s">
        <v>706</v>
      </c>
      <c r="C133" s="5" t="s">
        <v>210</v>
      </c>
      <c r="D133" s="6" t="s">
        <v>223</v>
      </c>
      <c r="E133" s="6" t="s">
        <v>93</v>
      </c>
      <c r="F133" s="6" t="s">
        <v>791</v>
      </c>
    </row>
    <row r="135" spans="2:6" ht="14">
      <c r="B135" s="17"/>
      <c r="C135" s="18" t="s">
        <v>219</v>
      </c>
    </row>
    <row r="136" spans="2:6" ht="14">
      <c r="B136" s="19" t="s">
        <v>203</v>
      </c>
      <c r="C136" s="19" t="s">
        <v>204</v>
      </c>
      <c r="D136" s="19" t="s">
        <v>1053</v>
      </c>
      <c r="E136" s="19" t="s">
        <v>602</v>
      </c>
      <c r="F136" s="19" t="s">
        <v>206</v>
      </c>
    </row>
    <row r="137" spans="2:6">
      <c r="B137" s="5" t="s">
        <v>781</v>
      </c>
      <c r="C137" s="5" t="s">
        <v>1126</v>
      </c>
      <c r="D137" s="6" t="s">
        <v>232</v>
      </c>
      <c r="E137" s="6" t="s">
        <v>41</v>
      </c>
      <c r="F137" s="6" t="s">
        <v>792</v>
      </c>
    </row>
    <row r="138" spans="2:6">
      <c r="B138" s="5" t="s">
        <v>766</v>
      </c>
      <c r="C138" s="5" t="s">
        <v>1127</v>
      </c>
      <c r="D138" s="6" t="s">
        <v>225</v>
      </c>
      <c r="E138" s="6" t="s">
        <v>94</v>
      </c>
      <c r="F138" s="6" t="s">
        <v>793</v>
      </c>
    </row>
    <row r="139" spans="2:6">
      <c r="B139" s="5" t="s">
        <v>767</v>
      </c>
      <c r="C139" s="5" t="s">
        <v>1127</v>
      </c>
      <c r="D139" s="6" t="s">
        <v>224</v>
      </c>
      <c r="E139" s="6" t="s">
        <v>154</v>
      </c>
      <c r="F139" s="6" t="s">
        <v>794</v>
      </c>
    </row>
    <row r="140" spans="2:6">
      <c r="B140" s="5" t="s">
        <v>8</v>
      </c>
    </row>
  </sheetData>
  <mergeCells count="27">
    <mergeCell ref="A87:J87"/>
    <mergeCell ref="A98:J98"/>
    <mergeCell ref="A105:J105"/>
    <mergeCell ref="B3:B4"/>
    <mergeCell ref="A40:J40"/>
    <mergeCell ref="A44:J44"/>
    <mergeCell ref="A48:J48"/>
    <mergeCell ref="A53:J53"/>
    <mergeCell ref="A66:J66"/>
    <mergeCell ref="A78:J78"/>
    <mergeCell ref="A8:J8"/>
    <mergeCell ref="A14:J14"/>
    <mergeCell ref="A17:J17"/>
    <mergeCell ref="A26:J26"/>
    <mergeCell ref="A33:J33"/>
    <mergeCell ref="A37:J3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2021-07-05T20:20:41Z</dcterms:modified>
</cp:coreProperties>
</file>