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610969DD-B304-3340-965F-45EE366EF525}" xr6:coauthVersionLast="45" xr6:coauthVersionMax="47" xr10:uidLastSave="{00000000-0000-0000-0000-000000000000}"/>
  <bookViews>
    <workbookView xWindow="920" yWindow="460" windowWidth="28220" windowHeight="16040" tabRatio="922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9" r:id="rId5"/>
    <sheet name="WRPF Двоеборье без экип" sheetId="18" r:id="rId6"/>
    <sheet name="WRPF Жим лежа без экип ДК" sheetId="11" r:id="rId7"/>
    <sheet name="WRPF Жим лежа без экип" sheetId="10" r:id="rId8"/>
    <sheet name="WEPF Жим однослой ДК" sheetId="13" r:id="rId9"/>
    <sheet name="WEPF Жим софт однопетельная ДК" sheetId="12" r:id="rId10"/>
    <sheet name="WEPF Жим софт однопетельная" sheetId="9" r:id="rId11"/>
    <sheet name="WEPF Жим софт многопетельная" sheetId="14" r:id="rId12"/>
    <sheet name="WRPF Жим СФО" sheetId="43" r:id="rId13"/>
    <sheet name="WRPF Тяга без экипировки ДК" sheetId="17" r:id="rId14"/>
    <sheet name="WRPF Тяга без экипировки" sheetId="16" r:id="rId15"/>
    <sheet name="WRPF Подъем на бицепс" sheetId="20" r:id="rId16"/>
  </sheets>
  <definedNames>
    <definedName name="_FilterDatabase" localSheetId="3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3" l="1"/>
  <c r="K6" i="43"/>
  <c r="L50" i="20"/>
  <c r="K50" i="20"/>
  <c r="L49" i="20"/>
  <c r="K49" i="20"/>
  <c r="L46" i="20"/>
  <c r="K46" i="20"/>
  <c r="L45" i="20"/>
  <c r="K45" i="20"/>
  <c r="L44" i="20"/>
  <c r="K44" i="20"/>
  <c r="L43" i="20"/>
  <c r="K43" i="20"/>
  <c r="L42" i="20"/>
  <c r="K42" i="20"/>
  <c r="L39" i="20"/>
  <c r="K39" i="20"/>
  <c r="L38" i="20"/>
  <c r="K38" i="20"/>
  <c r="L37" i="20"/>
  <c r="K37" i="20"/>
  <c r="L36" i="20"/>
  <c r="K36" i="20"/>
  <c r="L35" i="20"/>
  <c r="K35" i="20"/>
  <c r="L32" i="20"/>
  <c r="K32" i="20"/>
  <c r="L31" i="20"/>
  <c r="K31" i="20"/>
  <c r="L30" i="20"/>
  <c r="K30" i="20"/>
  <c r="L29" i="20"/>
  <c r="K29" i="20"/>
  <c r="L26" i="20"/>
  <c r="K26" i="20"/>
  <c r="L25" i="20"/>
  <c r="K25" i="20"/>
  <c r="L24" i="20"/>
  <c r="K24" i="20"/>
  <c r="L23" i="20"/>
  <c r="K23" i="20"/>
  <c r="L20" i="20"/>
  <c r="L19" i="20"/>
  <c r="L18" i="20"/>
  <c r="L15" i="20"/>
  <c r="K15" i="20"/>
  <c r="L14" i="20"/>
  <c r="K14" i="20"/>
  <c r="L13" i="20"/>
  <c r="K13" i="20"/>
  <c r="L10" i="20"/>
  <c r="K10" i="20"/>
  <c r="L7" i="20"/>
  <c r="K7" i="20"/>
  <c r="L6" i="20"/>
  <c r="K6" i="20"/>
  <c r="P18" i="19"/>
  <c r="O18" i="19"/>
  <c r="P15" i="19"/>
  <c r="O15" i="19"/>
  <c r="P14" i="19"/>
  <c r="O14" i="19"/>
  <c r="P11" i="19"/>
  <c r="P10" i="19"/>
  <c r="O10" i="19"/>
  <c r="P7" i="19"/>
  <c r="O7" i="19"/>
  <c r="P6" i="19"/>
  <c r="O6" i="19"/>
  <c r="P12" i="18"/>
  <c r="O12" i="18"/>
  <c r="P9" i="18"/>
  <c r="O9" i="18"/>
  <c r="P6" i="18"/>
  <c r="O6" i="18"/>
  <c r="L57" i="17"/>
  <c r="K57" i="17"/>
  <c r="L54" i="17"/>
  <c r="K54" i="17"/>
  <c r="L53" i="17"/>
  <c r="K53" i="17"/>
  <c r="L50" i="17"/>
  <c r="K50" i="17"/>
  <c r="L49" i="17"/>
  <c r="K49" i="17"/>
  <c r="L48" i="17"/>
  <c r="K48" i="17"/>
  <c r="L45" i="17"/>
  <c r="K45" i="17"/>
  <c r="L44" i="17"/>
  <c r="K44" i="17"/>
  <c r="L43" i="17"/>
  <c r="K43" i="17"/>
  <c r="L42" i="17"/>
  <c r="K42" i="17"/>
  <c r="L41" i="17"/>
  <c r="K41" i="17"/>
  <c r="L38" i="17"/>
  <c r="K38" i="17"/>
  <c r="L37" i="17"/>
  <c r="K37" i="17"/>
  <c r="L36" i="17"/>
  <c r="K36" i="17"/>
  <c r="L33" i="17"/>
  <c r="K33" i="17"/>
  <c r="L30" i="17"/>
  <c r="K30" i="17"/>
  <c r="L27" i="17"/>
  <c r="K27" i="17"/>
  <c r="L26" i="17"/>
  <c r="K26" i="17"/>
  <c r="L23" i="17"/>
  <c r="K23" i="17"/>
  <c r="L22" i="17"/>
  <c r="K22" i="17"/>
  <c r="L19" i="17"/>
  <c r="K19" i="17"/>
  <c r="L18" i="17"/>
  <c r="K18" i="17"/>
  <c r="L17" i="17"/>
  <c r="K17" i="17"/>
  <c r="L14" i="17"/>
  <c r="K14" i="17"/>
  <c r="L13" i="17"/>
  <c r="K13" i="17"/>
  <c r="L12" i="17"/>
  <c r="K12" i="17"/>
  <c r="L11" i="17"/>
  <c r="K11" i="17"/>
  <c r="L10" i="17"/>
  <c r="K10" i="17"/>
  <c r="L7" i="17"/>
  <c r="K7" i="17"/>
  <c r="L6" i="17"/>
  <c r="K6" i="17"/>
  <c r="L27" i="16"/>
  <c r="K27" i="16"/>
  <c r="L26" i="16"/>
  <c r="K26" i="16"/>
  <c r="L23" i="16"/>
  <c r="K23" i="16"/>
  <c r="L20" i="16"/>
  <c r="K20" i="16"/>
  <c r="L19" i="16"/>
  <c r="K19" i="16"/>
  <c r="L18" i="16"/>
  <c r="K18" i="16"/>
  <c r="L15" i="16"/>
  <c r="K15" i="16"/>
  <c r="L14" i="16"/>
  <c r="K14" i="16"/>
  <c r="L13" i="16"/>
  <c r="K13" i="16"/>
  <c r="L10" i="16"/>
  <c r="K10" i="16"/>
  <c r="L7" i="16"/>
  <c r="K7" i="16"/>
  <c r="L6" i="16"/>
  <c r="K6" i="16"/>
  <c r="L6" i="14"/>
  <c r="K6" i="14"/>
  <c r="L6" i="13"/>
  <c r="K6" i="13"/>
  <c r="L15" i="12"/>
  <c r="K15" i="12"/>
  <c r="L12" i="12"/>
  <c r="K12" i="12"/>
  <c r="L9" i="12"/>
  <c r="K9" i="12"/>
  <c r="L6" i="12"/>
  <c r="K6" i="12"/>
  <c r="L104" i="11"/>
  <c r="K104" i="11"/>
  <c r="L103" i="11"/>
  <c r="K103" i="11"/>
  <c r="L102" i="11"/>
  <c r="K102" i="11"/>
  <c r="L101" i="11"/>
  <c r="K101" i="11"/>
  <c r="L100" i="11"/>
  <c r="K100" i="11"/>
  <c r="L99" i="11"/>
  <c r="K99" i="11"/>
  <c r="L96" i="11"/>
  <c r="K96" i="11"/>
  <c r="L95" i="11"/>
  <c r="K95" i="11"/>
  <c r="L94" i="11"/>
  <c r="K94" i="11"/>
  <c r="L91" i="11"/>
  <c r="K91" i="11"/>
  <c r="L90" i="11"/>
  <c r="K90" i="11"/>
  <c r="L89" i="11"/>
  <c r="L88" i="11"/>
  <c r="K88" i="11"/>
  <c r="L87" i="11"/>
  <c r="K87" i="11"/>
  <c r="L86" i="11"/>
  <c r="K86" i="11"/>
  <c r="L85" i="11"/>
  <c r="K85" i="11"/>
  <c r="L84" i="11"/>
  <c r="K84" i="11"/>
  <c r="L83" i="11"/>
  <c r="K83" i="11"/>
  <c r="L82" i="11"/>
  <c r="K82" i="11"/>
  <c r="L79" i="11"/>
  <c r="K79" i="11"/>
  <c r="L78" i="11"/>
  <c r="K78" i="11"/>
  <c r="L77" i="11"/>
  <c r="K77" i="11"/>
  <c r="L76" i="11"/>
  <c r="K76" i="11"/>
  <c r="L75" i="11"/>
  <c r="K75" i="11"/>
  <c r="L74" i="11"/>
  <c r="K74" i="11"/>
  <c r="L73" i="11"/>
  <c r="K73" i="11"/>
  <c r="L72" i="11"/>
  <c r="K72" i="11"/>
  <c r="L71" i="11"/>
  <c r="K71" i="11"/>
  <c r="L70" i="11"/>
  <c r="K70" i="11"/>
  <c r="L69" i="11"/>
  <c r="K69" i="11"/>
  <c r="L66" i="11"/>
  <c r="K66" i="11"/>
  <c r="L65" i="11"/>
  <c r="K65" i="11"/>
  <c r="L64" i="11"/>
  <c r="K64" i="11"/>
  <c r="L63" i="11"/>
  <c r="K63" i="11"/>
  <c r="L62" i="11"/>
  <c r="K62" i="11"/>
  <c r="L61" i="11"/>
  <c r="K61" i="11"/>
  <c r="L60" i="11"/>
  <c r="K60" i="11"/>
  <c r="L59" i="11"/>
  <c r="K59" i="11"/>
  <c r="L58" i="11"/>
  <c r="K58" i="11"/>
  <c r="L57" i="11"/>
  <c r="K57" i="11"/>
  <c r="L56" i="11"/>
  <c r="K56" i="11"/>
  <c r="L53" i="11"/>
  <c r="L52" i="11"/>
  <c r="K52" i="11"/>
  <c r="L51" i="11"/>
  <c r="K51" i="11"/>
  <c r="L50" i="11"/>
  <c r="K50" i="11"/>
  <c r="L49" i="11"/>
  <c r="K49" i="11"/>
  <c r="L48" i="11"/>
  <c r="K48" i="11"/>
  <c r="L47" i="11"/>
  <c r="K47" i="11"/>
  <c r="L44" i="11"/>
  <c r="L43" i="11"/>
  <c r="K43" i="11"/>
  <c r="L42" i="11"/>
  <c r="K42" i="11"/>
  <c r="L41" i="11"/>
  <c r="K41" i="11"/>
  <c r="L40" i="11"/>
  <c r="K40" i="11"/>
  <c r="L37" i="11"/>
  <c r="K37" i="11"/>
  <c r="L34" i="11"/>
  <c r="K34" i="11"/>
  <c r="L33" i="11"/>
  <c r="K33" i="11"/>
  <c r="L30" i="11"/>
  <c r="K30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18" i="11"/>
  <c r="K18" i="11"/>
  <c r="L17" i="11"/>
  <c r="K17" i="11"/>
  <c r="L16" i="11"/>
  <c r="K16" i="11"/>
  <c r="L15" i="11"/>
  <c r="K15" i="11"/>
  <c r="L12" i="11"/>
  <c r="K12" i="11"/>
  <c r="L9" i="11"/>
  <c r="K9" i="11"/>
  <c r="L8" i="11"/>
  <c r="K8" i="11"/>
  <c r="L7" i="11"/>
  <c r="K7" i="11"/>
  <c r="L6" i="11"/>
  <c r="K6" i="11"/>
  <c r="L64" i="10"/>
  <c r="K64" i="10"/>
  <c r="L63" i="10"/>
  <c r="K63" i="10"/>
  <c r="L62" i="10"/>
  <c r="K62" i="10"/>
  <c r="L59" i="10"/>
  <c r="K59" i="10"/>
  <c r="L58" i="10"/>
  <c r="K58" i="10"/>
  <c r="L57" i="10"/>
  <c r="K57" i="10"/>
  <c r="L54" i="10"/>
  <c r="K54" i="10"/>
  <c r="L53" i="10"/>
  <c r="K53" i="10"/>
  <c r="L52" i="10"/>
  <c r="K52" i="10"/>
  <c r="L51" i="10"/>
  <c r="K51" i="10"/>
  <c r="L50" i="10"/>
  <c r="K50" i="10"/>
  <c r="L49" i="10"/>
  <c r="K49" i="10"/>
  <c r="L48" i="10"/>
  <c r="K48" i="10"/>
  <c r="L47" i="10"/>
  <c r="K47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19" i="10"/>
  <c r="K19" i="10"/>
  <c r="L18" i="10"/>
  <c r="K18" i="10"/>
  <c r="L17" i="10"/>
  <c r="K17" i="10"/>
  <c r="L16" i="10"/>
  <c r="K16" i="10"/>
  <c r="L13" i="10"/>
  <c r="K13" i="10"/>
  <c r="L10" i="10"/>
  <c r="K10" i="10"/>
  <c r="L9" i="10"/>
  <c r="K9" i="10"/>
  <c r="L6" i="10"/>
  <c r="K6" i="10"/>
  <c r="L15" i="9"/>
  <c r="K15" i="9"/>
  <c r="L12" i="9"/>
  <c r="K12" i="9"/>
  <c r="L9" i="9"/>
  <c r="K9" i="9"/>
  <c r="L6" i="9"/>
  <c r="K6" i="9"/>
  <c r="T96" i="8"/>
  <c r="S96" i="8"/>
  <c r="T95" i="8"/>
  <c r="S95" i="8"/>
  <c r="T92" i="8"/>
  <c r="S92" i="8"/>
  <c r="T91" i="8"/>
  <c r="S91" i="8"/>
  <c r="T90" i="8"/>
  <c r="S90" i="8"/>
  <c r="T89" i="8"/>
  <c r="S89" i="8"/>
  <c r="T86" i="8"/>
  <c r="S86" i="8"/>
  <c r="T85" i="8"/>
  <c r="S85" i="8"/>
  <c r="T84" i="8"/>
  <c r="S84" i="8"/>
  <c r="T83" i="8"/>
  <c r="S83" i="8"/>
  <c r="T82" i="8"/>
  <c r="S82" i="8"/>
  <c r="T79" i="8"/>
  <c r="T78" i="8"/>
  <c r="S78" i="8"/>
  <c r="T77" i="8"/>
  <c r="S77" i="8"/>
  <c r="T76" i="8"/>
  <c r="S76" i="8"/>
  <c r="T75" i="8"/>
  <c r="S75" i="8"/>
  <c r="T74" i="8"/>
  <c r="S74" i="8"/>
  <c r="T73" i="8"/>
  <c r="S73" i="8"/>
  <c r="T72" i="8"/>
  <c r="S72" i="8"/>
  <c r="T71" i="8"/>
  <c r="S71" i="8"/>
  <c r="T70" i="8"/>
  <c r="S70" i="8"/>
  <c r="T69" i="8"/>
  <c r="T68" i="8"/>
  <c r="S68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6" i="8"/>
  <c r="S56" i="8"/>
  <c r="T55" i="8"/>
  <c r="S55" i="8"/>
  <c r="T54" i="8"/>
  <c r="S54" i="8"/>
  <c r="T51" i="8"/>
  <c r="S51" i="8"/>
  <c r="T48" i="8"/>
  <c r="S48" i="8"/>
  <c r="T45" i="8"/>
  <c r="S45" i="8"/>
  <c r="T42" i="8"/>
  <c r="S42" i="8"/>
  <c r="T39" i="8"/>
  <c r="S39" i="8"/>
  <c r="T38" i="8"/>
  <c r="S38" i="8"/>
  <c r="T37" i="8"/>
  <c r="S37" i="8"/>
  <c r="T36" i="8"/>
  <c r="S36" i="8"/>
  <c r="T35" i="8"/>
  <c r="S35" i="8"/>
  <c r="T34" i="8"/>
  <c r="S34" i="8"/>
  <c r="T33" i="8"/>
  <c r="S33" i="8"/>
  <c r="T32" i="8"/>
  <c r="S32" i="8"/>
  <c r="T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18" i="8"/>
  <c r="S18" i="8"/>
  <c r="T15" i="8"/>
  <c r="S15" i="8"/>
  <c r="T14" i="8"/>
  <c r="S14" i="8"/>
  <c r="T13" i="8"/>
  <c r="S13" i="8"/>
  <c r="T12" i="8"/>
  <c r="S12" i="8"/>
  <c r="T11" i="8"/>
  <c r="S11" i="8"/>
  <c r="T10" i="8"/>
  <c r="S10" i="8"/>
  <c r="T7" i="8"/>
  <c r="S7" i="8"/>
  <c r="T6" i="8"/>
  <c r="S6" i="8"/>
  <c r="T45" i="7"/>
  <c r="S45" i="7"/>
  <c r="T42" i="7"/>
  <c r="S42" i="7"/>
  <c r="T41" i="7"/>
  <c r="S41" i="7"/>
  <c r="T38" i="7"/>
  <c r="S38" i="7"/>
  <c r="T37" i="7"/>
  <c r="S37" i="7"/>
  <c r="T36" i="7"/>
  <c r="S36" i="7"/>
  <c r="T35" i="7"/>
  <c r="S35" i="7"/>
  <c r="T32" i="7"/>
  <c r="S32" i="7"/>
  <c r="T31" i="7"/>
  <c r="S31" i="7"/>
  <c r="T30" i="7"/>
  <c r="S30" i="7"/>
  <c r="T29" i="7"/>
  <c r="S29" i="7"/>
  <c r="T28" i="7"/>
  <c r="S28" i="7"/>
  <c r="T27" i="7"/>
  <c r="S27" i="7"/>
  <c r="T24" i="7"/>
  <c r="S24" i="7"/>
  <c r="T23" i="7"/>
  <c r="S23" i="7"/>
  <c r="T20" i="7"/>
  <c r="S20" i="7"/>
  <c r="T19" i="7"/>
  <c r="S19" i="7"/>
  <c r="T18" i="7"/>
  <c r="S18" i="7"/>
  <c r="T17" i="7"/>
  <c r="S17" i="7"/>
  <c r="T14" i="7"/>
  <c r="S14" i="7"/>
  <c r="T13" i="7"/>
  <c r="S13" i="7"/>
  <c r="T12" i="7"/>
  <c r="S12" i="7"/>
  <c r="T9" i="7"/>
  <c r="S9" i="7"/>
  <c r="T6" i="7"/>
  <c r="S6" i="7"/>
  <c r="T16" i="6"/>
  <c r="S16" i="6"/>
  <c r="T13" i="6"/>
  <c r="S13" i="6"/>
  <c r="T10" i="6"/>
  <c r="S10" i="6"/>
  <c r="T9" i="6"/>
  <c r="S9" i="6"/>
  <c r="T6" i="6"/>
  <c r="S6" i="6"/>
  <c r="T10" i="5"/>
  <c r="S10" i="5"/>
  <c r="T7" i="5"/>
  <c r="S7" i="5"/>
  <c r="T6" i="5"/>
  <c r="S6" i="5"/>
</calcChain>
</file>

<file path=xl/sharedStrings.xml><?xml version="1.0" encoding="utf-8"?>
<sst xmlns="http://schemas.openxmlformats.org/spreadsheetml/2006/main" count="4139" uniqueCount="1113">
  <si>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</si>
  <si>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</si>
  <si>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</si>
  <si>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</si>
  <si>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</si>
  <si>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</si>
  <si>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</si>
  <si>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</si>
  <si>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</si>
  <si>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</si>
  <si>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82.5</t>
  </si>
  <si>
    <t>Алпеев Александр</t>
  </si>
  <si>
    <t>Открытая (22.12.1990)/30</t>
  </si>
  <si>
    <t>80,20</t>
  </si>
  <si>
    <t>220,0</t>
  </si>
  <si>
    <t>235,0</t>
  </si>
  <si>
    <t>245,0</t>
  </si>
  <si>
    <t>130,0</t>
  </si>
  <si>
    <t>135,0</t>
  </si>
  <si>
    <t>140,0</t>
  </si>
  <si>
    <t>215,0</t>
  </si>
  <si>
    <t>225,0</t>
  </si>
  <si>
    <t>230,0</t>
  </si>
  <si>
    <t>Вормс Александр</t>
  </si>
  <si>
    <t>Мастера 40-49 (28.09.1975)/46</t>
  </si>
  <si>
    <t>82,50</t>
  </si>
  <si>
    <t>210,0</t>
  </si>
  <si>
    <t>110,0</t>
  </si>
  <si>
    <t>145,0</t>
  </si>
  <si>
    <t>260,0</t>
  </si>
  <si>
    <t>ВЕСОВАЯ КАТЕГОРИЯ   110</t>
  </si>
  <si>
    <t>Карцев Иван</t>
  </si>
  <si>
    <t>Открытая (28.05.1996)/25</t>
  </si>
  <si>
    <t>104,00</t>
  </si>
  <si>
    <t>255,0</t>
  </si>
  <si>
    <t>265,0</t>
  </si>
  <si>
    <t>125,0</t>
  </si>
  <si>
    <t>150,0</t>
  </si>
  <si>
    <t>205,0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</si>
  <si>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</si>
  <si>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</si>
  <si>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</si>
  <si>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</si>
  <si>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</si>
  <si>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</si>
  <si>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</si>
  <si>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</si>
  <si>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</si>
  <si>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110</t>
  </si>
  <si>
    <t xml:space="preserve">Мастера </t>
  </si>
  <si>
    <t xml:space="preserve">Мастера 40-49 </t>
  </si>
  <si>
    <t>1</t>
  </si>
  <si>
    <t/>
  </si>
  <si>
    <t>ВЕСОВАЯ КАТЕГОРИЯ   52</t>
  </si>
  <si>
    <t>Сеимова Татьяна</t>
  </si>
  <si>
    <t>Открытая (25.01.1991)/30</t>
  </si>
  <si>
    <t>51,90</t>
  </si>
  <si>
    <t>122,5</t>
  </si>
  <si>
    <t>60,0</t>
  </si>
  <si>
    <t>65,0</t>
  </si>
  <si>
    <t>67,5</t>
  </si>
  <si>
    <t>127,5</t>
  </si>
  <si>
    <t xml:space="preserve">Милин И. </t>
  </si>
  <si>
    <t>ВЕСОВАЯ КАТЕГОРИЯ   75</t>
  </si>
  <si>
    <t>Альжанов Максим</t>
  </si>
  <si>
    <t>Юноши 17-19 (05.12.2002)/18</t>
  </si>
  <si>
    <t>72,20</t>
  </si>
  <si>
    <t>117,5</t>
  </si>
  <si>
    <t>75,0</t>
  </si>
  <si>
    <t>120,0</t>
  </si>
  <si>
    <t>Воскресенский Юрий</t>
  </si>
  <si>
    <t>Открытая (28.10.1985)/35</t>
  </si>
  <si>
    <t>74,70</t>
  </si>
  <si>
    <t>142,5</t>
  </si>
  <si>
    <t>155,0</t>
  </si>
  <si>
    <t>92,5</t>
  </si>
  <si>
    <t>100,0</t>
  </si>
  <si>
    <t>105,0</t>
  </si>
  <si>
    <t>160,0</t>
  </si>
  <si>
    <t>170,0</t>
  </si>
  <si>
    <t>180,0</t>
  </si>
  <si>
    <t>ВЕСОВАЯ КАТЕГОРИЯ   100</t>
  </si>
  <si>
    <t>Дмитриев Михаил</t>
  </si>
  <si>
    <t>Юноши 17-19 (01.10.2004)/17</t>
  </si>
  <si>
    <t>99,10</t>
  </si>
  <si>
    <t>115,0</t>
  </si>
  <si>
    <t>70,0</t>
  </si>
  <si>
    <t>80,0</t>
  </si>
  <si>
    <t>90,0</t>
  </si>
  <si>
    <t>Веселов Валерий</t>
  </si>
  <si>
    <t>Открытая (15.06.1983)/38</t>
  </si>
  <si>
    <t>108,20</t>
  </si>
  <si>
    <t>270,0</t>
  </si>
  <si>
    <t>275,0</t>
  </si>
  <si>
    <t xml:space="preserve">Тимофеев Д. </t>
  </si>
  <si>
    <t xml:space="preserve">Женщины </t>
  </si>
  <si>
    <t>75</t>
  </si>
  <si>
    <t>100</t>
  </si>
  <si>
    <t>315,0</t>
  </si>
  <si>
    <t>ВЕСОВАЯ КАТЕГОРИЯ   48</t>
  </si>
  <si>
    <t>Жук Юлия</t>
  </si>
  <si>
    <t>Открытая (01.04.1986)/35</t>
  </si>
  <si>
    <t>48,00</t>
  </si>
  <si>
    <t>97,5</t>
  </si>
  <si>
    <t>102,5</t>
  </si>
  <si>
    <t>47,5</t>
  </si>
  <si>
    <t>50,0</t>
  </si>
  <si>
    <t>132,5</t>
  </si>
  <si>
    <t>ВЕСОВАЯ КАТЕГОРИЯ   56</t>
  </si>
  <si>
    <t>Устинова Виктория</t>
  </si>
  <si>
    <t>Открытая (14.01.1990)/31</t>
  </si>
  <si>
    <t>56,00</t>
  </si>
  <si>
    <t>72,5</t>
  </si>
  <si>
    <t>77,5</t>
  </si>
  <si>
    <t>82,5</t>
  </si>
  <si>
    <t>45,0</t>
  </si>
  <si>
    <t>ВЕСОВАЯ КАТЕГОРИЯ   60</t>
  </si>
  <si>
    <t>Бондарчук Елена</t>
  </si>
  <si>
    <t>Открытая (18.06.1980)/41</t>
  </si>
  <si>
    <t>60,00</t>
  </si>
  <si>
    <t>147,5</t>
  </si>
  <si>
    <t>157,5</t>
  </si>
  <si>
    <t>107,5</t>
  </si>
  <si>
    <t xml:space="preserve">Таранухин Г. </t>
  </si>
  <si>
    <t>Гатало Ирина</t>
  </si>
  <si>
    <t>Открытая (06.03.1989)/32</t>
  </si>
  <si>
    <t>85,0</t>
  </si>
  <si>
    <t>42,5</t>
  </si>
  <si>
    <t xml:space="preserve">Кульпин Н. </t>
  </si>
  <si>
    <t>Мастера 40-49 (18.06.1980)/41</t>
  </si>
  <si>
    <t>Шульцев Кирилл</t>
  </si>
  <si>
    <t>Юноши 17-19 (22.09.2002)/19</t>
  </si>
  <si>
    <t>80,90</t>
  </si>
  <si>
    <t>175,0</t>
  </si>
  <si>
    <t>177,5</t>
  </si>
  <si>
    <t>217,5</t>
  </si>
  <si>
    <t>222,5</t>
  </si>
  <si>
    <t>Кольцов Денис</t>
  </si>
  <si>
    <t>Юноши 17-19 (23.02.2002)/19</t>
  </si>
  <si>
    <t>80,10</t>
  </si>
  <si>
    <t>195,0</t>
  </si>
  <si>
    <t>207,5</t>
  </si>
  <si>
    <t>112,5</t>
  </si>
  <si>
    <t>Спиридонов Степан</t>
  </si>
  <si>
    <t>Открытая (21.12.1993)/27</t>
  </si>
  <si>
    <t>82,00</t>
  </si>
  <si>
    <t>240,0</t>
  </si>
  <si>
    <t>Корвин Олег</t>
  </si>
  <si>
    <t>Мастера 50-59 (15.11.1967)/53</t>
  </si>
  <si>
    <t>80,30</t>
  </si>
  <si>
    <t>190,0</t>
  </si>
  <si>
    <t>ВЕСОВАЯ КАТЕГОРИЯ   90</t>
  </si>
  <si>
    <t>Кандауров Станислав</t>
  </si>
  <si>
    <t>Открытая (26.05.1990)/31</t>
  </si>
  <si>
    <t>89,70</t>
  </si>
  <si>
    <t>200,0</t>
  </si>
  <si>
    <t>202,5</t>
  </si>
  <si>
    <t>Михайлов Александр</t>
  </si>
  <si>
    <t>Мастера 60-69 (09.12.1958)/62</t>
  </si>
  <si>
    <t>87,90</t>
  </si>
  <si>
    <t>95,0</t>
  </si>
  <si>
    <t>137,5</t>
  </si>
  <si>
    <t xml:space="preserve">Грахов Ю. </t>
  </si>
  <si>
    <t>Матиев Заур</t>
  </si>
  <si>
    <t>Открытая (26.11.1986)/34</t>
  </si>
  <si>
    <t>99,90</t>
  </si>
  <si>
    <t>280,0</t>
  </si>
  <si>
    <t>290,0</t>
  </si>
  <si>
    <t>310,0</t>
  </si>
  <si>
    <t>320,0</t>
  </si>
  <si>
    <t>330,0</t>
  </si>
  <si>
    <t>Михайлов Дмитрий</t>
  </si>
  <si>
    <t>Открытая (23.05.1984)/37</t>
  </si>
  <si>
    <t>300,0</t>
  </si>
  <si>
    <t>Кобелев Павел</t>
  </si>
  <si>
    <t>Открытая (04.08.1989)/32</t>
  </si>
  <si>
    <t>91,00</t>
  </si>
  <si>
    <t>252,5</t>
  </si>
  <si>
    <t>182,5</t>
  </si>
  <si>
    <t>187,5</t>
  </si>
  <si>
    <t>340,0</t>
  </si>
  <si>
    <t>362,5</t>
  </si>
  <si>
    <t>Миронов Владимир</t>
  </si>
  <si>
    <t>Открытая (11.05.1985)/36</t>
  </si>
  <si>
    <t>99,50</t>
  </si>
  <si>
    <t>172,5</t>
  </si>
  <si>
    <t>Холунин Алексей</t>
  </si>
  <si>
    <t>Открытая (15.04.1982)/39</t>
  </si>
  <si>
    <t>97,90</t>
  </si>
  <si>
    <t>185,0</t>
  </si>
  <si>
    <t>Михайлов Анатолий</t>
  </si>
  <si>
    <t>Открытая (08.10.1987)/34</t>
  </si>
  <si>
    <t>92,50</t>
  </si>
  <si>
    <t>212,5</t>
  </si>
  <si>
    <t>Головко Павел</t>
  </si>
  <si>
    <t>Открытая (03.09.1976)/45</t>
  </si>
  <si>
    <t>107,90</t>
  </si>
  <si>
    <t>250,0</t>
  </si>
  <si>
    <t>262,5</t>
  </si>
  <si>
    <t>Дерягин Денис</t>
  </si>
  <si>
    <t>Открытая (28.02.1980)/41</t>
  </si>
  <si>
    <t>109,50</t>
  </si>
  <si>
    <t>272,5</t>
  </si>
  <si>
    <t>Спицин Александр</t>
  </si>
  <si>
    <t>Открытая (10.09.1988)/33</t>
  </si>
  <si>
    <t>108,80</t>
  </si>
  <si>
    <t xml:space="preserve">Илюткин А. </t>
  </si>
  <si>
    <t>Смирнов Сергей</t>
  </si>
  <si>
    <t>Открытая (23.09.1981)/40</t>
  </si>
  <si>
    <t>227,5</t>
  </si>
  <si>
    <t>162,5</t>
  </si>
  <si>
    <t>167,5</t>
  </si>
  <si>
    <t>ВЕСОВАЯ КАТЕГОРИЯ   125</t>
  </si>
  <si>
    <t>Гунченков Олег</t>
  </si>
  <si>
    <t>Открытая (19.09.1991)/30</t>
  </si>
  <si>
    <t>112,20</t>
  </si>
  <si>
    <t>Капустин Андрей</t>
  </si>
  <si>
    <t>Мастера 40-49 (18.02.1977)/44</t>
  </si>
  <si>
    <t>120,70</t>
  </si>
  <si>
    <t>ВЕСОВАЯ КАТЕГОРИЯ   140+</t>
  </si>
  <si>
    <t>Безинских Максим</t>
  </si>
  <si>
    <t>Открытая (18.05.1986)/35</t>
  </si>
  <si>
    <t>140,80</t>
  </si>
  <si>
    <t>277,5</t>
  </si>
  <si>
    <t>282,5</t>
  </si>
  <si>
    <t>60</t>
  </si>
  <si>
    <t>48</t>
  </si>
  <si>
    <t>825,0</t>
  </si>
  <si>
    <t>502,2600</t>
  </si>
  <si>
    <t>767,5</t>
  </si>
  <si>
    <t>487,2857</t>
  </si>
  <si>
    <t>775,0</t>
  </si>
  <si>
    <t>473,3700</t>
  </si>
  <si>
    <t>125</t>
  </si>
  <si>
    <t xml:space="preserve">Мастера 60-69 </t>
  </si>
  <si>
    <t>90</t>
  </si>
  <si>
    <t xml:space="preserve">Мастера 50-59 </t>
  </si>
  <si>
    <t>2</t>
  </si>
  <si>
    <t>3</t>
  </si>
  <si>
    <t>4</t>
  </si>
  <si>
    <t>5</t>
  </si>
  <si>
    <t>6</t>
  </si>
  <si>
    <t>Углова Ольга</t>
  </si>
  <si>
    <t>Юниорки (17.12.1999)/21</t>
  </si>
  <si>
    <t>40,0</t>
  </si>
  <si>
    <t>Gavrilova Aurika</t>
  </si>
  <si>
    <t>Открытая (21.06.1988)/33</t>
  </si>
  <si>
    <t>47,90</t>
  </si>
  <si>
    <t xml:space="preserve">LVA/Daugavpils </t>
  </si>
  <si>
    <t xml:space="preserve">Талеров А. </t>
  </si>
  <si>
    <t>Мамонт Анна</t>
  </si>
  <si>
    <t>Открытая (11.06.1993)/28</t>
  </si>
  <si>
    <t>52,00</t>
  </si>
  <si>
    <t>Осинкина Ксения</t>
  </si>
  <si>
    <t>Открытая (19.09.1990)/31</t>
  </si>
  <si>
    <t>50,40</t>
  </si>
  <si>
    <t>57,5</t>
  </si>
  <si>
    <t>Пономарева Елена</t>
  </si>
  <si>
    <t>Открытая (30.10.1988)/32</t>
  </si>
  <si>
    <t xml:space="preserve">Ерахин А. </t>
  </si>
  <si>
    <t>Семенова Анна</t>
  </si>
  <si>
    <t>Открытая (05.09.1990)/31</t>
  </si>
  <si>
    <t>52,5</t>
  </si>
  <si>
    <t>55,0</t>
  </si>
  <si>
    <t xml:space="preserve">Кукарцев И. </t>
  </si>
  <si>
    <t>Зисман Людмила</t>
  </si>
  <si>
    <t>Открытая (26.08.1983)/38</t>
  </si>
  <si>
    <t>62,5</t>
  </si>
  <si>
    <t>Алексеева Ольга</t>
  </si>
  <si>
    <t>Открытая (25.01.1988)/33</t>
  </si>
  <si>
    <t>51,60</t>
  </si>
  <si>
    <t xml:space="preserve">Ямских Л. </t>
  </si>
  <si>
    <t>Колоницкая Екатерина</t>
  </si>
  <si>
    <t>Открытая (02.08.1985)/36</t>
  </si>
  <si>
    <t>54,50</t>
  </si>
  <si>
    <t xml:space="preserve">Матиев З. </t>
  </si>
  <si>
    <t>Чусовская Елизавета</t>
  </si>
  <si>
    <t>Юниорки (29.08.1998)/23</t>
  </si>
  <si>
    <t>57,70</t>
  </si>
  <si>
    <t>152,5</t>
  </si>
  <si>
    <t xml:space="preserve">Дробиков А. </t>
  </si>
  <si>
    <t>Кравцова Алина</t>
  </si>
  <si>
    <t>Юниорки (30.03.1999)/22</t>
  </si>
  <si>
    <t>56,20</t>
  </si>
  <si>
    <t xml:space="preserve">Станислав Конников </t>
  </si>
  <si>
    <t>Кияшко Надежда</t>
  </si>
  <si>
    <t>Открытая (19.05.1994)/27</t>
  </si>
  <si>
    <t>59,90</t>
  </si>
  <si>
    <t>87,5</t>
  </si>
  <si>
    <t xml:space="preserve">Конников С. </t>
  </si>
  <si>
    <t>Открытая (29.08.1998)/23</t>
  </si>
  <si>
    <t>Истомина Татьяна</t>
  </si>
  <si>
    <t>Открытая (12.08.1985)/36</t>
  </si>
  <si>
    <t>58,80</t>
  </si>
  <si>
    <t>Руденко Зинаида</t>
  </si>
  <si>
    <t>Открытая (07.09.1975)/46</t>
  </si>
  <si>
    <t>59,00</t>
  </si>
  <si>
    <t xml:space="preserve">Немнонов С. </t>
  </si>
  <si>
    <t>Рыбникова Анастасия</t>
  </si>
  <si>
    <t>Открытая (01.01.1996)/25</t>
  </si>
  <si>
    <t>56,40</t>
  </si>
  <si>
    <t xml:space="preserve">Корзая А. </t>
  </si>
  <si>
    <t>Гимадеева Алина</t>
  </si>
  <si>
    <t>Открытая (03.12.1991)/29</t>
  </si>
  <si>
    <t>59,70</t>
  </si>
  <si>
    <t>30,0</t>
  </si>
  <si>
    <t>35,0</t>
  </si>
  <si>
    <t xml:space="preserve">Абрамова И. </t>
  </si>
  <si>
    <t>Калугина Анастасия</t>
  </si>
  <si>
    <t>Открытая (26.03.1996)/25</t>
  </si>
  <si>
    <t>ВЕСОВАЯ КАТЕГОРИЯ   67.5</t>
  </si>
  <si>
    <t>Гордиенко Ольга</t>
  </si>
  <si>
    <t>Девушки 14-16 (17.05.2005)/16</t>
  </si>
  <si>
    <t>65,50</t>
  </si>
  <si>
    <t xml:space="preserve">Потылкин Д. </t>
  </si>
  <si>
    <t>Абрамова Инга</t>
  </si>
  <si>
    <t>Девушки 17-19 (30.09.2002)/19</t>
  </si>
  <si>
    <t>65,80</t>
  </si>
  <si>
    <t>Козулина Мария</t>
  </si>
  <si>
    <t>Юниорки (26.10.1998)/22</t>
  </si>
  <si>
    <t>62,30</t>
  </si>
  <si>
    <t>Смирнова Яна</t>
  </si>
  <si>
    <t>Открытая (03.10.1991)/30</t>
  </si>
  <si>
    <t>66,70</t>
  </si>
  <si>
    <t>Фирсова Анастасия</t>
  </si>
  <si>
    <t>Открытая (14.09.1983)/38</t>
  </si>
  <si>
    <t>64,70</t>
  </si>
  <si>
    <t>Открытая (17.05.2005)/16</t>
  </si>
  <si>
    <t>Фокина Диана</t>
  </si>
  <si>
    <t>Открытая (29.11.1993)/27</t>
  </si>
  <si>
    <t>65,60</t>
  </si>
  <si>
    <t>Зализко Светлана</t>
  </si>
  <si>
    <t>Мастера 40-49 (20.10.1977)/44</t>
  </si>
  <si>
    <t>66,80</t>
  </si>
  <si>
    <t xml:space="preserve">Волков А. </t>
  </si>
  <si>
    <t>Юнусова Маргарита</t>
  </si>
  <si>
    <t>Открытая (13.04.1988)/33</t>
  </si>
  <si>
    <t>74,20</t>
  </si>
  <si>
    <t>Секирко Александр</t>
  </si>
  <si>
    <t>Юноши 17-19 (01.10.2002)/19</t>
  </si>
  <si>
    <t xml:space="preserve">Ан С. </t>
  </si>
  <si>
    <t>Сергеев Егор</t>
  </si>
  <si>
    <t>Юноши 14-16 (06.11.2005)/15</t>
  </si>
  <si>
    <t>54,80</t>
  </si>
  <si>
    <t xml:space="preserve">Ярошко Е. </t>
  </si>
  <si>
    <t>Бушуев Андрей</t>
  </si>
  <si>
    <t>Открытая (09.10.1996)/25</t>
  </si>
  <si>
    <t>63,20</t>
  </si>
  <si>
    <t>Сергейчук Сергей</t>
  </si>
  <si>
    <t>Юниоры (10.04.1998)/23</t>
  </si>
  <si>
    <t>72,90</t>
  </si>
  <si>
    <t xml:space="preserve">Куликов В. </t>
  </si>
  <si>
    <t>Савельев Никита</t>
  </si>
  <si>
    <t>Открытая (30.11.2001)/19</t>
  </si>
  <si>
    <t>68,40</t>
  </si>
  <si>
    <t xml:space="preserve">Румянцев С. </t>
  </si>
  <si>
    <t>Абдуллаев Анвар</t>
  </si>
  <si>
    <t>Открытая (17.04.2002)/19</t>
  </si>
  <si>
    <t>70,80</t>
  </si>
  <si>
    <t>Голубенко Михаил</t>
  </si>
  <si>
    <t>Юниоры (23.09.2000)/21</t>
  </si>
  <si>
    <t>81,50</t>
  </si>
  <si>
    <t>Ан Сергей</t>
  </si>
  <si>
    <t>Открытая (09.11.1987)/33</t>
  </si>
  <si>
    <t>165,0</t>
  </si>
  <si>
    <t>237,5</t>
  </si>
  <si>
    <t xml:space="preserve">Максимов Э. </t>
  </si>
  <si>
    <t>Харченко Александр</t>
  </si>
  <si>
    <t>Открытая (22.04.1993)/28</t>
  </si>
  <si>
    <t>81,90</t>
  </si>
  <si>
    <t>192,5</t>
  </si>
  <si>
    <t>Нянькин Евгений</t>
  </si>
  <si>
    <t>Открытая (07.01.1995)/26</t>
  </si>
  <si>
    <t>80,80</t>
  </si>
  <si>
    <t>Груздев Демьян</t>
  </si>
  <si>
    <t>Открытая (25.09.1991)/30</t>
  </si>
  <si>
    <t>81,40</t>
  </si>
  <si>
    <t>Масолбасов Алексей</t>
  </si>
  <si>
    <t>Открытая (29.03.2002)/19</t>
  </si>
  <si>
    <t>79,00</t>
  </si>
  <si>
    <t>Усов Александр</t>
  </si>
  <si>
    <t>Открытая (19.04.1988)/33</t>
  </si>
  <si>
    <t>81,70</t>
  </si>
  <si>
    <t>Мамедов Фарид</t>
  </si>
  <si>
    <t>Юниоры (18.10.2001)/20</t>
  </si>
  <si>
    <t>89,00</t>
  </si>
  <si>
    <t>Ткаченко Егор</t>
  </si>
  <si>
    <t>Юниоры (16.09.2000)/21</t>
  </si>
  <si>
    <t>87,70</t>
  </si>
  <si>
    <t>197,5</t>
  </si>
  <si>
    <t xml:space="preserve">Боровков С. </t>
  </si>
  <si>
    <t>Владимиров Евгений</t>
  </si>
  <si>
    <t>Открытая (22.08.1964)/57</t>
  </si>
  <si>
    <t>89,50</t>
  </si>
  <si>
    <t xml:space="preserve">Серегин К. </t>
  </si>
  <si>
    <t>Егоров Дмитрий</t>
  </si>
  <si>
    <t>Открытая (07.01.1989)/32</t>
  </si>
  <si>
    <t>88,10</t>
  </si>
  <si>
    <t>Торов Алан</t>
  </si>
  <si>
    <t>Открытая (27.02.1994)/27</t>
  </si>
  <si>
    <t>Мельниченко Егор</t>
  </si>
  <si>
    <t>Открытая (02.09.1988)/33</t>
  </si>
  <si>
    <t>89,30</t>
  </si>
  <si>
    <t xml:space="preserve">Козлова М. </t>
  </si>
  <si>
    <t>Решетников Вячеслав</t>
  </si>
  <si>
    <t>Открытая (17.01.1994)/27</t>
  </si>
  <si>
    <t>90,00</t>
  </si>
  <si>
    <t>Зыков Максим</t>
  </si>
  <si>
    <t>Открытая (21.06.2002)/19</t>
  </si>
  <si>
    <t>87,50</t>
  </si>
  <si>
    <t>Кучеровец Антон</t>
  </si>
  <si>
    <t>Открытая (02.09.1992)/29</t>
  </si>
  <si>
    <t>88,30</t>
  </si>
  <si>
    <t>Коваленко Иван</t>
  </si>
  <si>
    <t>Мастера 40-49 (13.02.1978)/43</t>
  </si>
  <si>
    <t>87,10</t>
  </si>
  <si>
    <t>Мастера 50-59 (22.08.1964)/57</t>
  </si>
  <si>
    <t>Ходаковский Сергей</t>
  </si>
  <si>
    <t>Мастера 60-69 (07.01.1958)/63</t>
  </si>
  <si>
    <t>84,60</t>
  </si>
  <si>
    <t>Фещенко Денис</t>
  </si>
  <si>
    <t>Юноши 14-16 (30.03.2009)/12</t>
  </si>
  <si>
    <t>92,40</t>
  </si>
  <si>
    <t xml:space="preserve">Гайдук С. </t>
  </si>
  <si>
    <t>Марков Эдуард</t>
  </si>
  <si>
    <t>Юниоры (17.03.1998)/23</t>
  </si>
  <si>
    <t>95,00</t>
  </si>
  <si>
    <t>Юроев Андрей</t>
  </si>
  <si>
    <t>Открытая (30.10.1980)/40</t>
  </si>
  <si>
    <t>97,30</t>
  </si>
  <si>
    <t>Открытая (17.03.1998)/23</t>
  </si>
  <si>
    <t>Кормаков Виктор</t>
  </si>
  <si>
    <t>Открытая (09.07.1984)/37</t>
  </si>
  <si>
    <t>98,60</t>
  </si>
  <si>
    <t>Лысенко Александр</t>
  </si>
  <si>
    <t>Открытая (05.03.1993)/28</t>
  </si>
  <si>
    <t>101,10</t>
  </si>
  <si>
    <t>Белов Василий</t>
  </si>
  <si>
    <t>Открытая (05.05.1987)/34</t>
  </si>
  <si>
    <t>102,50</t>
  </si>
  <si>
    <t>232,5</t>
  </si>
  <si>
    <t xml:space="preserve">Михайлов Д. </t>
  </si>
  <si>
    <t>Козлов Антон</t>
  </si>
  <si>
    <t>Мастера 40-49 (08.02.1980)/41</t>
  </si>
  <si>
    <t>110,00</t>
  </si>
  <si>
    <t>Чернышов Владимир</t>
  </si>
  <si>
    <t>Мастера 70-79 (06.09.1948)/73</t>
  </si>
  <si>
    <t>108,10</t>
  </si>
  <si>
    <t>Бухман Антон</t>
  </si>
  <si>
    <t>Открытая (22.08.1988)/33</t>
  </si>
  <si>
    <t>124,00</t>
  </si>
  <si>
    <t>302,5</t>
  </si>
  <si>
    <t xml:space="preserve">Мыськив А. </t>
  </si>
  <si>
    <t>Алещенко Сергей</t>
  </si>
  <si>
    <t>Открытая (13.08.1989)/32</t>
  </si>
  <si>
    <t>110,80</t>
  </si>
  <si>
    <t>67.5</t>
  </si>
  <si>
    <t>370,0</t>
  </si>
  <si>
    <t>425,2780</t>
  </si>
  <si>
    <t>345,0</t>
  </si>
  <si>
    <t>457,6425</t>
  </si>
  <si>
    <t>375,0</t>
  </si>
  <si>
    <t>418,6125</t>
  </si>
  <si>
    <t>307,5</t>
  </si>
  <si>
    <t>840,0</t>
  </si>
  <si>
    <t>479,4720</t>
  </si>
  <si>
    <t>650,0</t>
  </si>
  <si>
    <t>416,1300</t>
  </si>
  <si>
    <t>672,5</t>
  </si>
  <si>
    <t>413,9237</t>
  </si>
  <si>
    <t>-</t>
  </si>
  <si>
    <t>7</t>
  </si>
  <si>
    <t>Румянцева Светлана</t>
  </si>
  <si>
    <t>Открытая (16.05.1988)/33</t>
  </si>
  <si>
    <t>66,90</t>
  </si>
  <si>
    <t>Смирнов Олег</t>
  </si>
  <si>
    <t>Открытая (22.01.1986)/35</t>
  </si>
  <si>
    <t>100,00</t>
  </si>
  <si>
    <t>Лучинский Сергей</t>
  </si>
  <si>
    <t>Открытая (12.11.1981)/39</t>
  </si>
  <si>
    <t>106,00</t>
  </si>
  <si>
    <t>Хмелев Александр</t>
  </si>
  <si>
    <t>Мастера 50-59 (19.09.1971)/50</t>
  </si>
  <si>
    <t>123,40</t>
  </si>
  <si>
    <t>295,0</t>
  </si>
  <si>
    <t xml:space="preserve">Результат </t>
  </si>
  <si>
    <t xml:space="preserve">Gloss </t>
  </si>
  <si>
    <t>Результат</t>
  </si>
  <si>
    <t>Абрамова Юлия</t>
  </si>
  <si>
    <t>Открытая (29.06.1982)/39</t>
  </si>
  <si>
    <t>55,60</t>
  </si>
  <si>
    <t>Вохминцев Юрий</t>
  </si>
  <si>
    <t>Мастера 70-79 (07.04.1947)/74</t>
  </si>
  <si>
    <t>Алимов Михаил</t>
  </si>
  <si>
    <t>Открытая (05.03.1987)/34</t>
  </si>
  <si>
    <t>78,40</t>
  </si>
  <si>
    <t>Голубев Кирилл</t>
  </si>
  <si>
    <t>Открытая (16.06.1987)/34</t>
  </si>
  <si>
    <t>Старцев Виталий</t>
  </si>
  <si>
    <t>Открытая (19.07.1982)/39</t>
  </si>
  <si>
    <t>81,30</t>
  </si>
  <si>
    <t>Ильязов Артем</t>
  </si>
  <si>
    <t>Открытая (22.08.1990)/31</t>
  </si>
  <si>
    <t>Черимов Михаил</t>
  </si>
  <si>
    <t>Открытая (05.09.1978)/43</t>
  </si>
  <si>
    <t>83,60</t>
  </si>
  <si>
    <t>Клищ Роман</t>
  </si>
  <si>
    <t>Открытая (29.03.1992)/29</t>
  </si>
  <si>
    <t>Сорокин Евгений</t>
  </si>
  <si>
    <t>Открытая (11.02.1977)/44</t>
  </si>
  <si>
    <t>86,10</t>
  </si>
  <si>
    <t>Трошкин Максим</t>
  </si>
  <si>
    <t>Открытая (06.11.1987)/33</t>
  </si>
  <si>
    <t>88,70</t>
  </si>
  <si>
    <t>Мастера 40-49 (05.09.1978)/43</t>
  </si>
  <si>
    <t>Мастера 40-49 (11.02.1977)/44</t>
  </si>
  <si>
    <t>Гюрджиди Александр</t>
  </si>
  <si>
    <t>Мастера 40-49 (12.07.1974)/47</t>
  </si>
  <si>
    <t>89,40</t>
  </si>
  <si>
    <t>Лузин Сергей</t>
  </si>
  <si>
    <t>Мастера 60-69 (30.04.1954)/67</t>
  </si>
  <si>
    <t>Иванов Виктор</t>
  </si>
  <si>
    <t>Юниоры (12.06.1998)/23</t>
  </si>
  <si>
    <t>98,50</t>
  </si>
  <si>
    <t>Коробов Илья</t>
  </si>
  <si>
    <t>Открытая (17.04.1980)/41</t>
  </si>
  <si>
    <t>Кротиков Евгений</t>
  </si>
  <si>
    <t>Открытая (13.01.1992)/29</t>
  </si>
  <si>
    <t>97,00</t>
  </si>
  <si>
    <t>Боровков Сергей</t>
  </si>
  <si>
    <t>Открытая (05.03.1991)/30</t>
  </si>
  <si>
    <t>96,60</t>
  </si>
  <si>
    <t>Смирнов Александр</t>
  </si>
  <si>
    <t>Открытая (17.02.1987)/34</t>
  </si>
  <si>
    <t>93,90</t>
  </si>
  <si>
    <t>Алекберов Эмиль</t>
  </si>
  <si>
    <t>Открытая (20.04.1997)/24</t>
  </si>
  <si>
    <t>94,20</t>
  </si>
  <si>
    <t xml:space="preserve">Першин Г. </t>
  </si>
  <si>
    <t>Родионов Ярослав</t>
  </si>
  <si>
    <t>Открытая (01.10.1997)/24</t>
  </si>
  <si>
    <t>Мастера 40-49 (17.04.1980)/41</t>
  </si>
  <si>
    <t>Беспалов Александр</t>
  </si>
  <si>
    <t>Мастера 40-49 (07.01.1980)/41</t>
  </si>
  <si>
    <t>95,20</t>
  </si>
  <si>
    <t>Белушков Вячеслав</t>
  </si>
  <si>
    <t>Мастера 40-49 (15.12.1979)/41</t>
  </si>
  <si>
    <t>97,40</t>
  </si>
  <si>
    <t xml:space="preserve">Старченко Е. </t>
  </si>
  <si>
    <t>Локтионов Александр</t>
  </si>
  <si>
    <t>Мастера 50-59 (20.12.1964)/56</t>
  </si>
  <si>
    <t>98,30</t>
  </si>
  <si>
    <t>Юденков Антон</t>
  </si>
  <si>
    <t>Открытая (06.12.1989)/31</t>
  </si>
  <si>
    <t>107,50</t>
  </si>
  <si>
    <t xml:space="preserve">Дмитриев Э. </t>
  </si>
  <si>
    <t>Волков Андрей</t>
  </si>
  <si>
    <t>Открытая (29.09.1975)/46</t>
  </si>
  <si>
    <t>107,10</t>
  </si>
  <si>
    <t>Петров Артем</t>
  </si>
  <si>
    <t>Открытая (22.03.1986)/35</t>
  </si>
  <si>
    <t>107,20</t>
  </si>
  <si>
    <t>Кулыгин Никита</t>
  </si>
  <si>
    <t>Открытая (29.09.1991)/30</t>
  </si>
  <si>
    <t>105,70</t>
  </si>
  <si>
    <t>Курка Сергей</t>
  </si>
  <si>
    <t>Открытая (13.12.1990)/30</t>
  </si>
  <si>
    <t>106,70</t>
  </si>
  <si>
    <t>Гончарук Максим</t>
  </si>
  <si>
    <t>Открытая (04.07.1992)/29</t>
  </si>
  <si>
    <t>101,50</t>
  </si>
  <si>
    <t>Демидов Роман</t>
  </si>
  <si>
    <t>Мастера 40-49 (22.04.1976)/45</t>
  </si>
  <si>
    <t>Ефименков Александр</t>
  </si>
  <si>
    <t>Мастера 60-69 (09.09.1958)/63</t>
  </si>
  <si>
    <t>Трифонов Сергей</t>
  </si>
  <si>
    <t>Открытая (05.08.1986)/35</t>
  </si>
  <si>
    <t>121,80</t>
  </si>
  <si>
    <t>Жук Андрей</t>
  </si>
  <si>
    <t>Открытая (08.10.1997)/24</t>
  </si>
  <si>
    <t>123,20</t>
  </si>
  <si>
    <t>Пешков Андрей</t>
  </si>
  <si>
    <t>Мастера 50-59 (05.11.1963)/57</t>
  </si>
  <si>
    <t>119,20</t>
  </si>
  <si>
    <t>Гогуев Расул</t>
  </si>
  <si>
    <t>Открытая (26.08.1987)/34</t>
  </si>
  <si>
    <t>149,60</t>
  </si>
  <si>
    <t xml:space="preserve">Косолапенко Д. </t>
  </si>
  <si>
    <t>Алексеев Дмитрий</t>
  </si>
  <si>
    <t>Мастера 40-49 (15.07.1981)/40</t>
  </si>
  <si>
    <t>140,10</t>
  </si>
  <si>
    <t>Михайлов Роман</t>
  </si>
  <si>
    <t>Мастера 40-49 (16.03.1976)/45</t>
  </si>
  <si>
    <t>142,90</t>
  </si>
  <si>
    <t>132,6963</t>
  </si>
  <si>
    <t>127,9460</t>
  </si>
  <si>
    <t>126,3415</t>
  </si>
  <si>
    <t>156,0443</t>
  </si>
  <si>
    <t>145,6285</t>
  </si>
  <si>
    <t>139,1443</t>
  </si>
  <si>
    <t>Bezyk Iryna</t>
  </si>
  <si>
    <t>Открытая (12.06.1974)/47</t>
  </si>
  <si>
    <t xml:space="preserve">CZE/Прага </t>
  </si>
  <si>
    <t>Дмитриева Екатерина</t>
  </si>
  <si>
    <t>Открытая (15.03.1993)/28</t>
  </si>
  <si>
    <t>50,00</t>
  </si>
  <si>
    <t>37,5</t>
  </si>
  <si>
    <t>Мастера 40-49 (12.06.1974)/47</t>
  </si>
  <si>
    <t>Кичева Елена</t>
  </si>
  <si>
    <t>Открытая (30.12.1991)/29</t>
  </si>
  <si>
    <t>55,00</t>
  </si>
  <si>
    <t xml:space="preserve">Харитонов С. </t>
  </si>
  <si>
    <t>Садовникова Юлия</t>
  </si>
  <si>
    <t>Открытая (26.06.1983)/38</t>
  </si>
  <si>
    <t>59,30</t>
  </si>
  <si>
    <t>Гоголева Мария</t>
  </si>
  <si>
    <t>Открытая (08.11.1975)/45</t>
  </si>
  <si>
    <t xml:space="preserve">Солнцев И. </t>
  </si>
  <si>
    <t>Кузьмина Христина</t>
  </si>
  <si>
    <t>Открытая (21.07.1993)/28</t>
  </si>
  <si>
    <t>59,80</t>
  </si>
  <si>
    <t xml:space="preserve">Гогуев Р. </t>
  </si>
  <si>
    <t>Краевская Юлия</t>
  </si>
  <si>
    <t>Мастера 40-49 (06.03.1981)/40</t>
  </si>
  <si>
    <t>59,20</t>
  </si>
  <si>
    <t xml:space="preserve">Костарев В. </t>
  </si>
  <si>
    <t>Балаганская Юлия</t>
  </si>
  <si>
    <t>Открытая (12.04.1992)/29</t>
  </si>
  <si>
    <t xml:space="preserve">Макаренко К. </t>
  </si>
  <si>
    <t>Кручина Светлана</t>
  </si>
  <si>
    <t>Открытая (19.02.1985)/36</t>
  </si>
  <si>
    <t>67,50</t>
  </si>
  <si>
    <t xml:space="preserve">Дмитриева Е. </t>
  </si>
  <si>
    <t>Веселова Ирина</t>
  </si>
  <si>
    <t>Открытая (21.09.1991)/30</t>
  </si>
  <si>
    <t>66,20</t>
  </si>
  <si>
    <t>Бритова Вероника</t>
  </si>
  <si>
    <t>Открытая (23.01.1982)/39</t>
  </si>
  <si>
    <t>67,00</t>
  </si>
  <si>
    <t>Круть Радмила</t>
  </si>
  <si>
    <t>Открытая (01.04.1992)/29</t>
  </si>
  <si>
    <t>61,20</t>
  </si>
  <si>
    <t>Малинина Елена</t>
  </si>
  <si>
    <t>Мастера 40-49 (19.07.1976)/45</t>
  </si>
  <si>
    <t>67,30</t>
  </si>
  <si>
    <t>Дмитриева Елена</t>
  </si>
  <si>
    <t>Мастера 40-49 (03.11.1974)/46</t>
  </si>
  <si>
    <t>70,50</t>
  </si>
  <si>
    <t>Нефёдова Алена</t>
  </si>
  <si>
    <t>Открытая (14.07.1984)/37</t>
  </si>
  <si>
    <t>81,60</t>
  </si>
  <si>
    <t xml:space="preserve">Коробов И. </t>
  </si>
  <si>
    <t>Горская Наталия</t>
  </si>
  <si>
    <t>Открытая (16.12.1984)/36</t>
  </si>
  <si>
    <t>79,40</t>
  </si>
  <si>
    <t>Пазюк Олег</t>
  </si>
  <si>
    <t>Юноши 17-19 (13.09.2003)/18</t>
  </si>
  <si>
    <t>58,50</t>
  </si>
  <si>
    <t xml:space="preserve">Вовк Д. </t>
  </si>
  <si>
    <t>Колесников Никита</t>
  </si>
  <si>
    <t>Юноши 14-16 (19.04.2007)/14</t>
  </si>
  <si>
    <t>62,10</t>
  </si>
  <si>
    <t>Суходольский Кирилл</t>
  </si>
  <si>
    <t>Юноши 17-19 (11.05.2002)/19</t>
  </si>
  <si>
    <t>Колесников Дмитрий</t>
  </si>
  <si>
    <t>Открытая (26.09.1992)/29</t>
  </si>
  <si>
    <t xml:space="preserve">Берков Д. </t>
  </si>
  <si>
    <t>Теплицкий Павел</t>
  </si>
  <si>
    <t>Открытая (28.02.1982)/39</t>
  </si>
  <si>
    <t>Николаев Игорь</t>
  </si>
  <si>
    <t>Открытая (24.07.1990)/31</t>
  </si>
  <si>
    <t>67,10</t>
  </si>
  <si>
    <t>Лашков Никита</t>
  </si>
  <si>
    <t>Юноши 14-16 (31.01.2006)/15</t>
  </si>
  <si>
    <t>72,80</t>
  </si>
  <si>
    <t>Сайфиев Огабек</t>
  </si>
  <si>
    <t>Юноши 17-19 (27.02.2004)/17</t>
  </si>
  <si>
    <t>74,80</t>
  </si>
  <si>
    <t>Елисеев Андрей</t>
  </si>
  <si>
    <t>Открытая (29.09.1985)/36</t>
  </si>
  <si>
    <t>73,30</t>
  </si>
  <si>
    <t xml:space="preserve">Беспалов А. </t>
  </si>
  <si>
    <t>Берков Дмитрий</t>
  </si>
  <si>
    <t>Открытая (07.08.1986)/35</t>
  </si>
  <si>
    <t>73,90</t>
  </si>
  <si>
    <t>Шорников Петр</t>
  </si>
  <si>
    <t>Открытая (10.06.1985)/36</t>
  </si>
  <si>
    <t>Постников Валерий</t>
  </si>
  <si>
    <t>Открытая (01.07.1994)/27</t>
  </si>
  <si>
    <t xml:space="preserve">Гаджиев Р. </t>
  </si>
  <si>
    <t>Маметьев Роман</t>
  </si>
  <si>
    <t>Открытая (17.12.1992)/28</t>
  </si>
  <si>
    <t>74,90</t>
  </si>
  <si>
    <t xml:space="preserve">Карлюков К. </t>
  </si>
  <si>
    <t>Шербоев Шавкат</t>
  </si>
  <si>
    <t>Юниоры (17.11.1997)/23</t>
  </si>
  <si>
    <t>79,10</t>
  </si>
  <si>
    <t xml:space="preserve">Федотов Б. </t>
  </si>
  <si>
    <t>Вислогузов Артём</t>
  </si>
  <si>
    <t>Открытая (25.12.1990)/30</t>
  </si>
  <si>
    <t>82,20</t>
  </si>
  <si>
    <t>Гробовой Алексей</t>
  </si>
  <si>
    <t>Открытая (02.05.1987)/34</t>
  </si>
  <si>
    <t>79,70</t>
  </si>
  <si>
    <t>Серебряков Павел</t>
  </si>
  <si>
    <t>Открытая (24.02.1985)/36</t>
  </si>
  <si>
    <t>78,30</t>
  </si>
  <si>
    <t>Тараканов Алексей</t>
  </si>
  <si>
    <t>Открытая (04.11.1989)/31</t>
  </si>
  <si>
    <t>Аманов Магеррам</t>
  </si>
  <si>
    <t>Открытая (03.06.1991)/30</t>
  </si>
  <si>
    <t>Шилов Артём</t>
  </si>
  <si>
    <t>Открытая (18.03.1988)/33</t>
  </si>
  <si>
    <t>Горев Владислав</t>
  </si>
  <si>
    <t>Открытая (25.01.1996)/25</t>
  </si>
  <si>
    <t xml:space="preserve">Солдатов А. </t>
  </si>
  <si>
    <t>Быков Антон</t>
  </si>
  <si>
    <t>Открытая (27.01.1990)/31</t>
  </si>
  <si>
    <t>Петросян Армен</t>
  </si>
  <si>
    <t>Мастера 40-49 (08.09.1978)/43</t>
  </si>
  <si>
    <t>Смирнов Роман</t>
  </si>
  <si>
    <t>Мастера 40-49 (02.06.1979)/42</t>
  </si>
  <si>
    <t>81,00</t>
  </si>
  <si>
    <t>Колесников Артём</t>
  </si>
  <si>
    <t>Юноши 17-19 (04.06.2002)/19</t>
  </si>
  <si>
    <t>Торопов Артём</t>
  </si>
  <si>
    <t>Открытая (05.10.1992)/29</t>
  </si>
  <si>
    <t>85,70</t>
  </si>
  <si>
    <t>Копкин Денис</t>
  </si>
  <si>
    <t>Открытая (06.10.1986)/35</t>
  </si>
  <si>
    <t>89,80</t>
  </si>
  <si>
    <t>Аринушкин Павел</t>
  </si>
  <si>
    <t>Открытая (25.10.1985)/35</t>
  </si>
  <si>
    <t>89,20</t>
  </si>
  <si>
    <t>Медведев Владислав</t>
  </si>
  <si>
    <t>Открытая (24.06.1996)/25</t>
  </si>
  <si>
    <t xml:space="preserve">Балабатько И. </t>
  </si>
  <si>
    <t>Залесский Владимир</t>
  </si>
  <si>
    <t>Открытая (05.06.1990)/31</t>
  </si>
  <si>
    <t>Карпенко Сергей</t>
  </si>
  <si>
    <t>Открытая (08.04.1990)/31</t>
  </si>
  <si>
    <t>86,00</t>
  </si>
  <si>
    <t>Литвиненко Павел</t>
  </si>
  <si>
    <t>Мастера 40-49 (17.04.1981)/40</t>
  </si>
  <si>
    <t>Сизенцов Евгений</t>
  </si>
  <si>
    <t>Мастера 40-49 (29.04.1981)/40</t>
  </si>
  <si>
    <t xml:space="preserve">Шумейко Д. </t>
  </si>
  <si>
    <t>Воронов Александр</t>
  </si>
  <si>
    <t>Мастера 40-49 (25.12.1979)/41</t>
  </si>
  <si>
    <t>84,40</t>
  </si>
  <si>
    <t>Стародубцев Александр</t>
  </si>
  <si>
    <t>Мастера 40-49 (04.05.1980)/41</t>
  </si>
  <si>
    <t>Соколов Алексей</t>
  </si>
  <si>
    <t>Открытая (10.10.1984)/37</t>
  </si>
  <si>
    <t>98,40</t>
  </si>
  <si>
    <t>Кочуров Павел</t>
  </si>
  <si>
    <t>Открытая (04.06.1996)/25</t>
  </si>
  <si>
    <t>99,70</t>
  </si>
  <si>
    <t xml:space="preserve">Бухман А. </t>
  </si>
  <si>
    <t>Веселов Данил</t>
  </si>
  <si>
    <t>Открытая (24.03.1993)/28</t>
  </si>
  <si>
    <t>90,70</t>
  </si>
  <si>
    <t>Сытько Вадим</t>
  </si>
  <si>
    <t>Открытая (01.04.1982)/39</t>
  </si>
  <si>
    <t>Белаш Василий</t>
  </si>
  <si>
    <t>Открытая (02.02.1986)/35</t>
  </si>
  <si>
    <t>98,20</t>
  </si>
  <si>
    <t>Егоров Георгий</t>
  </si>
  <si>
    <t>Мастера 40-49 (17.03.1972)/49</t>
  </si>
  <si>
    <t>Жаров Алексей</t>
  </si>
  <si>
    <t>Мастера 40-49 (22.02.1979)/42</t>
  </si>
  <si>
    <t>98,80</t>
  </si>
  <si>
    <t xml:space="preserve">Филиппов Н. </t>
  </si>
  <si>
    <t>Дворниченко Виталий</t>
  </si>
  <si>
    <t>Мастера 40-49 (30.01.1981)/40</t>
  </si>
  <si>
    <t xml:space="preserve">Томинг С. </t>
  </si>
  <si>
    <t>Попов Игорь</t>
  </si>
  <si>
    <t>Мастера 50-59 (11.09.1965)/56</t>
  </si>
  <si>
    <t>90,40</t>
  </si>
  <si>
    <t>Вежов Михаил</t>
  </si>
  <si>
    <t>Открытая (31.05.1988)/33</t>
  </si>
  <si>
    <t>106,90</t>
  </si>
  <si>
    <t>Мишанов Игорь</t>
  </si>
  <si>
    <t>Открытая (18.04.1989)/32</t>
  </si>
  <si>
    <t>108,70</t>
  </si>
  <si>
    <t>Бадаев Андрей</t>
  </si>
  <si>
    <t>Открытая (08.04.1983)/38</t>
  </si>
  <si>
    <t>Иванов Артем</t>
  </si>
  <si>
    <t>Юниоры (06.03.2000)/21</t>
  </si>
  <si>
    <t>122,20</t>
  </si>
  <si>
    <t>Иванов Михаил</t>
  </si>
  <si>
    <t>Открытая (02.07.1976)/45</t>
  </si>
  <si>
    <t>123,70</t>
  </si>
  <si>
    <t>Башнин Олег</t>
  </si>
  <si>
    <t>Открытая (17.02.1986)/35</t>
  </si>
  <si>
    <t>122,50</t>
  </si>
  <si>
    <t>Мастера 40-49 (02.07.1976)/45</t>
  </si>
  <si>
    <t>Иванов Юрий</t>
  </si>
  <si>
    <t>Мастера 40-49 (17.09.1975)/46</t>
  </si>
  <si>
    <t>122,40</t>
  </si>
  <si>
    <t xml:space="preserve">Матвеев С. </t>
  </si>
  <si>
    <t>81,9070</t>
  </si>
  <si>
    <t>81,5698</t>
  </si>
  <si>
    <t>76,9420</t>
  </si>
  <si>
    <t>128,6460</t>
  </si>
  <si>
    <t>125,5760</t>
  </si>
  <si>
    <t>124,9065</t>
  </si>
  <si>
    <t>123,6624</t>
  </si>
  <si>
    <t>111,9927</t>
  </si>
  <si>
    <t>8</t>
  </si>
  <si>
    <t>Левашев Юрий</t>
  </si>
  <si>
    <t>Мастера 50-59 (05.01.1970)/51</t>
  </si>
  <si>
    <t>238,0</t>
  </si>
  <si>
    <t>90,35</t>
  </si>
  <si>
    <t>Габдуллин Адель</t>
  </si>
  <si>
    <t>Открытая (19.01.1994)/27</t>
  </si>
  <si>
    <t>81,10</t>
  </si>
  <si>
    <t>Алтухов Александр</t>
  </si>
  <si>
    <t>Открытая (31.03.1989)/32</t>
  </si>
  <si>
    <t>111,00</t>
  </si>
  <si>
    <t>257,5</t>
  </si>
  <si>
    <t>Кузнецова Анастасия</t>
  </si>
  <si>
    <t>Открытая (08.02.1988)/33</t>
  </si>
  <si>
    <t>73,70</t>
  </si>
  <si>
    <t>Корякин Сергей</t>
  </si>
  <si>
    <t>Открытая (01.07.1976)/45</t>
  </si>
  <si>
    <t>79,20</t>
  </si>
  <si>
    <t>Мастера 40-49 (01.07.1976)/45</t>
  </si>
  <si>
    <t>Сидин Антон</t>
  </si>
  <si>
    <t>Открытая (24.04.1988)/33</t>
  </si>
  <si>
    <t>86,90</t>
  </si>
  <si>
    <t>Плеханов Владимир</t>
  </si>
  <si>
    <t>Открытая (23.10.1986)/35</t>
  </si>
  <si>
    <t>88,50</t>
  </si>
  <si>
    <t>Макеев Павел</t>
  </si>
  <si>
    <t>Мастера 40-49 (27.05.1980)/41</t>
  </si>
  <si>
    <t>88,90</t>
  </si>
  <si>
    <t>Макаров Артур</t>
  </si>
  <si>
    <t>Открытая (10.07.1997)/24</t>
  </si>
  <si>
    <t>124,60</t>
  </si>
  <si>
    <t>Мамедова Ойдыной</t>
  </si>
  <si>
    <t>Мастера 40-49 (02.05.1980)/41</t>
  </si>
  <si>
    <t>51,70</t>
  </si>
  <si>
    <t xml:space="preserve">Родионов Я. </t>
  </si>
  <si>
    <t>Балабатько Оксана</t>
  </si>
  <si>
    <t>Девушки 14-16 (24.01.2005)/16</t>
  </si>
  <si>
    <t>57,00</t>
  </si>
  <si>
    <t>Пилипюк Наталья</t>
  </si>
  <si>
    <t>Открытая (21.12.1983)/37</t>
  </si>
  <si>
    <t xml:space="preserve">Чащин А. </t>
  </si>
  <si>
    <t>Иванова Наталия</t>
  </si>
  <si>
    <t>Открытая (20.10.1990)/31</t>
  </si>
  <si>
    <t>57,80</t>
  </si>
  <si>
    <t xml:space="preserve">Сайфуллина Ю. </t>
  </si>
  <si>
    <t>Анникова Елена</t>
  </si>
  <si>
    <t>Открытая (19.12.1987)/33</t>
  </si>
  <si>
    <t>65,70</t>
  </si>
  <si>
    <t>Золотова Маргарита</t>
  </si>
  <si>
    <t>Открытая (19.06.1993)/28</t>
  </si>
  <si>
    <t>Балеева Елена</t>
  </si>
  <si>
    <t>Открытая (03.05.1983)/38</t>
  </si>
  <si>
    <t>Цебровская Екатерина</t>
  </si>
  <si>
    <t>Открытая (28.04.1987)/34</t>
  </si>
  <si>
    <t>Зинченко Рустэм</t>
  </si>
  <si>
    <t>Юниоры (04.02.1999)/22</t>
  </si>
  <si>
    <t xml:space="preserve">KAZ/Уральск </t>
  </si>
  <si>
    <t>Яншин Наиль</t>
  </si>
  <si>
    <t>Юниоры (06.04.1998)/23</t>
  </si>
  <si>
    <t>80,70</t>
  </si>
  <si>
    <t xml:space="preserve">KAZ/Алматы </t>
  </si>
  <si>
    <t xml:space="preserve">Лукашевич Е. </t>
  </si>
  <si>
    <t>Лукашевич Евгений</t>
  </si>
  <si>
    <t>Открытая (03.01.1994)/27</t>
  </si>
  <si>
    <t>Павлов Михаил</t>
  </si>
  <si>
    <t>Открытая (16.11.1989)/31</t>
  </si>
  <si>
    <t>Юсупов Адам</t>
  </si>
  <si>
    <t>Юниоры (13.03.1999)/22</t>
  </si>
  <si>
    <t>89,60</t>
  </si>
  <si>
    <t>Кувалдов Дмитрий</t>
  </si>
  <si>
    <t>Открытая (26.06.1991)/30</t>
  </si>
  <si>
    <t>87,80</t>
  </si>
  <si>
    <t xml:space="preserve">Захаров С. </t>
  </si>
  <si>
    <t>Гусак Игорь</t>
  </si>
  <si>
    <t>Открытая (17.03.1988)/33</t>
  </si>
  <si>
    <t>Парамоненко Никита</t>
  </si>
  <si>
    <t>Юноши 14-16 (26.01.2006)/15</t>
  </si>
  <si>
    <t>96,30</t>
  </si>
  <si>
    <t>Комкин Михаил</t>
  </si>
  <si>
    <t>Открытая (12.11.1987)/33</t>
  </si>
  <si>
    <t>Дмитриев Павел</t>
  </si>
  <si>
    <t>Открытая (03.12.1990)/30</t>
  </si>
  <si>
    <t>Дихтярь Артём</t>
  </si>
  <si>
    <t>Открытая (09.12.1985)/35</t>
  </si>
  <si>
    <t>108,90</t>
  </si>
  <si>
    <t>247,5</t>
  </si>
  <si>
    <t>Бондарчук Антон</t>
  </si>
  <si>
    <t>Мастера 40-49 (03.03.1975)/46</t>
  </si>
  <si>
    <t>119,60</t>
  </si>
  <si>
    <t>163,7775</t>
  </si>
  <si>
    <t>163,3570</t>
  </si>
  <si>
    <t>154,4100</t>
  </si>
  <si>
    <t>223,3770</t>
  </si>
  <si>
    <t>153,4780</t>
  </si>
  <si>
    <t>151,9745</t>
  </si>
  <si>
    <t>Абрамов Александр</t>
  </si>
  <si>
    <t>Открытая (14.05.1991)/30</t>
  </si>
  <si>
    <t>Ковтун Евгений</t>
  </si>
  <si>
    <t>Открытая (21.09.1982)/39</t>
  </si>
  <si>
    <t>76,90</t>
  </si>
  <si>
    <t>Киселёв Дмитрий</t>
  </si>
  <si>
    <t>Открытая (16.11.1990)/30</t>
  </si>
  <si>
    <t>80,60</t>
  </si>
  <si>
    <t xml:space="preserve">Лысенко Д. </t>
  </si>
  <si>
    <t>Батраков Сергей</t>
  </si>
  <si>
    <t>Мастера 60-69 (06.07.1956)/65</t>
  </si>
  <si>
    <t>82,70</t>
  </si>
  <si>
    <t xml:space="preserve">Сапончик В. </t>
  </si>
  <si>
    <t>Крищук Антонина</t>
  </si>
  <si>
    <t>55,20</t>
  </si>
  <si>
    <t>25,0</t>
  </si>
  <si>
    <t>27,5</t>
  </si>
  <si>
    <t xml:space="preserve">Крищук О. </t>
  </si>
  <si>
    <t>Ващейкина Анна</t>
  </si>
  <si>
    <t>Открытая (04.11.1984)/36</t>
  </si>
  <si>
    <t xml:space="preserve">Становой А. </t>
  </si>
  <si>
    <t>Белов Борис</t>
  </si>
  <si>
    <t>48,50</t>
  </si>
  <si>
    <t>Крищук Олег</t>
  </si>
  <si>
    <t>Открытая (29.05.1975)/46</t>
  </si>
  <si>
    <t>59,10</t>
  </si>
  <si>
    <t>61,0</t>
  </si>
  <si>
    <t>Иванятов Роман</t>
  </si>
  <si>
    <t>Открытая (24.12.1991)/29</t>
  </si>
  <si>
    <t>56,60</t>
  </si>
  <si>
    <t>Алейников Павел</t>
  </si>
  <si>
    <t>66,30</t>
  </si>
  <si>
    <t>Открытая (15.06.2002)/19</t>
  </si>
  <si>
    <t>Валиев Артем</t>
  </si>
  <si>
    <t>Открытая (13.01.1996)/25</t>
  </si>
  <si>
    <t>66,50</t>
  </si>
  <si>
    <t>Петров Александр</t>
  </si>
  <si>
    <t>72,50</t>
  </si>
  <si>
    <t>Качалин Андрей</t>
  </si>
  <si>
    <t>Открытая (14.10.1997)/24</t>
  </si>
  <si>
    <t>71,30</t>
  </si>
  <si>
    <t>Зубов Владимир</t>
  </si>
  <si>
    <t>Открытая (21.12.1992)/28</t>
  </si>
  <si>
    <t xml:space="preserve">Васильев С. </t>
  </si>
  <si>
    <t>Широков Александр</t>
  </si>
  <si>
    <t>Мастера 60+ (29.06.1951)/70</t>
  </si>
  <si>
    <t>69,50</t>
  </si>
  <si>
    <t>Волков Максим</t>
  </si>
  <si>
    <t>Открытая (17.10.1973)/48</t>
  </si>
  <si>
    <t>73,0</t>
  </si>
  <si>
    <t>Пикта Владимир</t>
  </si>
  <si>
    <t>Открытая (05.10.1983)/38</t>
  </si>
  <si>
    <t>78,20</t>
  </si>
  <si>
    <t>Чураков Дмитрий</t>
  </si>
  <si>
    <t>Открытая (10.10.1982)/39</t>
  </si>
  <si>
    <t>Гернеший Андрей</t>
  </si>
  <si>
    <t>86,30</t>
  </si>
  <si>
    <t>78,0</t>
  </si>
  <si>
    <t>Курицев Денис</t>
  </si>
  <si>
    <t>Открытая (30.04.1991)/30</t>
  </si>
  <si>
    <t>83,40</t>
  </si>
  <si>
    <t>Федосов Вячеслав</t>
  </si>
  <si>
    <t>Родин Никита</t>
  </si>
  <si>
    <t>66,0</t>
  </si>
  <si>
    <t>67,0</t>
  </si>
  <si>
    <t>Новиков Максим</t>
  </si>
  <si>
    <t>Открытая (16.01.1986)/35</t>
  </si>
  <si>
    <t>95,30</t>
  </si>
  <si>
    <t>Хизриев Махтимагомед</t>
  </si>
  <si>
    <t>Открытая (10.03.1973)/48</t>
  </si>
  <si>
    <t>Степанов Павел</t>
  </si>
  <si>
    <t>Мастера 60+ (20.01.1960)/61</t>
  </si>
  <si>
    <t>97,70</t>
  </si>
  <si>
    <t>Ситник Игорь</t>
  </si>
  <si>
    <t>102,70</t>
  </si>
  <si>
    <t>Васильев Станислав</t>
  </si>
  <si>
    <t>103,10</t>
  </si>
  <si>
    <t>74,0</t>
  </si>
  <si>
    <t>78,5</t>
  </si>
  <si>
    <t>59,0411</t>
  </si>
  <si>
    <t>50,7150</t>
  </si>
  <si>
    <t>47,2785</t>
  </si>
  <si>
    <t>Шишикин Владимир</t>
  </si>
  <si>
    <t>49,20</t>
  </si>
  <si>
    <t>Тропин Г.</t>
  </si>
  <si>
    <t xml:space="preserve">Киселев С. </t>
  </si>
  <si>
    <t xml:space="preserve">Kravchenko A. </t>
  </si>
  <si>
    <t>Грахов Ю.</t>
  </si>
  <si>
    <t>Алейников П.</t>
  </si>
  <si>
    <t>Коробов И.</t>
  </si>
  <si>
    <t xml:space="preserve">Плонин В. </t>
  </si>
  <si>
    <t>Алтухов А.</t>
  </si>
  <si>
    <t>Милин И.</t>
  </si>
  <si>
    <t>Иванов Н.</t>
  </si>
  <si>
    <t>Пахомов К.</t>
  </si>
  <si>
    <t>Дмитриев Э.</t>
  </si>
  <si>
    <t>Коваленко А.</t>
  </si>
  <si>
    <t>Таранухин Г.</t>
  </si>
  <si>
    <t>Кузнецова А.</t>
  </si>
  <si>
    <t>Киселёв Д.</t>
  </si>
  <si>
    <t xml:space="preserve">Козырев О. </t>
  </si>
  <si>
    <t>Тимофеев Д.</t>
  </si>
  <si>
    <t>Румянцев С.</t>
  </si>
  <si>
    <t>Здрадовская Е.</t>
  </si>
  <si>
    <t>Весовая категория</t>
  </si>
  <si>
    <t>Чемпионат Восточной Европы
WRPF любители Пауэрлифтинг без экипировки ДК
Санкт-Петербург, 23-24 октября 2021 года</t>
  </si>
  <si>
    <t>Чемпионат Восточной Европы
WRPF любители Пауэрлифтинг без экипировки
Санкт-Петербург, 23-24 октября 2021 года</t>
  </si>
  <si>
    <t>Чемпионат Восточной Европы
WRPF любители Пауэрлифтинг классический в бинтах ДК
Санкт-Петербург, 23-24 октября 2021 года</t>
  </si>
  <si>
    <t>Чемпионат Восточной Европы
WRPF любители Пауэрлифтинг классический в бинтах
Санкт-Петербург, 23-24 октября 2021 года</t>
  </si>
  <si>
    <t>Чемпионат Восточной Европы
WRPF любители Силовое двоеборье без экипировки ДК
Санкт-Петербург, 23-24 октября 2021 года</t>
  </si>
  <si>
    <t>Чемпионат Восточной Европы
WRPF любители Силовое двоеборье без экипировки
Санкт-Петербург, 23-24 октября 2021 года</t>
  </si>
  <si>
    <t>Чемпионат Восточной Европы
WRPF любители Жим лежа без экипировки ДК
Санкт-Петербург, 23-24 октября 2021 года</t>
  </si>
  <si>
    <t>Чемпионат Восточной Европы
WRPF любители Жим лежа без экипировки
Санкт-Петербург, 23-24 октября 2021 года</t>
  </si>
  <si>
    <t>Чемпионат Восточной Европы
WEPF любители Жим лежа в однослойной экипировке ДК
Санкт-Петербург, 23-24 октября 2021 года</t>
  </si>
  <si>
    <t>Чемпионат Восточной Европы
WEPF Жим лежа в однопетельной софт экипировке ДК
Санкт-Петербург, 23-24 октября 2021 года</t>
  </si>
  <si>
    <t>Чемпионат Восточной Европы
WEPF Жим лежа в однопетельной софт экипировке
Санкт-Петербург, 23-24 октября 2021 года</t>
  </si>
  <si>
    <t>Чемпионат Восточной Европы
WEPF Жим лежа в многопетельной софт экипировке
Санкт-Петербург, 23-24 октября 2021 года</t>
  </si>
  <si>
    <t>Чемпионат Восточной Европы
WRPF Жим лежа СФО
Санкт-Петербург, 23-24 октября 2021 года</t>
  </si>
  <si>
    <t>Чемпионат Восточной Европы
WRPF любители Становая тяга без экипировки ДК
Санкт-Петербург, 23-24 октября 2021 года</t>
  </si>
  <si>
    <t>Чемпионат Восточной Европы
WRPF любители Становая тяга без экипировки
Санкт-Петербург, 23-24 октября 2021 года</t>
  </si>
  <si>
    <t>Юниоры 20-23 (24.03.1999)/22</t>
  </si>
  <si>
    <t>Девушки 13-19 (24.02.2003)/18</t>
  </si>
  <si>
    <t>Юноши 13-19 (04.06.2003)/18</t>
  </si>
  <si>
    <t>Мастера 40-49 (29.05.1975)/46</t>
  </si>
  <si>
    <t>Юноши 13-19 (15.06.2002)/19</t>
  </si>
  <si>
    <t>Юниоры 20-23 (21.02.1998)/23</t>
  </si>
  <si>
    <t>Мастера 40-49 (17.10.1973)/48</t>
  </si>
  <si>
    <t>Юноши 13-19 (28.01.2005)/16</t>
  </si>
  <si>
    <t>Мастера 40-49 (16.10.1978)/43</t>
  </si>
  <si>
    <t>Юноши 13-19 (05.02.2002)/19</t>
  </si>
  <si>
    <t>Мастера 40-49 (10.03.1973)/48</t>
  </si>
  <si>
    <t>Юноши 13-19 (22.10.2002)/19</t>
  </si>
  <si>
    <t>Юниоры 20-23 (18.11.1997)/23</t>
  </si>
  <si>
    <t>Матвеев С.</t>
  </si>
  <si>
    <t xml:space="preserve">Астахов Д. </t>
  </si>
  <si>
    <t xml:space="preserve">BLR/Витебск </t>
  </si>
  <si>
    <t>Бирюков В.</t>
  </si>
  <si>
    <t>Шишкин Д.</t>
  </si>
  <si>
    <t>Вежов М.</t>
  </si>
  <si>
    <t>Ругинов О.</t>
  </si>
  <si>
    <t>Чемпионат Восточной Европы
WRPF Строгий подъем штанги на бицепс
Санкт-Петербург, 23-24 октября 2021 года</t>
  </si>
  <si>
    <t>Жим</t>
  </si>
  <si>
    <t xml:space="preserve">Всеволожск </t>
  </si>
  <si>
    <t xml:space="preserve">Санкт-Петербург </t>
  </si>
  <si>
    <t xml:space="preserve">Сясьстрой </t>
  </si>
  <si>
    <t xml:space="preserve">Сочи </t>
  </si>
  <si>
    <t xml:space="preserve">Москва </t>
  </si>
  <si>
    <t xml:space="preserve">Выборг </t>
  </si>
  <si>
    <t xml:space="preserve">Пикалёво </t>
  </si>
  <si>
    <t xml:space="preserve">Гатчина </t>
  </si>
  <si>
    <t xml:space="preserve">Новоспасское </t>
  </si>
  <si>
    <t xml:space="preserve">Тверь </t>
  </si>
  <si>
    <t xml:space="preserve">Кириши </t>
  </si>
  <si>
    <t xml:space="preserve">Черноголовка </t>
  </si>
  <si>
    <t xml:space="preserve">Инта </t>
  </si>
  <si>
    <t xml:space="preserve">Пушкин </t>
  </si>
  <si>
    <t xml:space="preserve">Петрозаводск </t>
  </si>
  <si>
    <t xml:space="preserve">Липецк </t>
  </si>
  <si>
    <t xml:space="preserve">Кудрово </t>
  </si>
  <si>
    <t xml:space="preserve">Хасавюрт </t>
  </si>
  <si>
    <t xml:space="preserve">Почеп </t>
  </si>
  <si>
    <t xml:space="preserve">Норильск </t>
  </si>
  <si>
    <t xml:space="preserve">Тольятти </t>
  </si>
  <si>
    <t xml:space="preserve">Чита </t>
  </si>
  <si>
    <t xml:space="preserve">Феодосия </t>
  </si>
  <si>
    <t xml:space="preserve">Саянск </t>
  </si>
  <si>
    <t xml:space="preserve">Чагода </t>
  </si>
  <si>
    <t xml:space="preserve">Сосновый Бор </t>
  </si>
  <si>
    <t xml:space="preserve">Андреаполь </t>
  </si>
  <si>
    <t xml:space="preserve">Луга </t>
  </si>
  <si>
    <t xml:space="preserve">Псков </t>
  </si>
  <si>
    <t xml:space="preserve">Балей </t>
  </si>
  <si>
    <t xml:space="preserve">Новая Ладога </t>
  </si>
  <si>
    <t xml:space="preserve">Ярославль </t>
  </si>
  <si>
    <t xml:space="preserve">Тихвин </t>
  </si>
  <si>
    <t xml:space="preserve">Отрадное </t>
  </si>
  <si>
    <t xml:space="preserve">п.Тельмана </t>
  </si>
  <si>
    <t xml:space="preserve">Великие Луки </t>
  </si>
  <si>
    <t xml:space="preserve">Колпино </t>
  </si>
  <si>
    <t xml:space="preserve">Горбунки </t>
  </si>
  <si>
    <t xml:space="preserve">Североморск </t>
  </si>
  <si>
    <t xml:space="preserve">Пермь </t>
  </si>
  <si>
    <t xml:space="preserve">Тюмень </t>
  </si>
  <si>
    <t xml:space="preserve">Вольск </t>
  </si>
  <si>
    <t xml:space="preserve">Волжский </t>
  </si>
  <si>
    <t xml:space="preserve">Электросталь </t>
  </si>
  <si>
    <t xml:space="preserve">Шали </t>
  </si>
  <si>
    <t xml:space="preserve">Сланцы </t>
  </si>
  <si>
    <t xml:space="preserve">Иваново </t>
  </si>
  <si>
    <t xml:space="preserve">Архангельск </t>
  </si>
  <si>
    <t xml:space="preserve">Шарья </t>
  </si>
  <si>
    <t xml:space="preserve">Брянск </t>
  </si>
  <si>
    <t xml:space="preserve">Волгоград </t>
  </si>
  <si>
    <t xml:space="preserve">Вологда </t>
  </si>
  <si>
    <t xml:space="preserve">Долгопрудный </t>
  </si>
  <si>
    <t xml:space="preserve">Кирово-Чепецк </t>
  </si>
  <si>
    <t xml:space="preserve">Люберцы </t>
  </si>
  <si>
    <t>№</t>
  </si>
  <si>
    <t xml:space="preserve">
Дата рождения/Возраст</t>
  </si>
  <si>
    <t>Возрастная группа</t>
  </si>
  <si>
    <t>T</t>
  </si>
  <si>
    <t>O</t>
  </si>
  <si>
    <t>M1</t>
  </si>
  <si>
    <t>J</t>
  </si>
  <si>
    <t>M3</t>
  </si>
  <si>
    <t>M2</t>
  </si>
  <si>
    <t>T1</t>
  </si>
  <si>
    <t>T2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</si>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</sst>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114"/>
  <sheetViews>
    <sheetView tabSelected="1" topLeftCell="A72" zoomScaleNormal="100" workbookViewId="0">
      <selection activeCell="E97" sqref="E9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44" t="s">
        <v>1009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6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9"/>
      <c r="U4" s="41"/>
    </row>
    <row r="5" spans="1:21" ht="16">
      <c r="A5" s="42" t="s">
        <v>99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51</v>
      </c>
      <c r="B6" s="7" t="s">
        <v>242</v>
      </c>
      <c r="C6" s="7" t="s">
        <v>243</v>
      </c>
      <c r="D6" s="7" t="s">
        <v>102</v>
      </c>
      <c r="E6" s="7" t="s">
        <v>1107</v>
      </c>
      <c r="F6" s="7" t="s">
        <v>1046</v>
      </c>
      <c r="G6" s="18" t="s">
        <v>86</v>
      </c>
      <c r="H6" s="18" t="s">
        <v>68</v>
      </c>
      <c r="I6" s="18" t="s">
        <v>87</v>
      </c>
      <c r="J6" s="8"/>
      <c r="K6" s="18" t="s">
        <v>244</v>
      </c>
      <c r="L6" s="18" t="s">
        <v>127</v>
      </c>
      <c r="M6" s="18" t="s">
        <v>115</v>
      </c>
      <c r="N6" s="8"/>
      <c r="O6" s="18" t="s">
        <v>69</v>
      </c>
      <c r="P6" s="19" t="s">
        <v>61</v>
      </c>
      <c r="Q6" s="19" t="s">
        <v>61</v>
      </c>
      <c r="R6" s="8"/>
      <c r="S6" s="29" t="str">
        <f>"245,0"</f>
        <v>245,0</v>
      </c>
      <c r="T6" s="8" t="str">
        <f>"324,4780"</f>
        <v>324,4780</v>
      </c>
      <c r="U6" s="7" t="s">
        <v>94</v>
      </c>
    </row>
    <row r="7" spans="1:21">
      <c r="A7" s="10" t="s">
        <v>51</v>
      </c>
      <c r="B7" s="9" t="s">
        <v>245</v>
      </c>
      <c r="C7" s="9" t="s">
        <v>246</v>
      </c>
      <c r="D7" s="9" t="s">
        <v>247</v>
      </c>
      <c r="E7" s="9" t="s">
        <v>1105</v>
      </c>
      <c r="F7" s="9" t="s">
        <v>248</v>
      </c>
      <c r="G7" s="21" t="s">
        <v>85</v>
      </c>
      <c r="H7" s="21" t="s">
        <v>69</v>
      </c>
      <c r="I7" s="21" t="s">
        <v>57</v>
      </c>
      <c r="J7" s="10"/>
      <c r="K7" s="21" t="s">
        <v>60</v>
      </c>
      <c r="L7" s="21" t="s">
        <v>112</v>
      </c>
      <c r="M7" s="21" t="s">
        <v>68</v>
      </c>
      <c r="N7" s="10"/>
      <c r="O7" s="21" t="s">
        <v>17</v>
      </c>
      <c r="P7" s="21" t="s">
        <v>19</v>
      </c>
      <c r="Q7" s="21" t="s">
        <v>120</v>
      </c>
      <c r="R7" s="10"/>
      <c r="S7" s="30" t="str">
        <f>"345,0"</f>
        <v>345,0</v>
      </c>
      <c r="T7" s="10" t="str">
        <f>"457,6425"</f>
        <v>457,6425</v>
      </c>
      <c r="U7" s="9" t="s">
        <v>249</v>
      </c>
    </row>
    <row r="8" spans="1:21">
      <c r="B8" s="5" t="s">
        <v>52</v>
      </c>
    </row>
    <row r="9" spans="1:21" ht="16">
      <c r="A9" s="33" t="s">
        <v>53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>
      <c r="A10" s="8" t="s">
        <v>51</v>
      </c>
      <c r="B10" s="7" t="s">
        <v>250</v>
      </c>
      <c r="C10" s="7" t="s">
        <v>251</v>
      </c>
      <c r="D10" s="7" t="s">
        <v>252</v>
      </c>
      <c r="E10" s="7" t="s">
        <v>1105</v>
      </c>
      <c r="F10" s="7" t="s">
        <v>1047</v>
      </c>
      <c r="G10" s="18" t="s">
        <v>75</v>
      </c>
      <c r="H10" s="18" t="s">
        <v>103</v>
      </c>
      <c r="I10" s="19" t="s">
        <v>76</v>
      </c>
      <c r="J10" s="8"/>
      <c r="K10" s="18" t="s">
        <v>59</v>
      </c>
      <c r="L10" s="19" t="s">
        <v>60</v>
      </c>
      <c r="M10" s="19" t="s">
        <v>60</v>
      </c>
      <c r="N10" s="8"/>
      <c r="O10" s="19" t="s">
        <v>36</v>
      </c>
      <c r="P10" s="18" t="s">
        <v>36</v>
      </c>
      <c r="Q10" s="18" t="s">
        <v>17</v>
      </c>
      <c r="R10" s="8"/>
      <c r="S10" s="29" t="str">
        <f>"292,5"</f>
        <v>292,5</v>
      </c>
      <c r="T10" s="8" t="str">
        <f>"364,6305"</f>
        <v>364,6305</v>
      </c>
      <c r="U10" s="7" t="s">
        <v>94</v>
      </c>
    </row>
    <row r="11" spans="1:21">
      <c r="A11" s="25" t="s">
        <v>237</v>
      </c>
      <c r="B11" s="24" t="s">
        <v>253</v>
      </c>
      <c r="C11" s="24" t="s">
        <v>254</v>
      </c>
      <c r="D11" s="24" t="s">
        <v>255</v>
      </c>
      <c r="E11" s="24" t="s">
        <v>1105</v>
      </c>
      <c r="F11" s="24" t="s">
        <v>1047</v>
      </c>
      <c r="G11" s="26" t="s">
        <v>126</v>
      </c>
      <c r="H11" s="26" t="s">
        <v>88</v>
      </c>
      <c r="I11" s="26" t="s">
        <v>160</v>
      </c>
      <c r="J11" s="25"/>
      <c r="K11" s="26" t="s">
        <v>106</v>
      </c>
      <c r="L11" s="26" t="s">
        <v>256</v>
      </c>
      <c r="M11" s="27" t="s">
        <v>58</v>
      </c>
      <c r="N11" s="25"/>
      <c r="O11" s="26" t="s">
        <v>76</v>
      </c>
      <c r="P11" s="26" t="s">
        <v>122</v>
      </c>
      <c r="Q11" s="26" t="s">
        <v>27</v>
      </c>
      <c r="R11" s="25"/>
      <c r="S11" s="31" t="str">
        <f>"262,5"</f>
        <v>262,5</v>
      </c>
      <c r="T11" s="25" t="str">
        <f>"335,1863"</f>
        <v>335,1863</v>
      </c>
      <c r="U11" s="24"/>
    </row>
    <row r="12" spans="1:21">
      <c r="A12" s="25" t="s">
        <v>238</v>
      </c>
      <c r="B12" s="24" t="s">
        <v>257</v>
      </c>
      <c r="C12" s="24" t="s">
        <v>258</v>
      </c>
      <c r="D12" s="24" t="s">
        <v>56</v>
      </c>
      <c r="E12" s="24" t="s">
        <v>1105</v>
      </c>
      <c r="F12" s="24" t="s">
        <v>1047</v>
      </c>
      <c r="G12" s="26" t="s">
        <v>126</v>
      </c>
      <c r="H12" s="27" t="s">
        <v>88</v>
      </c>
      <c r="I12" s="27" t="s">
        <v>88</v>
      </c>
      <c r="J12" s="25"/>
      <c r="K12" s="26" t="s">
        <v>244</v>
      </c>
      <c r="L12" s="26" t="s">
        <v>115</v>
      </c>
      <c r="M12" s="27" t="s">
        <v>106</v>
      </c>
      <c r="N12" s="25"/>
      <c r="O12" s="26" t="s">
        <v>77</v>
      </c>
      <c r="P12" s="26" t="s">
        <v>142</v>
      </c>
      <c r="Q12" s="26" t="s">
        <v>67</v>
      </c>
      <c r="R12" s="25"/>
      <c r="S12" s="31" t="str">
        <f>"247,5"</f>
        <v>247,5</v>
      </c>
      <c r="T12" s="25" t="str">
        <f>"309,0037"</f>
        <v>309,0037</v>
      </c>
      <c r="U12" s="24" t="s">
        <v>259</v>
      </c>
    </row>
    <row r="13" spans="1:21">
      <c r="A13" s="25" t="s">
        <v>239</v>
      </c>
      <c r="B13" s="24" t="s">
        <v>260</v>
      </c>
      <c r="C13" s="24" t="s">
        <v>261</v>
      </c>
      <c r="D13" s="24" t="s">
        <v>252</v>
      </c>
      <c r="E13" s="24" t="s">
        <v>1105</v>
      </c>
      <c r="F13" s="24" t="s">
        <v>1047</v>
      </c>
      <c r="G13" s="26" t="s">
        <v>87</v>
      </c>
      <c r="H13" s="27" t="s">
        <v>126</v>
      </c>
      <c r="I13" s="26" t="s">
        <v>126</v>
      </c>
      <c r="J13" s="25"/>
      <c r="K13" s="26" t="s">
        <v>106</v>
      </c>
      <c r="L13" s="26" t="s">
        <v>262</v>
      </c>
      <c r="M13" s="27" t="s">
        <v>263</v>
      </c>
      <c r="N13" s="25"/>
      <c r="O13" s="26" t="s">
        <v>76</v>
      </c>
      <c r="P13" s="26" t="s">
        <v>27</v>
      </c>
      <c r="Q13" s="27" t="s">
        <v>85</v>
      </c>
      <c r="R13" s="25"/>
      <c r="S13" s="31" t="str">
        <f>"247,5"</f>
        <v>247,5</v>
      </c>
      <c r="T13" s="25" t="str">
        <f>"308,5335"</f>
        <v>308,5335</v>
      </c>
      <c r="U13" s="24" t="s">
        <v>264</v>
      </c>
    </row>
    <row r="14" spans="1:21">
      <c r="A14" s="25" t="s">
        <v>240</v>
      </c>
      <c r="B14" s="24" t="s">
        <v>265</v>
      </c>
      <c r="C14" s="24" t="s">
        <v>266</v>
      </c>
      <c r="D14" s="24" t="s">
        <v>56</v>
      </c>
      <c r="E14" s="24" t="s">
        <v>1105</v>
      </c>
      <c r="F14" s="24" t="s">
        <v>1047</v>
      </c>
      <c r="G14" s="26" t="s">
        <v>267</v>
      </c>
      <c r="H14" s="27" t="s">
        <v>60</v>
      </c>
      <c r="I14" s="27" t="s">
        <v>60</v>
      </c>
      <c r="J14" s="25"/>
      <c r="K14" s="26" t="s">
        <v>244</v>
      </c>
      <c r="L14" s="26" t="s">
        <v>127</v>
      </c>
      <c r="M14" s="27" t="s">
        <v>115</v>
      </c>
      <c r="N14" s="25"/>
      <c r="O14" s="26" t="s">
        <v>27</v>
      </c>
      <c r="P14" s="26" t="s">
        <v>67</v>
      </c>
      <c r="Q14" s="27" t="s">
        <v>57</v>
      </c>
      <c r="R14" s="25"/>
      <c r="S14" s="31" t="str">
        <f>"222,5"</f>
        <v>222,5</v>
      </c>
      <c r="T14" s="25" t="str">
        <f>"277,7912"</f>
        <v>277,7912</v>
      </c>
      <c r="U14" s="24" t="s">
        <v>128</v>
      </c>
    </row>
    <row r="15" spans="1:21">
      <c r="A15" s="10" t="s">
        <v>241</v>
      </c>
      <c r="B15" s="9" t="s">
        <v>268</v>
      </c>
      <c r="C15" s="9" t="s">
        <v>269</v>
      </c>
      <c r="D15" s="9" t="s">
        <v>270</v>
      </c>
      <c r="E15" s="9" t="s">
        <v>1105</v>
      </c>
      <c r="F15" s="9" t="s">
        <v>1048</v>
      </c>
      <c r="G15" s="21" t="s">
        <v>263</v>
      </c>
      <c r="H15" s="21" t="s">
        <v>267</v>
      </c>
      <c r="I15" s="21" t="s">
        <v>86</v>
      </c>
      <c r="J15" s="10"/>
      <c r="K15" s="21" t="s">
        <v>127</v>
      </c>
      <c r="L15" s="21" t="s">
        <v>105</v>
      </c>
      <c r="M15" s="20" t="s">
        <v>106</v>
      </c>
      <c r="N15" s="10"/>
      <c r="O15" s="20" t="s">
        <v>58</v>
      </c>
      <c r="P15" s="21" t="s">
        <v>59</v>
      </c>
      <c r="Q15" s="21" t="s">
        <v>112</v>
      </c>
      <c r="R15" s="10"/>
      <c r="S15" s="30" t="str">
        <f>"190,0"</f>
        <v>190,0</v>
      </c>
      <c r="T15" s="10" t="str">
        <f>"238,2790"</f>
        <v>238,2790</v>
      </c>
      <c r="U15" s="9" t="s">
        <v>271</v>
      </c>
    </row>
    <row r="16" spans="1:21">
      <c r="B16" s="5" t="s">
        <v>52</v>
      </c>
    </row>
    <row r="17" spans="1:21" ht="16">
      <c r="A17" s="33" t="s">
        <v>108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21">
      <c r="A18" s="12" t="s">
        <v>51</v>
      </c>
      <c r="B18" s="11" t="s">
        <v>272</v>
      </c>
      <c r="C18" s="11" t="s">
        <v>273</v>
      </c>
      <c r="D18" s="11" t="s">
        <v>274</v>
      </c>
      <c r="E18" s="11" t="s">
        <v>1105</v>
      </c>
      <c r="F18" s="11" t="s">
        <v>1047</v>
      </c>
      <c r="G18" s="22" t="s">
        <v>77</v>
      </c>
      <c r="H18" s="22" t="s">
        <v>122</v>
      </c>
      <c r="I18" s="23" t="s">
        <v>27</v>
      </c>
      <c r="J18" s="12"/>
      <c r="K18" s="22" t="s">
        <v>267</v>
      </c>
      <c r="L18" s="22" t="s">
        <v>60</v>
      </c>
      <c r="M18" s="22" t="s">
        <v>112</v>
      </c>
      <c r="N18" s="12"/>
      <c r="O18" s="22" t="s">
        <v>18</v>
      </c>
      <c r="P18" s="22" t="s">
        <v>73</v>
      </c>
      <c r="Q18" s="22" t="s">
        <v>74</v>
      </c>
      <c r="R18" s="12"/>
      <c r="S18" s="32" t="str">
        <f>"335,0"</f>
        <v>335,0</v>
      </c>
      <c r="T18" s="12" t="str">
        <f>"402,6365"</f>
        <v>402,6365</v>
      </c>
      <c r="U18" s="11" t="s">
        <v>275</v>
      </c>
    </row>
    <row r="19" spans="1:21">
      <c r="B19" s="5" t="s">
        <v>52</v>
      </c>
    </row>
    <row r="20" spans="1:21" ht="16">
      <c r="A20" s="33" t="s">
        <v>116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21">
      <c r="A21" s="8" t="s">
        <v>51</v>
      </c>
      <c r="B21" s="7" t="s">
        <v>276</v>
      </c>
      <c r="C21" s="7" t="s">
        <v>277</v>
      </c>
      <c r="D21" s="7" t="s">
        <v>278</v>
      </c>
      <c r="E21" s="7" t="s">
        <v>1107</v>
      </c>
      <c r="F21" s="7" t="s">
        <v>1047</v>
      </c>
      <c r="G21" s="18" t="s">
        <v>85</v>
      </c>
      <c r="H21" s="18" t="s">
        <v>57</v>
      </c>
      <c r="I21" s="18" t="s">
        <v>17</v>
      </c>
      <c r="J21" s="8"/>
      <c r="K21" s="18" t="s">
        <v>60</v>
      </c>
      <c r="L21" s="18" t="s">
        <v>86</v>
      </c>
      <c r="M21" s="18" t="s">
        <v>112</v>
      </c>
      <c r="N21" s="8"/>
      <c r="O21" s="18" t="s">
        <v>279</v>
      </c>
      <c r="P21" s="18" t="s">
        <v>210</v>
      </c>
      <c r="Q21" s="18" t="s">
        <v>211</v>
      </c>
      <c r="R21" s="8"/>
      <c r="S21" s="29" t="str">
        <f>"370,0"</f>
        <v>370,0</v>
      </c>
      <c r="T21" s="8" t="str">
        <f>"425,2780"</f>
        <v>425,2780</v>
      </c>
      <c r="U21" s="7" t="s">
        <v>280</v>
      </c>
    </row>
    <row r="22" spans="1:21">
      <c r="A22" s="25" t="s">
        <v>237</v>
      </c>
      <c r="B22" s="24" t="s">
        <v>281</v>
      </c>
      <c r="C22" s="24" t="s">
        <v>282</v>
      </c>
      <c r="D22" s="24" t="s">
        <v>283</v>
      </c>
      <c r="E22" s="24" t="s">
        <v>1107</v>
      </c>
      <c r="F22" s="24" t="s">
        <v>1047</v>
      </c>
      <c r="G22" s="26" t="s">
        <v>59</v>
      </c>
      <c r="H22" s="26" t="s">
        <v>68</v>
      </c>
      <c r="I22" s="26" t="s">
        <v>126</v>
      </c>
      <c r="J22" s="25"/>
      <c r="K22" s="26" t="s">
        <v>106</v>
      </c>
      <c r="L22" s="26" t="s">
        <v>263</v>
      </c>
      <c r="M22" s="27" t="s">
        <v>58</v>
      </c>
      <c r="N22" s="25"/>
      <c r="O22" s="26" t="s">
        <v>77</v>
      </c>
      <c r="P22" s="26" t="s">
        <v>85</v>
      </c>
      <c r="Q22" s="26" t="s">
        <v>69</v>
      </c>
      <c r="R22" s="25"/>
      <c r="S22" s="31" t="str">
        <f>"260,0"</f>
        <v>260,0</v>
      </c>
      <c r="T22" s="25" t="str">
        <f>"305,0580"</f>
        <v>305,0580</v>
      </c>
      <c r="U22" s="24" t="s">
        <v>284</v>
      </c>
    </row>
    <row r="23" spans="1:21">
      <c r="A23" s="25" t="s">
        <v>51</v>
      </c>
      <c r="B23" s="24" t="s">
        <v>285</v>
      </c>
      <c r="C23" s="24" t="s">
        <v>286</v>
      </c>
      <c r="D23" s="24" t="s">
        <v>287</v>
      </c>
      <c r="E23" s="24" t="s">
        <v>1105</v>
      </c>
      <c r="F23" s="24" t="s">
        <v>1047</v>
      </c>
      <c r="G23" s="26" t="s">
        <v>76</v>
      </c>
      <c r="H23" s="26" t="s">
        <v>85</v>
      </c>
      <c r="I23" s="26" t="s">
        <v>69</v>
      </c>
      <c r="J23" s="25"/>
      <c r="K23" s="26" t="s">
        <v>87</v>
      </c>
      <c r="L23" s="26" t="s">
        <v>126</v>
      </c>
      <c r="M23" s="27" t="s">
        <v>288</v>
      </c>
      <c r="N23" s="25"/>
      <c r="O23" s="26" t="s">
        <v>28</v>
      </c>
      <c r="P23" s="26" t="s">
        <v>210</v>
      </c>
      <c r="Q23" s="26" t="s">
        <v>79</v>
      </c>
      <c r="R23" s="25"/>
      <c r="S23" s="31" t="str">
        <f>"375,0"</f>
        <v>375,0</v>
      </c>
      <c r="T23" s="25" t="str">
        <f>"418,6125"</f>
        <v>418,6125</v>
      </c>
      <c r="U23" s="24" t="s">
        <v>289</v>
      </c>
    </row>
    <row r="24" spans="1:21">
      <c r="A24" s="25" t="s">
        <v>237</v>
      </c>
      <c r="B24" s="24" t="s">
        <v>276</v>
      </c>
      <c r="C24" s="24" t="s">
        <v>290</v>
      </c>
      <c r="D24" s="24" t="s">
        <v>278</v>
      </c>
      <c r="E24" s="24" t="s">
        <v>1105</v>
      </c>
      <c r="F24" s="24" t="s">
        <v>1047</v>
      </c>
      <c r="G24" s="26" t="s">
        <v>85</v>
      </c>
      <c r="H24" s="26" t="s">
        <v>57</v>
      </c>
      <c r="I24" s="26" t="s">
        <v>17</v>
      </c>
      <c r="J24" s="25"/>
      <c r="K24" s="26" t="s">
        <v>60</v>
      </c>
      <c r="L24" s="26" t="s">
        <v>86</v>
      </c>
      <c r="M24" s="26" t="s">
        <v>112</v>
      </c>
      <c r="N24" s="25"/>
      <c r="O24" s="26" t="s">
        <v>279</v>
      </c>
      <c r="P24" s="26" t="s">
        <v>210</v>
      </c>
      <c r="Q24" s="26" t="s">
        <v>211</v>
      </c>
      <c r="R24" s="25"/>
      <c r="S24" s="31" t="str">
        <f>"370,0"</f>
        <v>370,0</v>
      </c>
      <c r="T24" s="25" t="str">
        <f>"425,2780"</f>
        <v>425,2780</v>
      </c>
      <c r="U24" s="24" t="s">
        <v>280</v>
      </c>
    </row>
    <row r="25" spans="1:21">
      <c r="A25" s="25" t="s">
        <v>238</v>
      </c>
      <c r="B25" s="24" t="s">
        <v>291</v>
      </c>
      <c r="C25" s="24" t="s">
        <v>292</v>
      </c>
      <c r="D25" s="24" t="s">
        <v>293</v>
      </c>
      <c r="E25" s="24" t="s">
        <v>1105</v>
      </c>
      <c r="F25" s="24" t="s">
        <v>1046</v>
      </c>
      <c r="G25" s="26" t="s">
        <v>160</v>
      </c>
      <c r="H25" s="26" t="s">
        <v>104</v>
      </c>
      <c r="I25" s="27" t="s">
        <v>77</v>
      </c>
      <c r="J25" s="25"/>
      <c r="K25" s="26" t="s">
        <v>263</v>
      </c>
      <c r="L25" s="26" t="s">
        <v>58</v>
      </c>
      <c r="M25" s="26" t="s">
        <v>59</v>
      </c>
      <c r="N25" s="25"/>
      <c r="O25" s="26" t="s">
        <v>36</v>
      </c>
      <c r="P25" s="26" t="s">
        <v>18</v>
      </c>
      <c r="Q25" s="26" t="s">
        <v>28</v>
      </c>
      <c r="R25" s="25"/>
      <c r="S25" s="31" t="str">
        <f>"312,5"</f>
        <v>312,5</v>
      </c>
      <c r="T25" s="25" t="str">
        <f>"353,9063"</f>
        <v>353,9063</v>
      </c>
      <c r="U25" s="24" t="s">
        <v>94</v>
      </c>
    </row>
    <row r="26" spans="1:21">
      <c r="A26" s="25" t="s">
        <v>239</v>
      </c>
      <c r="B26" s="24" t="s">
        <v>294</v>
      </c>
      <c r="C26" s="24" t="s">
        <v>295</v>
      </c>
      <c r="D26" s="24" t="s">
        <v>296</v>
      </c>
      <c r="E26" s="24" t="s">
        <v>1105</v>
      </c>
      <c r="F26" s="24" t="s">
        <v>1047</v>
      </c>
      <c r="G26" s="26" t="s">
        <v>75</v>
      </c>
      <c r="H26" s="26" t="s">
        <v>103</v>
      </c>
      <c r="I26" s="27" t="s">
        <v>76</v>
      </c>
      <c r="J26" s="25"/>
      <c r="K26" s="26" t="s">
        <v>58</v>
      </c>
      <c r="L26" s="27" t="s">
        <v>267</v>
      </c>
      <c r="M26" s="27" t="s">
        <v>267</v>
      </c>
      <c r="N26" s="25"/>
      <c r="O26" s="26" t="s">
        <v>18</v>
      </c>
      <c r="P26" s="26" t="s">
        <v>19</v>
      </c>
      <c r="Q26" s="26" t="s">
        <v>28</v>
      </c>
      <c r="R26" s="25"/>
      <c r="S26" s="31" t="str">
        <f>"302,5"</f>
        <v>302,5</v>
      </c>
      <c r="T26" s="25" t="str">
        <f>"341,6738"</f>
        <v>341,6738</v>
      </c>
      <c r="U26" s="24" t="s">
        <v>297</v>
      </c>
    </row>
    <row r="27" spans="1:21">
      <c r="A27" s="25" t="s">
        <v>240</v>
      </c>
      <c r="B27" s="24" t="s">
        <v>298</v>
      </c>
      <c r="C27" s="24" t="s">
        <v>299</v>
      </c>
      <c r="D27" s="24" t="s">
        <v>300</v>
      </c>
      <c r="E27" s="24" t="s">
        <v>1105</v>
      </c>
      <c r="F27" s="24" t="s">
        <v>1049</v>
      </c>
      <c r="G27" s="27" t="s">
        <v>88</v>
      </c>
      <c r="H27" s="26" t="s">
        <v>160</v>
      </c>
      <c r="I27" s="26" t="s">
        <v>103</v>
      </c>
      <c r="J27" s="25"/>
      <c r="K27" s="26" t="s">
        <v>244</v>
      </c>
      <c r="L27" s="26" t="s">
        <v>127</v>
      </c>
      <c r="M27" s="27" t="s">
        <v>115</v>
      </c>
      <c r="N27" s="25"/>
      <c r="O27" s="27" t="s">
        <v>27</v>
      </c>
      <c r="P27" s="26" t="s">
        <v>27</v>
      </c>
      <c r="Q27" s="27" t="s">
        <v>69</v>
      </c>
      <c r="R27" s="25"/>
      <c r="S27" s="31" t="str">
        <f>"250,0"</f>
        <v>250,0</v>
      </c>
      <c r="T27" s="25" t="str">
        <f>"292,5250"</f>
        <v>292,5250</v>
      </c>
      <c r="U27" s="24" t="s">
        <v>301</v>
      </c>
    </row>
    <row r="28" spans="1:21">
      <c r="A28" s="25" t="s">
        <v>241</v>
      </c>
      <c r="B28" s="24" t="s">
        <v>302</v>
      </c>
      <c r="C28" s="24" t="s">
        <v>303</v>
      </c>
      <c r="D28" s="24" t="s">
        <v>304</v>
      </c>
      <c r="E28" s="24" t="s">
        <v>1105</v>
      </c>
      <c r="F28" s="24" t="s">
        <v>1047</v>
      </c>
      <c r="G28" s="26" t="s">
        <v>106</v>
      </c>
      <c r="H28" s="26" t="s">
        <v>58</v>
      </c>
      <c r="I28" s="27" t="s">
        <v>59</v>
      </c>
      <c r="J28" s="25"/>
      <c r="K28" s="26" t="s">
        <v>305</v>
      </c>
      <c r="L28" s="27" t="s">
        <v>306</v>
      </c>
      <c r="M28" s="27" t="s">
        <v>306</v>
      </c>
      <c r="N28" s="25"/>
      <c r="O28" s="26" t="s">
        <v>86</v>
      </c>
      <c r="P28" s="27" t="s">
        <v>87</v>
      </c>
      <c r="Q28" s="25"/>
      <c r="R28" s="25"/>
      <c r="S28" s="31" t="str">
        <f>"160,0"</f>
        <v>160,0</v>
      </c>
      <c r="T28" s="25" t="str">
        <f>"179,0720"</f>
        <v>179,0720</v>
      </c>
      <c r="U28" s="24" t="s">
        <v>307</v>
      </c>
    </row>
    <row r="29" spans="1:21">
      <c r="A29" s="10" t="s">
        <v>470</v>
      </c>
      <c r="B29" s="9" t="s">
        <v>308</v>
      </c>
      <c r="C29" s="9" t="s">
        <v>309</v>
      </c>
      <c r="D29" s="9" t="s">
        <v>119</v>
      </c>
      <c r="E29" s="9" t="s">
        <v>1105</v>
      </c>
      <c r="F29" s="9" t="s">
        <v>1047</v>
      </c>
      <c r="G29" s="20" t="s">
        <v>85</v>
      </c>
      <c r="H29" s="20" t="s">
        <v>69</v>
      </c>
      <c r="I29" s="20" t="s">
        <v>69</v>
      </c>
      <c r="J29" s="10"/>
      <c r="K29" s="20"/>
      <c r="L29" s="10"/>
      <c r="M29" s="10"/>
      <c r="N29" s="10"/>
      <c r="O29" s="20"/>
      <c r="P29" s="10"/>
      <c r="Q29" s="10"/>
      <c r="R29" s="10"/>
      <c r="S29" s="30">
        <v>0</v>
      </c>
      <c r="T29" s="10" t="str">
        <f>"0,0000"</f>
        <v>0,0000</v>
      </c>
      <c r="U29" s="9"/>
    </row>
    <row r="30" spans="1:21">
      <c r="B30" s="5" t="s">
        <v>52</v>
      </c>
    </row>
    <row r="31" spans="1:21" ht="16">
      <c r="A31" s="33" t="s">
        <v>310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21">
      <c r="A32" s="8" t="s">
        <v>51</v>
      </c>
      <c r="B32" s="7" t="s">
        <v>311</v>
      </c>
      <c r="C32" s="7" t="s">
        <v>312</v>
      </c>
      <c r="D32" s="7" t="s">
        <v>313</v>
      </c>
      <c r="E32" s="7" t="s">
        <v>1110</v>
      </c>
      <c r="F32" s="7" t="s">
        <v>1050</v>
      </c>
      <c r="G32" s="18" t="s">
        <v>76</v>
      </c>
      <c r="H32" s="18" t="s">
        <v>77</v>
      </c>
      <c r="I32" s="18" t="s">
        <v>27</v>
      </c>
      <c r="J32" s="8"/>
      <c r="K32" s="18" t="s">
        <v>263</v>
      </c>
      <c r="L32" s="18" t="s">
        <v>58</v>
      </c>
      <c r="M32" s="19" t="s">
        <v>267</v>
      </c>
      <c r="N32" s="8"/>
      <c r="O32" s="18" t="s">
        <v>77</v>
      </c>
      <c r="P32" s="19" t="s">
        <v>27</v>
      </c>
      <c r="Q32" s="19" t="s">
        <v>27</v>
      </c>
      <c r="R32" s="8"/>
      <c r="S32" s="29" t="str">
        <f>"275,0"</f>
        <v>275,0</v>
      </c>
      <c r="T32" s="8" t="str">
        <f>"286,8800"</f>
        <v>286,8800</v>
      </c>
      <c r="U32" s="7" t="s">
        <v>314</v>
      </c>
    </row>
    <row r="33" spans="1:21">
      <c r="A33" s="25" t="s">
        <v>51</v>
      </c>
      <c r="B33" s="24" t="s">
        <v>315</v>
      </c>
      <c r="C33" s="24" t="s">
        <v>316</v>
      </c>
      <c r="D33" s="24" t="s">
        <v>317</v>
      </c>
      <c r="E33" s="24" t="s">
        <v>1111</v>
      </c>
      <c r="F33" s="24" t="s">
        <v>1051</v>
      </c>
      <c r="G33" s="26" t="s">
        <v>88</v>
      </c>
      <c r="H33" s="26" t="s">
        <v>76</v>
      </c>
      <c r="I33" s="27" t="s">
        <v>27</v>
      </c>
      <c r="J33" s="25"/>
      <c r="K33" s="26" t="s">
        <v>256</v>
      </c>
      <c r="L33" s="26" t="s">
        <v>267</v>
      </c>
      <c r="M33" s="27" t="s">
        <v>59</v>
      </c>
      <c r="N33" s="25"/>
      <c r="O33" s="26" t="s">
        <v>69</v>
      </c>
      <c r="P33" s="26" t="s">
        <v>17</v>
      </c>
      <c r="Q33" s="27" t="s">
        <v>19</v>
      </c>
      <c r="R33" s="25"/>
      <c r="S33" s="31" t="str">
        <f>"292,5"</f>
        <v>292,5</v>
      </c>
      <c r="T33" s="25" t="str">
        <f>"304,1123"</f>
        <v>304,1123</v>
      </c>
      <c r="U33" s="24" t="s">
        <v>206</v>
      </c>
    </row>
    <row r="34" spans="1:21">
      <c r="A34" s="25" t="s">
        <v>51</v>
      </c>
      <c r="B34" s="24" t="s">
        <v>318</v>
      </c>
      <c r="C34" s="24" t="s">
        <v>319</v>
      </c>
      <c r="D34" s="24" t="s">
        <v>320</v>
      </c>
      <c r="E34" s="24" t="s">
        <v>1107</v>
      </c>
      <c r="F34" s="24" t="s">
        <v>1047</v>
      </c>
      <c r="G34" s="26" t="s">
        <v>76</v>
      </c>
      <c r="H34" s="27" t="s">
        <v>27</v>
      </c>
      <c r="I34" s="27" t="s">
        <v>27</v>
      </c>
      <c r="J34" s="25"/>
      <c r="K34" s="26" t="s">
        <v>86</v>
      </c>
      <c r="L34" s="27" t="s">
        <v>68</v>
      </c>
      <c r="M34" s="27" t="s">
        <v>68</v>
      </c>
      <c r="N34" s="25"/>
      <c r="O34" s="26" t="s">
        <v>27</v>
      </c>
      <c r="P34" s="26" t="s">
        <v>85</v>
      </c>
      <c r="Q34" s="26" t="s">
        <v>69</v>
      </c>
      <c r="R34" s="25"/>
      <c r="S34" s="31" t="str">
        <f>"290,0"</f>
        <v>290,0</v>
      </c>
      <c r="T34" s="25" t="str">
        <f>"314,0990"</f>
        <v>314,0990</v>
      </c>
      <c r="U34" s="24"/>
    </row>
    <row r="35" spans="1:21">
      <c r="A35" s="25" t="s">
        <v>51</v>
      </c>
      <c r="B35" s="24" t="s">
        <v>321</v>
      </c>
      <c r="C35" s="24" t="s">
        <v>322</v>
      </c>
      <c r="D35" s="24" t="s">
        <v>323</v>
      </c>
      <c r="E35" s="24" t="s">
        <v>1105</v>
      </c>
      <c r="F35" s="24" t="s">
        <v>1047</v>
      </c>
      <c r="G35" s="26" t="s">
        <v>69</v>
      </c>
      <c r="H35" s="26" t="s">
        <v>36</v>
      </c>
      <c r="I35" s="27" t="s">
        <v>17</v>
      </c>
      <c r="J35" s="25"/>
      <c r="K35" s="26" t="s">
        <v>58</v>
      </c>
      <c r="L35" s="26" t="s">
        <v>60</v>
      </c>
      <c r="M35" s="27" t="s">
        <v>86</v>
      </c>
      <c r="N35" s="25"/>
      <c r="O35" s="26" t="s">
        <v>19</v>
      </c>
      <c r="P35" s="27" t="s">
        <v>37</v>
      </c>
      <c r="Q35" s="26" t="s">
        <v>37</v>
      </c>
      <c r="R35" s="25"/>
      <c r="S35" s="31" t="str">
        <f>"342,5"</f>
        <v>342,5</v>
      </c>
      <c r="T35" s="25" t="str">
        <f>"352,5695"</f>
        <v>352,5695</v>
      </c>
      <c r="U35" s="24"/>
    </row>
    <row r="36" spans="1:21">
      <c r="A36" s="25" t="s">
        <v>237</v>
      </c>
      <c r="B36" s="24" t="s">
        <v>324</v>
      </c>
      <c r="C36" s="24" t="s">
        <v>325</v>
      </c>
      <c r="D36" s="24" t="s">
        <v>326</v>
      </c>
      <c r="E36" s="24" t="s">
        <v>1105</v>
      </c>
      <c r="F36" s="24" t="s">
        <v>1047</v>
      </c>
      <c r="G36" s="26" t="s">
        <v>88</v>
      </c>
      <c r="H36" s="26" t="s">
        <v>160</v>
      </c>
      <c r="I36" s="27" t="s">
        <v>103</v>
      </c>
      <c r="J36" s="25"/>
      <c r="K36" s="26" t="s">
        <v>58</v>
      </c>
      <c r="L36" s="26" t="s">
        <v>267</v>
      </c>
      <c r="M36" s="26" t="s">
        <v>59</v>
      </c>
      <c r="N36" s="25"/>
      <c r="O36" s="26" t="s">
        <v>36</v>
      </c>
      <c r="P36" s="27" t="s">
        <v>17</v>
      </c>
      <c r="Q36" s="27" t="s">
        <v>17</v>
      </c>
      <c r="R36" s="25"/>
      <c r="S36" s="31" t="str">
        <f>"285,0"</f>
        <v>285,0</v>
      </c>
      <c r="T36" s="25" t="str">
        <f>"300,0195"</f>
        <v>300,0195</v>
      </c>
      <c r="U36" s="24" t="s">
        <v>1037</v>
      </c>
    </row>
    <row r="37" spans="1:21">
      <c r="A37" s="25" t="s">
        <v>238</v>
      </c>
      <c r="B37" s="24" t="s">
        <v>311</v>
      </c>
      <c r="C37" s="24" t="s">
        <v>327</v>
      </c>
      <c r="D37" s="24" t="s">
        <v>313</v>
      </c>
      <c r="E37" s="24" t="s">
        <v>1105</v>
      </c>
      <c r="F37" s="24" t="s">
        <v>1050</v>
      </c>
      <c r="G37" s="26" t="s">
        <v>76</v>
      </c>
      <c r="H37" s="26" t="s">
        <v>77</v>
      </c>
      <c r="I37" s="26" t="s">
        <v>27</v>
      </c>
      <c r="J37" s="25"/>
      <c r="K37" s="26" t="s">
        <v>263</v>
      </c>
      <c r="L37" s="26" t="s">
        <v>58</v>
      </c>
      <c r="M37" s="27" t="s">
        <v>267</v>
      </c>
      <c r="N37" s="25"/>
      <c r="O37" s="26" t="s">
        <v>77</v>
      </c>
      <c r="P37" s="27" t="s">
        <v>27</v>
      </c>
      <c r="Q37" s="27" t="s">
        <v>27</v>
      </c>
      <c r="R37" s="25"/>
      <c r="S37" s="31" t="str">
        <f>"275,0"</f>
        <v>275,0</v>
      </c>
      <c r="T37" s="25" t="str">
        <f>"286,8800"</f>
        <v>286,8800</v>
      </c>
      <c r="U37" s="24" t="s">
        <v>314</v>
      </c>
    </row>
    <row r="38" spans="1:21">
      <c r="A38" s="25" t="s">
        <v>239</v>
      </c>
      <c r="B38" s="24" t="s">
        <v>328</v>
      </c>
      <c r="C38" s="24" t="s">
        <v>329</v>
      </c>
      <c r="D38" s="24" t="s">
        <v>330</v>
      </c>
      <c r="E38" s="24" t="s">
        <v>1105</v>
      </c>
      <c r="F38" s="24" t="s">
        <v>1047</v>
      </c>
      <c r="G38" s="26" t="s">
        <v>126</v>
      </c>
      <c r="H38" s="26" t="s">
        <v>103</v>
      </c>
      <c r="I38" s="26" t="s">
        <v>77</v>
      </c>
      <c r="J38" s="25"/>
      <c r="K38" s="26" t="s">
        <v>105</v>
      </c>
      <c r="L38" s="26" t="s">
        <v>106</v>
      </c>
      <c r="M38" s="25"/>
      <c r="N38" s="25"/>
      <c r="O38" s="26" t="s">
        <v>77</v>
      </c>
      <c r="P38" s="26" t="s">
        <v>85</v>
      </c>
      <c r="Q38" s="26" t="s">
        <v>69</v>
      </c>
      <c r="R38" s="25"/>
      <c r="S38" s="31" t="str">
        <f>"275,0"</f>
        <v>275,0</v>
      </c>
      <c r="T38" s="25" t="str">
        <f>"286,5500"</f>
        <v>286,5500</v>
      </c>
      <c r="U38" s="24" t="s">
        <v>280</v>
      </c>
    </row>
    <row r="39" spans="1:21">
      <c r="A39" s="10" t="s">
        <v>51</v>
      </c>
      <c r="B39" s="9" t="s">
        <v>331</v>
      </c>
      <c r="C39" s="9" t="s">
        <v>332</v>
      </c>
      <c r="D39" s="9" t="s">
        <v>333</v>
      </c>
      <c r="E39" s="9" t="s">
        <v>1106</v>
      </c>
      <c r="F39" s="9" t="s">
        <v>1047</v>
      </c>
      <c r="G39" s="20" t="s">
        <v>59</v>
      </c>
      <c r="H39" s="21" t="s">
        <v>59</v>
      </c>
      <c r="I39" s="21" t="s">
        <v>60</v>
      </c>
      <c r="J39" s="10"/>
      <c r="K39" s="21" t="s">
        <v>105</v>
      </c>
      <c r="L39" s="20" t="s">
        <v>106</v>
      </c>
      <c r="M39" s="20" t="s">
        <v>106</v>
      </c>
      <c r="N39" s="10"/>
      <c r="O39" s="21" t="s">
        <v>126</v>
      </c>
      <c r="P39" s="21" t="s">
        <v>160</v>
      </c>
      <c r="Q39" s="20" t="s">
        <v>76</v>
      </c>
      <c r="R39" s="10"/>
      <c r="S39" s="30" t="str">
        <f>"210,0"</f>
        <v>210,0</v>
      </c>
      <c r="T39" s="10" t="str">
        <f>"225,4445"</f>
        <v>225,4445</v>
      </c>
      <c r="U39" s="9" t="s">
        <v>334</v>
      </c>
    </row>
    <row r="40" spans="1:21">
      <c r="B40" s="5" t="s">
        <v>52</v>
      </c>
    </row>
    <row r="41" spans="1:21" ht="16">
      <c r="A41" s="33" t="s">
        <v>63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21">
      <c r="A42" s="12" t="s">
        <v>51</v>
      </c>
      <c r="B42" s="11" t="s">
        <v>335</v>
      </c>
      <c r="C42" s="11" t="s">
        <v>336</v>
      </c>
      <c r="D42" s="11" t="s">
        <v>337</v>
      </c>
      <c r="E42" s="11" t="s">
        <v>1105</v>
      </c>
      <c r="F42" s="11" t="s">
        <v>1047</v>
      </c>
      <c r="G42" s="22" t="s">
        <v>76</v>
      </c>
      <c r="H42" s="22" t="s">
        <v>77</v>
      </c>
      <c r="I42" s="22" t="s">
        <v>27</v>
      </c>
      <c r="J42" s="12"/>
      <c r="K42" s="22" t="s">
        <v>58</v>
      </c>
      <c r="L42" s="22" t="s">
        <v>59</v>
      </c>
      <c r="M42" s="23" t="s">
        <v>60</v>
      </c>
      <c r="N42" s="12"/>
      <c r="O42" s="22" t="s">
        <v>19</v>
      </c>
      <c r="P42" s="22" t="s">
        <v>37</v>
      </c>
      <c r="Q42" s="22" t="s">
        <v>74</v>
      </c>
      <c r="R42" s="12"/>
      <c r="S42" s="32" t="str">
        <f>"330,0"</f>
        <v>330,0</v>
      </c>
      <c r="T42" s="12" t="str">
        <f>"315,8430"</f>
        <v>315,8430</v>
      </c>
      <c r="U42" s="11" t="s">
        <v>94</v>
      </c>
    </row>
    <row r="43" spans="1:21">
      <c r="B43" s="5" t="s">
        <v>52</v>
      </c>
    </row>
    <row r="44" spans="1:21" ht="16">
      <c r="A44" s="33" t="s">
        <v>53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1">
      <c r="A45" s="12" t="s">
        <v>51</v>
      </c>
      <c r="B45" s="11" t="s">
        <v>338</v>
      </c>
      <c r="C45" s="11" t="s">
        <v>339</v>
      </c>
      <c r="D45" s="11" t="s">
        <v>252</v>
      </c>
      <c r="E45" s="11" t="s">
        <v>1111</v>
      </c>
      <c r="F45" s="11" t="s">
        <v>1051</v>
      </c>
      <c r="G45" s="22" t="s">
        <v>113</v>
      </c>
      <c r="H45" s="23" t="s">
        <v>88</v>
      </c>
      <c r="I45" s="22" t="s">
        <v>88</v>
      </c>
      <c r="J45" s="12"/>
      <c r="K45" s="22" t="s">
        <v>58</v>
      </c>
      <c r="L45" s="23" t="s">
        <v>60</v>
      </c>
      <c r="M45" s="22" t="s">
        <v>60</v>
      </c>
      <c r="N45" s="12"/>
      <c r="O45" s="22" t="s">
        <v>77</v>
      </c>
      <c r="P45" s="22" t="s">
        <v>67</v>
      </c>
      <c r="Q45" s="22" t="s">
        <v>18</v>
      </c>
      <c r="R45" s="12"/>
      <c r="S45" s="32" t="str">
        <f>"292,5"</f>
        <v>292,5</v>
      </c>
      <c r="T45" s="12" t="str">
        <f>"287,0302"</f>
        <v>287,0302</v>
      </c>
      <c r="U45" s="11" t="s">
        <v>340</v>
      </c>
    </row>
    <row r="46" spans="1:21">
      <c r="B46" s="5" t="s">
        <v>52</v>
      </c>
    </row>
    <row r="47" spans="1:21" ht="16">
      <c r="A47" s="33" t="s">
        <v>108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21">
      <c r="A48" s="12" t="s">
        <v>51</v>
      </c>
      <c r="B48" s="11" t="s">
        <v>341</v>
      </c>
      <c r="C48" s="11" t="s">
        <v>342</v>
      </c>
      <c r="D48" s="11" t="s">
        <v>343</v>
      </c>
      <c r="E48" s="11" t="s">
        <v>1110</v>
      </c>
      <c r="F48" s="11" t="s">
        <v>1052</v>
      </c>
      <c r="G48" s="22" t="s">
        <v>76</v>
      </c>
      <c r="H48" s="22" t="s">
        <v>77</v>
      </c>
      <c r="I48" s="22" t="s">
        <v>27</v>
      </c>
      <c r="J48" s="12"/>
      <c r="K48" s="22" t="s">
        <v>58</v>
      </c>
      <c r="L48" s="22" t="s">
        <v>59</v>
      </c>
      <c r="M48" s="22" t="s">
        <v>60</v>
      </c>
      <c r="N48" s="12"/>
      <c r="O48" s="22" t="s">
        <v>142</v>
      </c>
      <c r="P48" s="22" t="s">
        <v>69</v>
      </c>
      <c r="Q48" s="22" t="s">
        <v>17</v>
      </c>
      <c r="R48" s="12"/>
      <c r="S48" s="32" t="str">
        <f>"307,5"</f>
        <v>307,5</v>
      </c>
      <c r="T48" s="12" t="str">
        <f>"285,9750"</f>
        <v>285,9750</v>
      </c>
      <c r="U48" s="11" t="s">
        <v>344</v>
      </c>
    </row>
    <row r="49" spans="1:21">
      <c r="B49" s="5" t="s">
        <v>52</v>
      </c>
    </row>
    <row r="50" spans="1:21" ht="16">
      <c r="A50" s="33" t="s">
        <v>310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21">
      <c r="A51" s="12" t="s">
        <v>51</v>
      </c>
      <c r="B51" s="11" t="s">
        <v>345</v>
      </c>
      <c r="C51" s="11" t="s">
        <v>346</v>
      </c>
      <c r="D51" s="11" t="s">
        <v>347</v>
      </c>
      <c r="E51" s="11" t="s">
        <v>1105</v>
      </c>
      <c r="F51" s="11" t="s">
        <v>1047</v>
      </c>
      <c r="G51" s="23" t="s">
        <v>69</v>
      </c>
      <c r="H51" s="22" t="s">
        <v>69</v>
      </c>
      <c r="I51" s="22" t="s">
        <v>17</v>
      </c>
      <c r="J51" s="12"/>
      <c r="K51" s="22" t="s">
        <v>68</v>
      </c>
      <c r="L51" s="22" t="s">
        <v>87</v>
      </c>
      <c r="M51" s="22" t="s">
        <v>126</v>
      </c>
      <c r="N51" s="12"/>
      <c r="O51" s="22" t="s">
        <v>17</v>
      </c>
      <c r="P51" s="23" t="s">
        <v>19</v>
      </c>
      <c r="Q51" s="22" t="s">
        <v>19</v>
      </c>
      <c r="R51" s="12"/>
      <c r="S51" s="32" t="str">
        <f>"355,0"</f>
        <v>355,0</v>
      </c>
      <c r="T51" s="12" t="str">
        <f>"289,1120"</f>
        <v>289,1120</v>
      </c>
      <c r="U51" s="11"/>
    </row>
    <row r="52" spans="1:21">
      <c r="B52" s="5" t="s">
        <v>52</v>
      </c>
    </row>
    <row r="53" spans="1:21" ht="16">
      <c r="A53" s="33" t="s">
        <v>63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21">
      <c r="A54" s="8" t="s">
        <v>51</v>
      </c>
      <c r="B54" s="7" t="s">
        <v>348</v>
      </c>
      <c r="C54" s="7" t="s">
        <v>349</v>
      </c>
      <c r="D54" s="7" t="s">
        <v>350</v>
      </c>
      <c r="E54" s="7" t="s">
        <v>1107</v>
      </c>
      <c r="F54" s="7" t="s">
        <v>1053</v>
      </c>
      <c r="G54" s="18" t="s">
        <v>78</v>
      </c>
      <c r="H54" s="18" t="s">
        <v>79</v>
      </c>
      <c r="I54" s="18" t="s">
        <v>133</v>
      </c>
      <c r="J54" s="8"/>
      <c r="K54" s="18" t="s">
        <v>77</v>
      </c>
      <c r="L54" s="18" t="s">
        <v>85</v>
      </c>
      <c r="M54" s="18" t="s">
        <v>69</v>
      </c>
      <c r="N54" s="8"/>
      <c r="O54" s="18" t="s">
        <v>80</v>
      </c>
      <c r="P54" s="18" t="s">
        <v>140</v>
      </c>
      <c r="Q54" s="18" t="s">
        <v>38</v>
      </c>
      <c r="R54" s="8"/>
      <c r="S54" s="29" t="str">
        <f>"500,0"</f>
        <v>500,0</v>
      </c>
      <c r="T54" s="8" t="str">
        <f>"363,5500"</f>
        <v>363,5500</v>
      </c>
      <c r="U54" s="7" t="s">
        <v>351</v>
      </c>
    </row>
    <row r="55" spans="1:21">
      <c r="A55" s="25" t="s">
        <v>51</v>
      </c>
      <c r="B55" s="24" t="s">
        <v>352</v>
      </c>
      <c r="C55" s="24" t="s">
        <v>353</v>
      </c>
      <c r="D55" s="24" t="s">
        <v>354</v>
      </c>
      <c r="E55" s="24" t="s">
        <v>1105</v>
      </c>
      <c r="F55" s="24" t="s">
        <v>1050</v>
      </c>
      <c r="G55" s="26" t="s">
        <v>18</v>
      </c>
      <c r="H55" s="26" t="s">
        <v>28</v>
      </c>
      <c r="I55" s="26" t="s">
        <v>74</v>
      </c>
      <c r="J55" s="25"/>
      <c r="K55" s="26" t="s">
        <v>85</v>
      </c>
      <c r="L55" s="26" t="s">
        <v>69</v>
      </c>
      <c r="M55" s="26" t="s">
        <v>36</v>
      </c>
      <c r="N55" s="25"/>
      <c r="O55" s="26" t="s">
        <v>78</v>
      </c>
      <c r="P55" s="26" t="s">
        <v>133</v>
      </c>
      <c r="Q55" s="26" t="s">
        <v>80</v>
      </c>
      <c r="R55" s="25"/>
      <c r="S55" s="31" t="str">
        <f>"460,0"</f>
        <v>460,0</v>
      </c>
      <c r="T55" s="25" t="str">
        <f>"350,9800"</f>
        <v>350,9800</v>
      </c>
      <c r="U55" s="24" t="s">
        <v>355</v>
      </c>
    </row>
    <row r="56" spans="1:21">
      <c r="A56" s="10" t="s">
        <v>237</v>
      </c>
      <c r="B56" s="9" t="s">
        <v>356</v>
      </c>
      <c r="C56" s="9" t="s">
        <v>357</v>
      </c>
      <c r="D56" s="9" t="s">
        <v>358</v>
      </c>
      <c r="E56" s="9" t="s">
        <v>1105</v>
      </c>
      <c r="F56" s="9" t="s">
        <v>1050</v>
      </c>
      <c r="G56" s="21" t="s">
        <v>36</v>
      </c>
      <c r="H56" s="21" t="s">
        <v>19</v>
      </c>
      <c r="I56" s="21" t="s">
        <v>74</v>
      </c>
      <c r="J56" s="10"/>
      <c r="K56" s="21" t="s">
        <v>104</v>
      </c>
      <c r="L56" s="21" t="s">
        <v>27</v>
      </c>
      <c r="M56" s="21" t="s">
        <v>85</v>
      </c>
      <c r="N56" s="10"/>
      <c r="O56" s="21" t="s">
        <v>19</v>
      </c>
      <c r="P56" s="21" t="s">
        <v>74</v>
      </c>
      <c r="Q56" s="20" t="s">
        <v>79</v>
      </c>
      <c r="R56" s="10"/>
      <c r="S56" s="30" t="str">
        <f>"425,0"</f>
        <v>425,0</v>
      </c>
      <c r="T56" s="10" t="str">
        <f>"315,7750"</f>
        <v>315,7750</v>
      </c>
      <c r="U56" s="9" t="s">
        <v>355</v>
      </c>
    </row>
    <row r="57" spans="1:21">
      <c r="B57" s="5" t="s">
        <v>52</v>
      </c>
    </row>
    <row r="58" spans="1:21" ht="16">
      <c r="A58" s="33" t="s">
        <v>10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21">
      <c r="A59" s="8" t="s">
        <v>51</v>
      </c>
      <c r="B59" s="7" t="s">
        <v>359</v>
      </c>
      <c r="C59" s="7" t="s">
        <v>360</v>
      </c>
      <c r="D59" s="7" t="s">
        <v>361</v>
      </c>
      <c r="E59" s="7" t="s">
        <v>1107</v>
      </c>
      <c r="F59" s="7" t="s">
        <v>1047</v>
      </c>
      <c r="G59" s="18" t="s">
        <v>19</v>
      </c>
      <c r="H59" s="18" t="s">
        <v>37</v>
      </c>
      <c r="I59" s="19" t="s">
        <v>78</v>
      </c>
      <c r="J59" s="8"/>
      <c r="K59" s="18" t="s">
        <v>76</v>
      </c>
      <c r="L59" s="19" t="s">
        <v>122</v>
      </c>
      <c r="M59" s="19" t="s">
        <v>122</v>
      </c>
      <c r="N59" s="8"/>
      <c r="O59" s="18" t="s">
        <v>78</v>
      </c>
      <c r="P59" s="18" t="s">
        <v>79</v>
      </c>
      <c r="Q59" s="19" t="s">
        <v>133</v>
      </c>
      <c r="R59" s="8"/>
      <c r="S59" s="29" t="str">
        <f>"420,0"</f>
        <v>420,0</v>
      </c>
      <c r="T59" s="8" t="str">
        <f>"283,4580"</f>
        <v>283,4580</v>
      </c>
      <c r="U59" s="7" t="s">
        <v>390</v>
      </c>
    </row>
    <row r="60" spans="1:21">
      <c r="A60" s="25" t="s">
        <v>51</v>
      </c>
      <c r="B60" s="24" t="s">
        <v>362</v>
      </c>
      <c r="C60" s="24" t="s">
        <v>363</v>
      </c>
      <c r="D60" s="24" t="s">
        <v>145</v>
      </c>
      <c r="E60" s="24" t="s">
        <v>1105</v>
      </c>
      <c r="F60" s="24" t="s">
        <v>1051</v>
      </c>
      <c r="G60" s="26" t="s">
        <v>364</v>
      </c>
      <c r="H60" s="26" t="s">
        <v>80</v>
      </c>
      <c r="I60" s="26" t="s">
        <v>189</v>
      </c>
      <c r="J60" s="25"/>
      <c r="K60" s="26" t="s">
        <v>73</v>
      </c>
      <c r="L60" s="26" t="s">
        <v>74</v>
      </c>
      <c r="M60" s="27" t="s">
        <v>78</v>
      </c>
      <c r="N60" s="25"/>
      <c r="O60" s="26" t="s">
        <v>14</v>
      </c>
      <c r="P60" s="27" t="s">
        <v>365</v>
      </c>
      <c r="Q60" s="25"/>
      <c r="R60" s="25"/>
      <c r="S60" s="31" t="str">
        <f>"560,0"</f>
        <v>560,0</v>
      </c>
      <c r="T60" s="25" t="str">
        <f>"376,5440"</f>
        <v>376,5440</v>
      </c>
      <c r="U60" s="24" t="s">
        <v>366</v>
      </c>
    </row>
    <row r="61" spans="1:21">
      <c r="A61" s="25" t="s">
        <v>237</v>
      </c>
      <c r="B61" s="24" t="s">
        <v>367</v>
      </c>
      <c r="C61" s="24" t="s">
        <v>368</v>
      </c>
      <c r="D61" s="24" t="s">
        <v>369</v>
      </c>
      <c r="E61" s="24" t="s">
        <v>1105</v>
      </c>
      <c r="F61" s="24" t="s">
        <v>1047</v>
      </c>
      <c r="G61" s="26" t="s">
        <v>133</v>
      </c>
      <c r="H61" s="26" t="s">
        <v>189</v>
      </c>
      <c r="I61" s="26" t="s">
        <v>370</v>
      </c>
      <c r="J61" s="25"/>
      <c r="K61" s="26" t="s">
        <v>37</v>
      </c>
      <c r="L61" s="26" t="s">
        <v>74</v>
      </c>
      <c r="M61" s="26" t="s">
        <v>78</v>
      </c>
      <c r="N61" s="25"/>
      <c r="O61" s="26" t="s">
        <v>140</v>
      </c>
      <c r="P61" s="26" t="s">
        <v>38</v>
      </c>
      <c r="Q61" s="27" t="s">
        <v>26</v>
      </c>
      <c r="R61" s="25"/>
      <c r="S61" s="31" t="str">
        <f>"557,5"</f>
        <v>557,5</v>
      </c>
      <c r="T61" s="25" t="str">
        <f>"375,1418"</f>
        <v>375,1418</v>
      </c>
      <c r="U61" s="24"/>
    </row>
    <row r="62" spans="1:21">
      <c r="A62" s="25" t="s">
        <v>238</v>
      </c>
      <c r="B62" s="24" t="s">
        <v>371</v>
      </c>
      <c r="C62" s="24" t="s">
        <v>372</v>
      </c>
      <c r="D62" s="24" t="s">
        <v>373</v>
      </c>
      <c r="E62" s="24" t="s">
        <v>1105</v>
      </c>
      <c r="F62" s="24" t="s">
        <v>1054</v>
      </c>
      <c r="G62" s="26" t="s">
        <v>78</v>
      </c>
      <c r="H62" s="26" t="s">
        <v>79</v>
      </c>
      <c r="I62" s="25"/>
      <c r="J62" s="25"/>
      <c r="K62" s="26" t="s">
        <v>36</v>
      </c>
      <c r="L62" s="26" t="s">
        <v>17</v>
      </c>
      <c r="M62" s="26" t="s">
        <v>18</v>
      </c>
      <c r="N62" s="25"/>
      <c r="O62" s="26" t="s">
        <v>150</v>
      </c>
      <c r="P62" s="26" t="s">
        <v>155</v>
      </c>
      <c r="Q62" s="25"/>
      <c r="R62" s="25"/>
      <c r="S62" s="31" t="str">
        <f>"505,0"</f>
        <v>505,0</v>
      </c>
      <c r="T62" s="25" t="str">
        <f>"342,6425"</f>
        <v>342,6425</v>
      </c>
      <c r="U62" s="24"/>
    </row>
    <row r="63" spans="1:21">
      <c r="A63" s="25" t="s">
        <v>239</v>
      </c>
      <c r="B63" s="24" t="s">
        <v>374</v>
      </c>
      <c r="C63" s="24" t="s">
        <v>375</v>
      </c>
      <c r="D63" s="24" t="s">
        <v>376</v>
      </c>
      <c r="E63" s="24" t="s">
        <v>1105</v>
      </c>
      <c r="F63" s="24" t="s">
        <v>1047</v>
      </c>
      <c r="G63" s="26" t="s">
        <v>78</v>
      </c>
      <c r="H63" s="26" t="s">
        <v>185</v>
      </c>
      <c r="I63" s="27" t="s">
        <v>134</v>
      </c>
      <c r="J63" s="25"/>
      <c r="K63" s="26" t="s">
        <v>67</v>
      </c>
      <c r="L63" s="26" t="s">
        <v>36</v>
      </c>
      <c r="M63" s="26" t="s">
        <v>17</v>
      </c>
      <c r="N63" s="25"/>
      <c r="O63" s="26" t="s">
        <v>134</v>
      </c>
      <c r="P63" s="26" t="s">
        <v>150</v>
      </c>
      <c r="Q63" s="26" t="s">
        <v>155</v>
      </c>
      <c r="R63" s="25"/>
      <c r="S63" s="31" t="str">
        <f>"502,5"</f>
        <v>502,5</v>
      </c>
      <c r="T63" s="25" t="str">
        <f>"339,3885"</f>
        <v>339,3885</v>
      </c>
      <c r="U63" s="24" t="s">
        <v>62</v>
      </c>
    </row>
    <row r="64" spans="1:21">
      <c r="A64" s="25" t="s">
        <v>240</v>
      </c>
      <c r="B64" s="24" t="s">
        <v>377</v>
      </c>
      <c r="C64" s="24" t="s">
        <v>378</v>
      </c>
      <c r="D64" s="24" t="s">
        <v>379</v>
      </c>
      <c r="E64" s="24" t="s">
        <v>1105</v>
      </c>
      <c r="F64" s="24" t="s">
        <v>1050</v>
      </c>
      <c r="G64" s="26" t="s">
        <v>37</v>
      </c>
      <c r="H64" s="26" t="s">
        <v>78</v>
      </c>
      <c r="I64" s="27" t="s">
        <v>364</v>
      </c>
      <c r="J64" s="25"/>
      <c r="K64" s="26" t="s">
        <v>27</v>
      </c>
      <c r="L64" s="26" t="s">
        <v>69</v>
      </c>
      <c r="M64" s="26" t="s">
        <v>36</v>
      </c>
      <c r="N64" s="25"/>
      <c r="O64" s="26" t="s">
        <v>80</v>
      </c>
      <c r="P64" s="26" t="s">
        <v>150</v>
      </c>
      <c r="Q64" s="27" t="s">
        <v>140</v>
      </c>
      <c r="R64" s="25"/>
      <c r="S64" s="31" t="str">
        <f>"475,0"</f>
        <v>475,0</v>
      </c>
      <c r="T64" s="25" t="str">
        <f>"326,8950"</f>
        <v>326,8950</v>
      </c>
      <c r="U64" s="24" t="s">
        <v>355</v>
      </c>
    </row>
    <row r="65" spans="1:21">
      <c r="A65" s="10" t="s">
        <v>241</v>
      </c>
      <c r="B65" s="9" t="s">
        <v>380</v>
      </c>
      <c r="C65" s="9" t="s">
        <v>381</v>
      </c>
      <c r="D65" s="9" t="s">
        <v>382</v>
      </c>
      <c r="E65" s="9" t="s">
        <v>1105</v>
      </c>
      <c r="F65" s="9" t="s">
        <v>1055</v>
      </c>
      <c r="G65" s="21" t="s">
        <v>364</v>
      </c>
      <c r="H65" s="20" t="s">
        <v>133</v>
      </c>
      <c r="I65" s="20" t="s">
        <v>178</v>
      </c>
      <c r="J65" s="10"/>
      <c r="K65" s="21" t="s">
        <v>76</v>
      </c>
      <c r="L65" s="21" t="s">
        <v>77</v>
      </c>
      <c r="M65" s="21" t="s">
        <v>122</v>
      </c>
      <c r="N65" s="10"/>
      <c r="O65" s="21" t="s">
        <v>189</v>
      </c>
      <c r="P65" s="20" t="s">
        <v>140</v>
      </c>
      <c r="Q65" s="20" t="s">
        <v>38</v>
      </c>
      <c r="R65" s="10"/>
      <c r="S65" s="30" t="str">
        <f>"457,5"</f>
        <v>457,5</v>
      </c>
      <c r="T65" s="10" t="str">
        <f>"308,3093"</f>
        <v>308,3093</v>
      </c>
      <c r="U65" s="9"/>
    </row>
    <row r="66" spans="1:21">
      <c r="B66" s="5" t="s">
        <v>52</v>
      </c>
    </row>
    <row r="67" spans="1:21" ht="16">
      <c r="A67" s="33" t="s">
        <v>151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21">
      <c r="A68" s="8" t="s">
        <v>51</v>
      </c>
      <c r="B68" s="7" t="s">
        <v>383</v>
      </c>
      <c r="C68" s="7" t="s">
        <v>384</v>
      </c>
      <c r="D68" s="7" t="s">
        <v>385</v>
      </c>
      <c r="E68" s="7" t="s">
        <v>1107</v>
      </c>
      <c r="F68" s="7" t="s">
        <v>1056</v>
      </c>
      <c r="G68" s="19" t="s">
        <v>38</v>
      </c>
      <c r="H68" s="18" t="s">
        <v>38</v>
      </c>
      <c r="I68" s="18" t="s">
        <v>20</v>
      </c>
      <c r="J68" s="8"/>
      <c r="K68" s="18" t="s">
        <v>28</v>
      </c>
      <c r="L68" s="18" t="s">
        <v>279</v>
      </c>
      <c r="M68" s="19" t="s">
        <v>78</v>
      </c>
      <c r="N68" s="8"/>
      <c r="O68" s="18" t="s">
        <v>146</v>
      </c>
      <c r="P68" s="18" t="s">
        <v>34</v>
      </c>
      <c r="Q68" s="18" t="s">
        <v>35</v>
      </c>
      <c r="R68" s="8"/>
      <c r="S68" s="29" t="str">
        <f>"632,5"</f>
        <v>632,5</v>
      </c>
      <c r="T68" s="8" t="str">
        <f>"406,1282"</f>
        <v>406,1282</v>
      </c>
      <c r="U68" s="7"/>
    </row>
    <row r="69" spans="1:21">
      <c r="A69" s="25" t="s">
        <v>470</v>
      </c>
      <c r="B69" s="24" t="s">
        <v>386</v>
      </c>
      <c r="C69" s="24" t="s">
        <v>387</v>
      </c>
      <c r="D69" s="24" t="s">
        <v>388</v>
      </c>
      <c r="E69" s="24" t="s">
        <v>1107</v>
      </c>
      <c r="F69" s="24" t="s">
        <v>1047</v>
      </c>
      <c r="G69" s="26" t="s">
        <v>80</v>
      </c>
      <c r="H69" s="26" t="s">
        <v>150</v>
      </c>
      <c r="I69" s="27" t="s">
        <v>389</v>
      </c>
      <c r="J69" s="25"/>
      <c r="K69" s="26" t="s">
        <v>67</v>
      </c>
      <c r="L69" s="27" t="s">
        <v>36</v>
      </c>
      <c r="M69" s="27" t="s">
        <v>36</v>
      </c>
      <c r="N69" s="25"/>
      <c r="O69" s="27" t="s">
        <v>140</v>
      </c>
      <c r="P69" s="27" t="s">
        <v>140</v>
      </c>
      <c r="Q69" s="27" t="s">
        <v>140</v>
      </c>
      <c r="R69" s="25"/>
      <c r="S69" s="31">
        <v>0</v>
      </c>
      <c r="T69" s="25" t="str">
        <f>"0,0000"</f>
        <v>0,0000</v>
      </c>
      <c r="U69" s="24" t="s">
        <v>390</v>
      </c>
    </row>
    <row r="70" spans="1:21">
      <c r="A70" s="25" t="s">
        <v>51</v>
      </c>
      <c r="B70" s="24" t="s">
        <v>391</v>
      </c>
      <c r="C70" s="24" t="s">
        <v>392</v>
      </c>
      <c r="D70" s="24" t="s">
        <v>393</v>
      </c>
      <c r="E70" s="24" t="s">
        <v>1105</v>
      </c>
      <c r="F70" s="24" t="s">
        <v>1057</v>
      </c>
      <c r="G70" s="26" t="s">
        <v>15</v>
      </c>
      <c r="H70" s="26" t="s">
        <v>16</v>
      </c>
      <c r="I70" s="26" t="s">
        <v>197</v>
      </c>
      <c r="J70" s="25"/>
      <c r="K70" s="26" t="s">
        <v>37</v>
      </c>
      <c r="L70" s="27" t="s">
        <v>78</v>
      </c>
      <c r="M70" s="26" t="s">
        <v>78</v>
      </c>
      <c r="N70" s="25"/>
      <c r="O70" s="26" t="s">
        <v>22</v>
      </c>
      <c r="P70" s="26" t="s">
        <v>146</v>
      </c>
      <c r="Q70" s="27" t="s">
        <v>197</v>
      </c>
      <c r="R70" s="25"/>
      <c r="S70" s="31" t="str">
        <f>"650,0"</f>
        <v>650,0</v>
      </c>
      <c r="T70" s="25" t="str">
        <f>"416,1300"</f>
        <v>416,1300</v>
      </c>
      <c r="U70" s="24" t="s">
        <v>394</v>
      </c>
    </row>
    <row r="71" spans="1:21">
      <c r="A71" s="25" t="s">
        <v>237</v>
      </c>
      <c r="B71" s="24" t="s">
        <v>395</v>
      </c>
      <c r="C71" s="24" t="s">
        <v>396</v>
      </c>
      <c r="D71" s="24" t="s">
        <v>397</v>
      </c>
      <c r="E71" s="24" t="s">
        <v>1105</v>
      </c>
      <c r="F71" s="24" t="s">
        <v>1047</v>
      </c>
      <c r="G71" s="27" t="s">
        <v>80</v>
      </c>
      <c r="H71" s="26" t="s">
        <v>80</v>
      </c>
      <c r="I71" s="26" t="s">
        <v>150</v>
      </c>
      <c r="J71" s="25"/>
      <c r="K71" s="26" t="s">
        <v>36</v>
      </c>
      <c r="L71" s="26" t="s">
        <v>17</v>
      </c>
      <c r="M71" s="27" t="s">
        <v>18</v>
      </c>
      <c r="N71" s="25"/>
      <c r="O71" s="26" t="s">
        <v>20</v>
      </c>
      <c r="P71" s="26" t="s">
        <v>209</v>
      </c>
      <c r="Q71" s="26" t="s">
        <v>15</v>
      </c>
      <c r="R71" s="25"/>
      <c r="S71" s="31" t="str">
        <f>"555,0"</f>
        <v>555,0</v>
      </c>
      <c r="T71" s="25" t="str">
        <f>"358,2525"</f>
        <v>358,2525</v>
      </c>
      <c r="U71" s="24" t="s">
        <v>94</v>
      </c>
    </row>
    <row r="72" spans="1:21">
      <c r="A72" s="25" t="s">
        <v>238</v>
      </c>
      <c r="B72" s="24" t="s">
        <v>398</v>
      </c>
      <c r="C72" s="24" t="s">
        <v>399</v>
      </c>
      <c r="D72" s="24" t="s">
        <v>393</v>
      </c>
      <c r="E72" s="24" t="s">
        <v>1105</v>
      </c>
      <c r="F72" s="24" t="s">
        <v>1047</v>
      </c>
      <c r="G72" s="27" t="s">
        <v>79</v>
      </c>
      <c r="H72" s="26" t="s">
        <v>79</v>
      </c>
      <c r="I72" s="26" t="s">
        <v>80</v>
      </c>
      <c r="J72" s="25"/>
      <c r="K72" s="26" t="s">
        <v>36</v>
      </c>
      <c r="L72" s="26" t="s">
        <v>18</v>
      </c>
      <c r="M72" s="27" t="s">
        <v>28</v>
      </c>
      <c r="N72" s="25"/>
      <c r="O72" s="26" t="s">
        <v>14</v>
      </c>
      <c r="P72" s="26" t="s">
        <v>22</v>
      </c>
      <c r="Q72" s="26" t="s">
        <v>15</v>
      </c>
      <c r="R72" s="25"/>
      <c r="S72" s="31" t="str">
        <f>"550,0"</f>
        <v>550,0</v>
      </c>
      <c r="T72" s="25" t="str">
        <f>"352,1100"</f>
        <v>352,1100</v>
      </c>
      <c r="U72" s="24"/>
    </row>
    <row r="73" spans="1:21">
      <c r="A73" s="25" t="s">
        <v>239</v>
      </c>
      <c r="B73" s="24" t="s">
        <v>400</v>
      </c>
      <c r="C73" s="24" t="s">
        <v>401</v>
      </c>
      <c r="D73" s="24" t="s">
        <v>402</v>
      </c>
      <c r="E73" s="24" t="s">
        <v>1105</v>
      </c>
      <c r="F73" s="24" t="s">
        <v>1058</v>
      </c>
      <c r="G73" s="27" t="s">
        <v>150</v>
      </c>
      <c r="H73" s="26" t="s">
        <v>150</v>
      </c>
      <c r="I73" s="27" t="s">
        <v>155</v>
      </c>
      <c r="J73" s="25"/>
      <c r="K73" s="26" t="s">
        <v>36</v>
      </c>
      <c r="L73" s="27" t="s">
        <v>17</v>
      </c>
      <c r="M73" s="26" t="s">
        <v>17</v>
      </c>
      <c r="N73" s="25"/>
      <c r="O73" s="26" t="s">
        <v>150</v>
      </c>
      <c r="P73" s="26" t="s">
        <v>38</v>
      </c>
      <c r="Q73" s="26" t="s">
        <v>135</v>
      </c>
      <c r="R73" s="25"/>
      <c r="S73" s="31" t="str">
        <f>"537,5"</f>
        <v>537,5</v>
      </c>
      <c r="T73" s="25" t="str">
        <f>"344,5375"</f>
        <v>344,5375</v>
      </c>
      <c r="U73" s="24" t="s">
        <v>403</v>
      </c>
    </row>
    <row r="74" spans="1:21">
      <c r="A74" s="25" t="s">
        <v>240</v>
      </c>
      <c r="B74" s="24" t="s">
        <v>404</v>
      </c>
      <c r="C74" s="24" t="s">
        <v>405</v>
      </c>
      <c r="D74" s="24" t="s">
        <v>406</v>
      </c>
      <c r="E74" s="24" t="s">
        <v>1105</v>
      </c>
      <c r="F74" s="24" t="s">
        <v>1047</v>
      </c>
      <c r="G74" s="26" t="s">
        <v>133</v>
      </c>
      <c r="H74" s="26" t="s">
        <v>150</v>
      </c>
      <c r="I74" s="27" t="s">
        <v>155</v>
      </c>
      <c r="J74" s="25"/>
      <c r="K74" s="26" t="s">
        <v>36</v>
      </c>
      <c r="L74" s="26" t="s">
        <v>18</v>
      </c>
      <c r="M74" s="26" t="s">
        <v>19</v>
      </c>
      <c r="N74" s="25"/>
      <c r="O74" s="26" t="s">
        <v>140</v>
      </c>
      <c r="P74" s="26" t="s">
        <v>141</v>
      </c>
      <c r="Q74" s="27" t="s">
        <v>135</v>
      </c>
      <c r="R74" s="25"/>
      <c r="S74" s="31" t="str">
        <f>"537,5"</f>
        <v>537,5</v>
      </c>
      <c r="T74" s="25" t="str">
        <f>"343,1400"</f>
        <v>343,1400</v>
      </c>
      <c r="U74" s="24"/>
    </row>
    <row r="75" spans="1:21">
      <c r="A75" s="25" t="s">
        <v>241</v>
      </c>
      <c r="B75" s="24" t="s">
        <v>407</v>
      </c>
      <c r="C75" s="24" t="s">
        <v>408</v>
      </c>
      <c r="D75" s="24" t="s">
        <v>409</v>
      </c>
      <c r="E75" s="24" t="s">
        <v>1105</v>
      </c>
      <c r="F75" s="24" t="s">
        <v>1050</v>
      </c>
      <c r="G75" s="26" t="s">
        <v>80</v>
      </c>
      <c r="H75" s="26" t="s">
        <v>150</v>
      </c>
      <c r="I75" s="27" t="s">
        <v>155</v>
      </c>
      <c r="J75" s="25"/>
      <c r="K75" s="26" t="s">
        <v>69</v>
      </c>
      <c r="L75" s="26" t="s">
        <v>17</v>
      </c>
      <c r="M75" s="26" t="s">
        <v>161</v>
      </c>
      <c r="N75" s="25"/>
      <c r="O75" s="26" t="s">
        <v>79</v>
      </c>
      <c r="P75" s="26" t="s">
        <v>189</v>
      </c>
      <c r="Q75" s="26" t="s">
        <v>155</v>
      </c>
      <c r="R75" s="25"/>
      <c r="S75" s="31" t="str">
        <f>"527,5"</f>
        <v>527,5</v>
      </c>
      <c r="T75" s="25" t="str">
        <f>"341,7672"</f>
        <v>341,7672</v>
      </c>
      <c r="U75" s="24" t="s">
        <v>355</v>
      </c>
    </row>
    <row r="76" spans="1:21">
      <c r="A76" s="25" t="s">
        <v>471</v>
      </c>
      <c r="B76" s="24" t="s">
        <v>410</v>
      </c>
      <c r="C76" s="24" t="s">
        <v>411</v>
      </c>
      <c r="D76" s="24" t="s">
        <v>412</v>
      </c>
      <c r="E76" s="24" t="s">
        <v>1105</v>
      </c>
      <c r="F76" s="24" t="s">
        <v>1047</v>
      </c>
      <c r="G76" s="26" t="s">
        <v>364</v>
      </c>
      <c r="H76" s="26" t="s">
        <v>133</v>
      </c>
      <c r="I76" s="26" t="s">
        <v>80</v>
      </c>
      <c r="J76" s="25"/>
      <c r="K76" s="26" t="s">
        <v>18</v>
      </c>
      <c r="L76" s="27" t="s">
        <v>19</v>
      </c>
      <c r="M76" s="27" t="s">
        <v>19</v>
      </c>
      <c r="N76" s="25"/>
      <c r="O76" s="26" t="s">
        <v>38</v>
      </c>
      <c r="P76" s="27" t="s">
        <v>193</v>
      </c>
      <c r="Q76" s="27" t="s">
        <v>193</v>
      </c>
      <c r="R76" s="25"/>
      <c r="S76" s="31" t="str">
        <f>"520,0"</f>
        <v>520,0</v>
      </c>
      <c r="T76" s="25" t="str">
        <f>"335,2440"</f>
        <v>335,2440</v>
      </c>
      <c r="U76" s="24" t="s">
        <v>94</v>
      </c>
    </row>
    <row r="77" spans="1:21">
      <c r="A77" s="25" t="s">
        <v>51</v>
      </c>
      <c r="B77" s="24" t="s">
        <v>413</v>
      </c>
      <c r="C77" s="24" t="s">
        <v>414</v>
      </c>
      <c r="D77" s="24" t="s">
        <v>415</v>
      </c>
      <c r="E77" s="24" t="s">
        <v>1106</v>
      </c>
      <c r="F77" s="24" t="s">
        <v>1047</v>
      </c>
      <c r="G77" s="26" t="s">
        <v>78</v>
      </c>
      <c r="H77" s="26" t="s">
        <v>79</v>
      </c>
      <c r="I77" s="27" t="s">
        <v>80</v>
      </c>
      <c r="J77" s="25"/>
      <c r="K77" s="26" t="s">
        <v>85</v>
      </c>
      <c r="L77" s="26" t="s">
        <v>57</v>
      </c>
      <c r="M77" s="27" t="s">
        <v>17</v>
      </c>
      <c r="N77" s="25"/>
      <c r="O77" s="26" t="s">
        <v>140</v>
      </c>
      <c r="P77" s="26" t="s">
        <v>38</v>
      </c>
      <c r="Q77" s="27" t="s">
        <v>20</v>
      </c>
      <c r="R77" s="25"/>
      <c r="S77" s="31" t="str">
        <f>"497,5"</f>
        <v>497,5</v>
      </c>
      <c r="T77" s="25" t="str">
        <f>"332,1738"</f>
        <v>332,1738</v>
      </c>
      <c r="U77" s="24"/>
    </row>
    <row r="78" spans="1:21">
      <c r="A78" s="25" t="s">
        <v>51</v>
      </c>
      <c r="B78" s="24" t="s">
        <v>391</v>
      </c>
      <c r="C78" s="24" t="s">
        <v>416</v>
      </c>
      <c r="D78" s="24" t="s">
        <v>393</v>
      </c>
      <c r="E78" s="24" t="s">
        <v>1109</v>
      </c>
      <c r="F78" s="24" t="s">
        <v>1057</v>
      </c>
      <c r="G78" s="26" t="s">
        <v>15</v>
      </c>
      <c r="H78" s="26" t="s">
        <v>16</v>
      </c>
      <c r="I78" s="26" t="s">
        <v>197</v>
      </c>
      <c r="J78" s="25"/>
      <c r="K78" s="26" t="s">
        <v>37</v>
      </c>
      <c r="L78" s="27" t="s">
        <v>78</v>
      </c>
      <c r="M78" s="26" t="s">
        <v>78</v>
      </c>
      <c r="N78" s="25"/>
      <c r="O78" s="26" t="s">
        <v>22</v>
      </c>
      <c r="P78" s="26" t="s">
        <v>146</v>
      </c>
      <c r="Q78" s="27" t="s">
        <v>197</v>
      </c>
      <c r="R78" s="25"/>
      <c r="S78" s="31" t="str">
        <f>"650,0"</f>
        <v>650,0</v>
      </c>
      <c r="T78" s="25" t="str">
        <f>"539,7206"</f>
        <v>539,7206</v>
      </c>
      <c r="U78" s="24" t="s">
        <v>394</v>
      </c>
    </row>
    <row r="79" spans="1:21">
      <c r="A79" s="10" t="s">
        <v>470</v>
      </c>
      <c r="B79" s="9" t="s">
        <v>417</v>
      </c>
      <c r="C79" s="9" t="s">
        <v>418</v>
      </c>
      <c r="D79" s="9" t="s">
        <v>419</v>
      </c>
      <c r="E79" s="9" t="s">
        <v>1108</v>
      </c>
      <c r="F79" s="9" t="s">
        <v>1059</v>
      </c>
      <c r="G79" s="20" t="s">
        <v>78</v>
      </c>
      <c r="H79" s="20" t="s">
        <v>78</v>
      </c>
      <c r="I79" s="20" t="s">
        <v>78</v>
      </c>
      <c r="J79" s="10"/>
      <c r="K79" s="20"/>
      <c r="L79" s="10"/>
      <c r="M79" s="10"/>
      <c r="N79" s="10"/>
      <c r="O79" s="20"/>
      <c r="P79" s="10"/>
      <c r="Q79" s="10"/>
      <c r="R79" s="10"/>
      <c r="S79" s="30">
        <v>0</v>
      </c>
      <c r="T79" s="10" t="str">
        <f>"0,0000"</f>
        <v>0,0000</v>
      </c>
      <c r="U79" s="9"/>
    </row>
    <row r="80" spans="1:21">
      <c r="B80" s="5" t="s">
        <v>52</v>
      </c>
    </row>
    <row r="81" spans="1:21" ht="16">
      <c r="A81" s="33" t="s">
        <v>81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21">
      <c r="A82" s="8" t="s">
        <v>51</v>
      </c>
      <c r="B82" s="7" t="s">
        <v>420</v>
      </c>
      <c r="C82" s="7" t="s">
        <v>421</v>
      </c>
      <c r="D82" s="7" t="s">
        <v>422</v>
      </c>
      <c r="E82" s="7" t="s">
        <v>1110</v>
      </c>
      <c r="F82" s="7" t="s">
        <v>1060</v>
      </c>
      <c r="G82" s="18" t="s">
        <v>88</v>
      </c>
      <c r="H82" s="18" t="s">
        <v>76</v>
      </c>
      <c r="I82" s="18" t="s">
        <v>27</v>
      </c>
      <c r="J82" s="8"/>
      <c r="K82" s="18" t="s">
        <v>86</v>
      </c>
      <c r="L82" s="18" t="s">
        <v>68</v>
      </c>
      <c r="M82" s="19" t="s">
        <v>113</v>
      </c>
      <c r="N82" s="8"/>
      <c r="O82" s="18" t="s">
        <v>76</v>
      </c>
      <c r="P82" s="18" t="s">
        <v>122</v>
      </c>
      <c r="Q82" s="18" t="s">
        <v>142</v>
      </c>
      <c r="R82" s="8"/>
      <c r="S82" s="29" t="str">
        <f>"297,5"</f>
        <v>297,5</v>
      </c>
      <c r="T82" s="8" t="str">
        <f>"187,4548"</f>
        <v>187,4548</v>
      </c>
      <c r="U82" s="7" t="s">
        <v>423</v>
      </c>
    </row>
    <row r="83" spans="1:21">
      <c r="A83" s="25" t="s">
        <v>51</v>
      </c>
      <c r="B83" s="24" t="s">
        <v>424</v>
      </c>
      <c r="C83" s="24" t="s">
        <v>425</v>
      </c>
      <c r="D83" s="24" t="s">
        <v>426</v>
      </c>
      <c r="E83" s="24" t="s">
        <v>1107</v>
      </c>
      <c r="F83" s="24" t="s">
        <v>1047</v>
      </c>
      <c r="G83" s="26" t="s">
        <v>193</v>
      </c>
      <c r="H83" s="26" t="s">
        <v>136</v>
      </c>
      <c r="I83" s="26" t="s">
        <v>22</v>
      </c>
      <c r="J83" s="25"/>
      <c r="K83" s="26" t="s">
        <v>73</v>
      </c>
      <c r="L83" s="26" t="s">
        <v>37</v>
      </c>
      <c r="M83" s="26" t="s">
        <v>74</v>
      </c>
      <c r="N83" s="25"/>
      <c r="O83" s="26" t="s">
        <v>197</v>
      </c>
      <c r="P83" s="26" t="s">
        <v>92</v>
      </c>
      <c r="Q83" s="26" t="s">
        <v>166</v>
      </c>
      <c r="R83" s="25"/>
      <c r="S83" s="31" t="str">
        <f>"665,0"</f>
        <v>665,0</v>
      </c>
      <c r="T83" s="25" t="str">
        <f>"413,6300"</f>
        <v>413,6300</v>
      </c>
      <c r="U83" s="24"/>
    </row>
    <row r="84" spans="1:21">
      <c r="A84" s="25" t="s">
        <v>51</v>
      </c>
      <c r="B84" s="24" t="s">
        <v>427</v>
      </c>
      <c r="C84" s="24" t="s">
        <v>428</v>
      </c>
      <c r="D84" s="24" t="s">
        <v>429</v>
      </c>
      <c r="E84" s="24" t="s">
        <v>1105</v>
      </c>
      <c r="F84" s="24" t="s">
        <v>1047</v>
      </c>
      <c r="G84" s="27" t="s">
        <v>22</v>
      </c>
      <c r="H84" s="26" t="s">
        <v>146</v>
      </c>
      <c r="I84" s="25"/>
      <c r="J84" s="25"/>
      <c r="K84" s="26" t="s">
        <v>78</v>
      </c>
      <c r="L84" s="26" t="s">
        <v>211</v>
      </c>
      <c r="M84" s="27" t="s">
        <v>185</v>
      </c>
      <c r="N84" s="25"/>
      <c r="O84" s="26" t="s">
        <v>197</v>
      </c>
      <c r="P84" s="26" t="s">
        <v>35</v>
      </c>
      <c r="Q84" s="27" t="s">
        <v>93</v>
      </c>
      <c r="R84" s="25"/>
      <c r="S84" s="31" t="str">
        <f>"672,5"</f>
        <v>672,5</v>
      </c>
      <c r="T84" s="25" t="str">
        <f>"413,9237"</f>
        <v>413,9237</v>
      </c>
      <c r="U84" s="24" t="s">
        <v>1038</v>
      </c>
    </row>
    <row r="85" spans="1:21">
      <c r="A85" s="25" t="s">
        <v>237</v>
      </c>
      <c r="B85" s="24" t="s">
        <v>424</v>
      </c>
      <c r="C85" s="24" t="s">
        <v>430</v>
      </c>
      <c r="D85" s="24" t="s">
        <v>426</v>
      </c>
      <c r="E85" s="24" t="s">
        <v>1105</v>
      </c>
      <c r="F85" s="24" t="s">
        <v>1047</v>
      </c>
      <c r="G85" s="26" t="s">
        <v>193</v>
      </c>
      <c r="H85" s="26" t="s">
        <v>136</v>
      </c>
      <c r="I85" s="26" t="s">
        <v>22</v>
      </c>
      <c r="J85" s="25"/>
      <c r="K85" s="26" t="s">
        <v>73</v>
      </c>
      <c r="L85" s="26" t="s">
        <v>37</v>
      </c>
      <c r="M85" s="26" t="s">
        <v>74</v>
      </c>
      <c r="N85" s="25"/>
      <c r="O85" s="26" t="s">
        <v>197</v>
      </c>
      <c r="P85" s="26" t="s">
        <v>92</v>
      </c>
      <c r="Q85" s="26" t="s">
        <v>166</v>
      </c>
      <c r="R85" s="25"/>
      <c r="S85" s="31" t="str">
        <f>"665,0"</f>
        <v>665,0</v>
      </c>
      <c r="T85" s="25" t="str">
        <f>"413,6300"</f>
        <v>413,6300</v>
      </c>
      <c r="U85" s="24"/>
    </row>
    <row r="86" spans="1:21">
      <c r="A86" s="10" t="s">
        <v>238</v>
      </c>
      <c r="B86" s="9" t="s">
        <v>431</v>
      </c>
      <c r="C86" s="9" t="s">
        <v>432</v>
      </c>
      <c r="D86" s="9" t="s">
        <v>433</v>
      </c>
      <c r="E86" s="9" t="s">
        <v>1105</v>
      </c>
      <c r="F86" s="9" t="s">
        <v>1047</v>
      </c>
      <c r="G86" s="20" t="s">
        <v>150</v>
      </c>
      <c r="H86" s="21" t="s">
        <v>150</v>
      </c>
      <c r="I86" s="21" t="s">
        <v>155</v>
      </c>
      <c r="J86" s="10"/>
      <c r="K86" s="21" t="s">
        <v>18</v>
      </c>
      <c r="L86" s="20" t="s">
        <v>19</v>
      </c>
      <c r="M86" s="10"/>
      <c r="N86" s="10"/>
      <c r="O86" s="21" t="s">
        <v>14</v>
      </c>
      <c r="P86" s="20" t="s">
        <v>146</v>
      </c>
      <c r="Q86" s="20" t="s">
        <v>197</v>
      </c>
      <c r="R86" s="10"/>
      <c r="S86" s="30" t="str">
        <f>"555,0"</f>
        <v>555,0</v>
      </c>
      <c r="T86" s="10" t="str">
        <f>"339,7155"</f>
        <v>339,7155</v>
      </c>
      <c r="U86" s="9" t="s">
        <v>390</v>
      </c>
    </row>
    <row r="87" spans="1:21">
      <c r="B87" s="5" t="s">
        <v>52</v>
      </c>
    </row>
    <row r="88" spans="1:21" ht="16">
      <c r="A88" s="33" t="s">
        <v>30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21">
      <c r="A89" s="8" t="s">
        <v>51</v>
      </c>
      <c r="B89" s="7" t="s">
        <v>434</v>
      </c>
      <c r="C89" s="7" t="s">
        <v>435</v>
      </c>
      <c r="D89" s="7" t="s">
        <v>436</v>
      </c>
      <c r="E89" s="7" t="s">
        <v>1105</v>
      </c>
      <c r="F89" s="7" t="s">
        <v>1050</v>
      </c>
      <c r="G89" s="18" t="s">
        <v>189</v>
      </c>
      <c r="H89" s="18" t="s">
        <v>140</v>
      </c>
      <c r="I89" s="19" t="s">
        <v>38</v>
      </c>
      <c r="J89" s="8"/>
      <c r="K89" s="18" t="s">
        <v>37</v>
      </c>
      <c r="L89" s="18" t="s">
        <v>121</v>
      </c>
      <c r="M89" s="18" t="s">
        <v>364</v>
      </c>
      <c r="N89" s="8"/>
      <c r="O89" s="18" t="s">
        <v>20</v>
      </c>
      <c r="P89" s="18" t="s">
        <v>21</v>
      </c>
      <c r="Q89" s="8"/>
      <c r="R89" s="8"/>
      <c r="S89" s="29" t="str">
        <f>"585,0"</f>
        <v>585,0</v>
      </c>
      <c r="T89" s="8" t="str">
        <f>"354,5100"</f>
        <v>354,5100</v>
      </c>
      <c r="U89" s="7" t="s">
        <v>355</v>
      </c>
    </row>
    <row r="90" spans="1:21">
      <c r="A90" s="25" t="s">
        <v>237</v>
      </c>
      <c r="B90" s="24" t="s">
        <v>437</v>
      </c>
      <c r="C90" s="24" t="s">
        <v>438</v>
      </c>
      <c r="D90" s="24" t="s">
        <v>439</v>
      </c>
      <c r="E90" s="24" t="s">
        <v>1105</v>
      </c>
      <c r="F90" s="24" t="s">
        <v>1047</v>
      </c>
      <c r="G90" s="26" t="s">
        <v>79</v>
      </c>
      <c r="H90" s="26" t="s">
        <v>80</v>
      </c>
      <c r="I90" s="26" t="s">
        <v>150</v>
      </c>
      <c r="J90" s="25"/>
      <c r="K90" s="26" t="s">
        <v>36</v>
      </c>
      <c r="L90" s="26" t="s">
        <v>107</v>
      </c>
      <c r="M90" s="26" t="s">
        <v>161</v>
      </c>
      <c r="N90" s="25"/>
      <c r="O90" s="26" t="s">
        <v>20</v>
      </c>
      <c r="P90" s="26" t="s">
        <v>21</v>
      </c>
      <c r="Q90" s="26" t="s">
        <v>440</v>
      </c>
      <c r="R90" s="25"/>
      <c r="S90" s="31" t="str">
        <f>"560,0"</f>
        <v>560,0</v>
      </c>
      <c r="T90" s="25" t="str">
        <f>"337,5680"</f>
        <v>337,5680</v>
      </c>
      <c r="U90" s="24" t="s">
        <v>441</v>
      </c>
    </row>
    <row r="91" spans="1:21">
      <c r="A91" s="25" t="s">
        <v>51</v>
      </c>
      <c r="B91" s="24" t="s">
        <v>442</v>
      </c>
      <c r="C91" s="24" t="s">
        <v>443</v>
      </c>
      <c r="D91" s="24" t="s">
        <v>444</v>
      </c>
      <c r="E91" s="24" t="s">
        <v>1106</v>
      </c>
      <c r="F91" s="24" t="s">
        <v>1047</v>
      </c>
      <c r="G91" s="26" t="s">
        <v>37</v>
      </c>
      <c r="H91" s="26" t="s">
        <v>78</v>
      </c>
      <c r="I91" s="26" t="s">
        <v>79</v>
      </c>
      <c r="J91" s="25"/>
      <c r="K91" s="26" t="s">
        <v>88</v>
      </c>
      <c r="L91" s="26" t="s">
        <v>76</v>
      </c>
      <c r="M91" s="26" t="s">
        <v>77</v>
      </c>
      <c r="N91" s="25"/>
      <c r="O91" s="26" t="s">
        <v>78</v>
      </c>
      <c r="P91" s="26" t="s">
        <v>185</v>
      </c>
      <c r="Q91" s="26" t="s">
        <v>178</v>
      </c>
      <c r="R91" s="25"/>
      <c r="S91" s="31" t="str">
        <f>"457,5"</f>
        <v>457,5</v>
      </c>
      <c r="T91" s="25" t="str">
        <f>"270,5850"</f>
        <v>270,5850</v>
      </c>
      <c r="U91" s="24" t="s">
        <v>289</v>
      </c>
    </row>
    <row r="92" spans="1:21">
      <c r="A92" s="10" t="s">
        <v>51</v>
      </c>
      <c r="B92" s="9" t="s">
        <v>445</v>
      </c>
      <c r="C92" s="9" t="s">
        <v>446</v>
      </c>
      <c r="D92" s="9" t="s">
        <v>447</v>
      </c>
      <c r="E92" s="9" t="s">
        <v>1112</v>
      </c>
      <c r="F92" s="9" t="s">
        <v>1061</v>
      </c>
      <c r="G92" s="21" t="s">
        <v>28</v>
      </c>
      <c r="H92" s="21" t="s">
        <v>121</v>
      </c>
      <c r="I92" s="21" t="s">
        <v>210</v>
      </c>
      <c r="J92" s="10"/>
      <c r="K92" s="21" t="s">
        <v>88</v>
      </c>
      <c r="L92" s="21" t="s">
        <v>103</v>
      </c>
      <c r="M92" s="20" t="s">
        <v>104</v>
      </c>
      <c r="N92" s="10"/>
      <c r="O92" s="21" t="s">
        <v>80</v>
      </c>
      <c r="P92" s="21" t="s">
        <v>140</v>
      </c>
      <c r="Q92" s="21" t="s">
        <v>38</v>
      </c>
      <c r="R92" s="10"/>
      <c r="S92" s="30" t="str">
        <f>"465,0"</f>
        <v>465,0</v>
      </c>
      <c r="T92" s="10" t="str">
        <f>"500,7557"</f>
        <v>500,7557</v>
      </c>
      <c r="U92" s="9"/>
    </row>
    <row r="93" spans="1:21">
      <c r="B93" s="5" t="s">
        <v>52</v>
      </c>
    </row>
    <row r="94" spans="1:21" ht="16">
      <c r="A94" s="33" t="s">
        <v>212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21">
      <c r="A95" s="8" t="s">
        <v>51</v>
      </c>
      <c r="B95" s="7" t="s">
        <v>448</v>
      </c>
      <c r="C95" s="7" t="s">
        <v>449</v>
      </c>
      <c r="D95" s="7" t="s">
        <v>450</v>
      </c>
      <c r="E95" s="7" t="s">
        <v>1105</v>
      </c>
      <c r="F95" s="7" t="s">
        <v>1047</v>
      </c>
      <c r="G95" s="18" t="s">
        <v>166</v>
      </c>
      <c r="H95" s="18" t="s">
        <v>451</v>
      </c>
      <c r="I95" s="18" t="s">
        <v>168</v>
      </c>
      <c r="J95" s="8"/>
      <c r="K95" s="18" t="s">
        <v>155</v>
      </c>
      <c r="L95" s="18" t="s">
        <v>193</v>
      </c>
      <c r="M95" s="18" t="s">
        <v>14</v>
      </c>
      <c r="N95" s="8"/>
      <c r="O95" s="18" t="s">
        <v>166</v>
      </c>
      <c r="P95" s="18" t="s">
        <v>451</v>
      </c>
      <c r="Q95" s="18" t="s">
        <v>168</v>
      </c>
      <c r="R95" s="8"/>
      <c r="S95" s="29" t="str">
        <f>"840,0"</f>
        <v>840,0</v>
      </c>
      <c r="T95" s="8" t="str">
        <f>"479,4720"</f>
        <v>479,4720</v>
      </c>
      <c r="U95" s="7" t="s">
        <v>452</v>
      </c>
    </row>
    <row r="96" spans="1:21">
      <c r="A96" s="10" t="s">
        <v>237</v>
      </c>
      <c r="B96" s="9" t="s">
        <v>453</v>
      </c>
      <c r="C96" s="9" t="s">
        <v>454</v>
      </c>
      <c r="D96" s="9" t="s">
        <v>455</v>
      </c>
      <c r="E96" s="9" t="s">
        <v>1105</v>
      </c>
      <c r="F96" s="9" t="s">
        <v>1047</v>
      </c>
      <c r="G96" s="21" t="s">
        <v>78</v>
      </c>
      <c r="H96" s="21" t="s">
        <v>80</v>
      </c>
      <c r="I96" s="10"/>
      <c r="J96" s="10"/>
      <c r="K96" s="21" t="s">
        <v>69</v>
      </c>
      <c r="L96" s="21" t="s">
        <v>17</v>
      </c>
      <c r="M96" s="10"/>
      <c r="N96" s="10"/>
      <c r="O96" s="21" t="s">
        <v>155</v>
      </c>
      <c r="P96" s="21" t="s">
        <v>14</v>
      </c>
      <c r="Q96" s="21" t="s">
        <v>21</v>
      </c>
      <c r="R96" s="10"/>
      <c r="S96" s="30" t="str">
        <f>"535,0"</f>
        <v>535,0</v>
      </c>
      <c r="T96" s="10" t="str">
        <f>"314,1520"</f>
        <v>314,1520</v>
      </c>
      <c r="U96" s="9"/>
    </row>
    <row r="97" spans="2:6">
      <c r="B97" s="5" t="s">
        <v>52</v>
      </c>
    </row>
    <row r="100" spans="2:6" ht="18">
      <c r="B100" s="13" t="s">
        <v>39</v>
      </c>
      <c r="C100" s="13"/>
    </row>
    <row r="101" spans="2:6" ht="16">
      <c r="B101" s="14" t="s">
        <v>95</v>
      </c>
      <c r="C101" s="14"/>
    </row>
    <row r="102" spans="2:6" ht="14">
      <c r="B102" s="15"/>
      <c r="C102" s="16" t="s">
        <v>41</v>
      </c>
    </row>
    <row r="103" spans="2:6" ht="14">
      <c r="B103" s="17" t="s">
        <v>42</v>
      </c>
      <c r="C103" s="17" t="s">
        <v>43</v>
      </c>
      <c r="D103" s="17" t="s">
        <v>1008</v>
      </c>
      <c r="E103" s="17" t="s">
        <v>45</v>
      </c>
      <c r="F103" s="17" t="s">
        <v>46</v>
      </c>
    </row>
    <row r="104" spans="2:6">
      <c r="B104" s="5" t="s">
        <v>245</v>
      </c>
      <c r="C104" s="5" t="s">
        <v>41</v>
      </c>
      <c r="D104" s="6" t="s">
        <v>226</v>
      </c>
      <c r="E104" s="6" t="s">
        <v>459</v>
      </c>
      <c r="F104" s="6" t="s">
        <v>460</v>
      </c>
    </row>
    <row r="105" spans="2:6">
      <c r="B105" s="5" t="s">
        <v>276</v>
      </c>
      <c r="C105" s="5" t="s">
        <v>41</v>
      </c>
      <c r="D105" s="6" t="s">
        <v>225</v>
      </c>
      <c r="E105" s="6" t="s">
        <v>457</v>
      </c>
      <c r="F105" s="6" t="s">
        <v>458</v>
      </c>
    </row>
    <row r="106" spans="2:6">
      <c r="B106" s="5" t="s">
        <v>285</v>
      </c>
      <c r="C106" s="5" t="s">
        <v>41</v>
      </c>
      <c r="D106" s="6" t="s">
        <v>225</v>
      </c>
      <c r="E106" s="6" t="s">
        <v>461</v>
      </c>
      <c r="F106" s="6" t="s">
        <v>462</v>
      </c>
    </row>
    <row r="108" spans="2:6" ht="16">
      <c r="B108" s="14" t="s">
        <v>40</v>
      </c>
      <c r="C108" s="14"/>
    </row>
    <row r="109" spans="2:6" ht="14">
      <c r="B109" s="15"/>
      <c r="C109" s="16" t="s">
        <v>41</v>
      </c>
    </row>
    <row r="110" spans="2:6" ht="14">
      <c r="B110" s="17" t="s">
        <v>42</v>
      </c>
      <c r="C110" s="17" t="s">
        <v>43</v>
      </c>
      <c r="D110" s="17" t="s">
        <v>1008</v>
      </c>
      <c r="E110" s="17" t="s">
        <v>45</v>
      </c>
      <c r="F110" s="17" t="s">
        <v>46</v>
      </c>
    </row>
    <row r="111" spans="2:6">
      <c r="B111" s="5" t="s">
        <v>448</v>
      </c>
      <c r="C111" s="5" t="s">
        <v>41</v>
      </c>
      <c r="D111" s="6" t="s">
        <v>233</v>
      </c>
      <c r="E111" s="6" t="s">
        <v>464</v>
      </c>
      <c r="F111" s="6" t="s">
        <v>465</v>
      </c>
    </row>
    <row r="112" spans="2:6">
      <c r="B112" s="5" t="s">
        <v>391</v>
      </c>
      <c r="C112" s="5" t="s">
        <v>41</v>
      </c>
      <c r="D112" s="6" t="s">
        <v>235</v>
      </c>
      <c r="E112" s="6" t="s">
        <v>466</v>
      </c>
      <c r="F112" s="6" t="s">
        <v>467</v>
      </c>
    </row>
    <row r="113" spans="2:6">
      <c r="B113" s="5" t="s">
        <v>427</v>
      </c>
      <c r="C113" s="5" t="s">
        <v>41</v>
      </c>
      <c r="D113" s="6" t="s">
        <v>97</v>
      </c>
      <c r="E113" s="6" t="s">
        <v>468</v>
      </c>
      <c r="F113" s="6" t="s">
        <v>469</v>
      </c>
    </row>
    <row r="114" spans="2:6">
      <c r="B114" s="5" t="s">
        <v>52</v>
      </c>
    </row>
  </sheetData>
  <mergeCells count="2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8:R88"/>
    <mergeCell ref="A94:R94"/>
    <mergeCell ref="B3:B4"/>
    <mergeCell ref="A47:R47"/>
    <mergeCell ref="A50:R50"/>
    <mergeCell ref="A53:R53"/>
    <mergeCell ref="A58:R58"/>
    <mergeCell ref="A67:R67"/>
    <mergeCell ref="A81:R81"/>
    <mergeCell ref="A9:R9"/>
    <mergeCell ref="A17:R17"/>
    <mergeCell ref="A20:R20"/>
    <mergeCell ref="A31:R31"/>
    <mergeCell ref="A41:R41"/>
    <mergeCell ref="A44:R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4" t="s">
        <v>1018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116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2" t="s">
        <v>51</v>
      </c>
      <c r="B6" s="11" t="s">
        <v>612</v>
      </c>
      <c r="C6" s="11" t="s">
        <v>613</v>
      </c>
      <c r="D6" s="11" t="s">
        <v>614</v>
      </c>
      <c r="E6" s="11" t="s">
        <v>1105</v>
      </c>
      <c r="F6" s="11" t="s">
        <v>1070</v>
      </c>
      <c r="G6" s="22" t="s">
        <v>114</v>
      </c>
      <c r="H6" s="22" t="s">
        <v>160</v>
      </c>
      <c r="I6" s="22" t="s">
        <v>122</v>
      </c>
      <c r="J6" s="12"/>
      <c r="K6" s="12" t="str">
        <f>"107,5"</f>
        <v>107,5</v>
      </c>
      <c r="L6" s="12" t="str">
        <f>"107,1721"</f>
        <v>107,1721</v>
      </c>
      <c r="M6" s="11"/>
    </row>
    <row r="7" spans="1:13">
      <c r="B7" s="5" t="s">
        <v>52</v>
      </c>
    </row>
    <row r="8" spans="1:13" ht="16">
      <c r="A8" s="33" t="s">
        <v>10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2" t="s">
        <v>51</v>
      </c>
      <c r="B9" s="11" t="s">
        <v>810</v>
      </c>
      <c r="C9" s="11" t="s">
        <v>811</v>
      </c>
      <c r="D9" s="11" t="s">
        <v>379</v>
      </c>
      <c r="E9" s="11" t="s">
        <v>1109</v>
      </c>
      <c r="F9" s="11" t="s">
        <v>1070</v>
      </c>
      <c r="G9" s="22" t="s">
        <v>133</v>
      </c>
      <c r="H9" s="22" t="s">
        <v>150</v>
      </c>
      <c r="I9" s="23" t="s">
        <v>156</v>
      </c>
      <c r="J9" s="12"/>
      <c r="K9" s="12" t="str">
        <f>"190,0"</f>
        <v>190,0</v>
      </c>
      <c r="L9" s="12" t="str">
        <f>"144,5966"</f>
        <v>144,5966</v>
      </c>
      <c r="M9" s="11" t="s">
        <v>997</v>
      </c>
    </row>
    <row r="10" spans="1:13">
      <c r="B10" s="5" t="s">
        <v>52</v>
      </c>
    </row>
    <row r="11" spans="1:13" ht="16">
      <c r="A11" s="33" t="s">
        <v>151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2" t="s">
        <v>51</v>
      </c>
      <c r="B12" s="11" t="s">
        <v>725</v>
      </c>
      <c r="C12" s="11" t="s">
        <v>726</v>
      </c>
      <c r="D12" s="11" t="s">
        <v>727</v>
      </c>
      <c r="E12" s="11" t="s">
        <v>1105</v>
      </c>
      <c r="F12" s="11" t="s">
        <v>1078</v>
      </c>
      <c r="G12" s="22" t="s">
        <v>20</v>
      </c>
      <c r="H12" s="22" t="s">
        <v>22</v>
      </c>
      <c r="I12" s="23" t="s">
        <v>812</v>
      </c>
      <c r="J12" s="12"/>
      <c r="K12" s="12" t="str">
        <f>"230,0"</f>
        <v>230,0</v>
      </c>
      <c r="L12" s="12" t="str">
        <f>"144,7735"</f>
        <v>144,7735</v>
      </c>
      <c r="M12" s="11"/>
    </row>
    <row r="13" spans="1:13">
      <c r="B13" s="5" t="s">
        <v>52</v>
      </c>
    </row>
    <row r="14" spans="1:13" ht="16">
      <c r="A14" s="33" t="s">
        <v>81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2" t="s">
        <v>51</v>
      </c>
      <c r="B15" s="11" t="s">
        <v>776</v>
      </c>
      <c r="C15" s="11" t="s">
        <v>777</v>
      </c>
      <c r="D15" s="11" t="s">
        <v>813</v>
      </c>
      <c r="E15" s="11" t="s">
        <v>1109</v>
      </c>
      <c r="F15" s="11" t="s">
        <v>1078</v>
      </c>
      <c r="G15" s="22" t="s">
        <v>150</v>
      </c>
      <c r="H15" s="23" t="s">
        <v>155</v>
      </c>
      <c r="I15" s="22" t="s">
        <v>155</v>
      </c>
      <c r="J15" s="12"/>
      <c r="K15" s="12" t="str">
        <f>"200,0"</f>
        <v>200,0</v>
      </c>
      <c r="L15" s="12" t="str">
        <f>"152,1553"</f>
        <v>152,1553</v>
      </c>
      <c r="M15" s="11"/>
    </row>
    <row r="16" spans="1:13">
      <c r="B16" s="5" t="s">
        <v>52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6.83203125" style="5" bestFit="1" customWidth="1"/>
    <col min="14" max="16384" width="9.1640625" style="3"/>
  </cols>
  <sheetData>
    <row r="1" spans="1:13" s="2" customFormat="1" ht="29" customHeight="1">
      <c r="A1" s="44" t="s">
        <v>1019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310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2" t="s">
        <v>51</v>
      </c>
      <c r="B6" s="11" t="s">
        <v>472</v>
      </c>
      <c r="C6" s="11" t="s">
        <v>473</v>
      </c>
      <c r="D6" s="11" t="s">
        <v>474</v>
      </c>
      <c r="E6" s="11" t="s">
        <v>1105</v>
      </c>
      <c r="F6" s="11" t="s">
        <v>1050</v>
      </c>
      <c r="G6" s="22" t="s">
        <v>73</v>
      </c>
      <c r="H6" s="22" t="s">
        <v>37</v>
      </c>
      <c r="I6" s="22" t="s">
        <v>74</v>
      </c>
      <c r="J6" s="12"/>
      <c r="K6" s="12" t="str">
        <f>"155,0"</f>
        <v>155,0</v>
      </c>
      <c r="L6" s="12" t="str">
        <f>"140,4223"</f>
        <v>140,4223</v>
      </c>
      <c r="M6" s="11" t="s">
        <v>355</v>
      </c>
    </row>
    <row r="7" spans="1:13">
      <c r="B7" s="5" t="s">
        <v>52</v>
      </c>
    </row>
    <row r="8" spans="1:13" ht="16">
      <c r="A8" s="33" t="s">
        <v>81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2" t="s">
        <v>51</v>
      </c>
      <c r="B9" s="11" t="s">
        <v>475</v>
      </c>
      <c r="C9" s="11" t="s">
        <v>476</v>
      </c>
      <c r="D9" s="11" t="s">
        <v>477</v>
      </c>
      <c r="E9" s="11" t="s">
        <v>1105</v>
      </c>
      <c r="F9" s="11" t="s">
        <v>1047</v>
      </c>
      <c r="G9" s="22" t="s">
        <v>35</v>
      </c>
      <c r="H9" s="23" t="s">
        <v>202</v>
      </c>
      <c r="I9" s="22" t="s">
        <v>202</v>
      </c>
      <c r="J9" s="12"/>
      <c r="K9" s="12" t="str">
        <f>"272,5"</f>
        <v>272,5</v>
      </c>
      <c r="L9" s="12" t="str">
        <f>"158,4043"</f>
        <v>158,4043</v>
      </c>
      <c r="M9" s="11" t="s">
        <v>297</v>
      </c>
    </row>
    <row r="10" spans="1:13">
      <c r="B10" s="5" t="s">
        <v>52</v>
      </c>
    </row>
    <row r="11" spans="1:13" ht="16">
      <c r="A11" s="33" t="s">
        <v>30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2" t="s">
        <v>51</v>
      </c>
      <c r="B12" s="11" t="s">
        <v>478</v>
      </c>
      <c r="C12" s="11" t="s">
        <v>479</v>
      </c>
      <c r="D12" s="11" t="s">
        <v>480</v>
      </c>
      <c r="E12" s="11" t="s">
        <v>1105</v>
      </c>
      <c r="F12" s="11" t="s">
        <v>1047</v>
      </c>
      <c r="G12" s="22" t="s">
        <v>16</v>
      </c>
      <c r="H12" s="22" t="s">
        <v>34</v>
      </c>
      <c r="I12" s="22" t="s">
        <v>35</v>
      </c>
      <c r="J12" s="12"/>
      <c r="K12" s="12" t="str">
        <f>"265,0"</f>
        <v>265,0</v>
      </c>
      <c r="L12" s="12" t="str">
        <f>"150,7452"</f>
        <v>150,7452</v>
      </c>
      <c r="M12" s="11"/>
    </row>
    <row r="13" spans="1:13">
      <c r="B13" s="5" t="s">
        <v>52</v>
      </c>
    </row>
    <row r="14" spans="1:13" ht="16">
      <c r="A14" s="33" t="s">
        <v>212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2" t="s">
        <v>51</v>
      </c>
      <c r="B15" s="11" t="s">
        <v>481</v>
      </c>
      <c r="C15" s="11" t="s">
        <v>482</v>
      </c>
      <c r="D15" s="11" t="s">
        <v>483</v>
      </c>
      <c r="E15" s="11" t="s">
        <v>1109</v>
      </c>
      <c r="F15" s="11" t="s">
        <v>1088</v>
      </c>
      <c r="G15" s="22" t="s">
        <v>166</v>
      </c>
      <c r="H15" s="22" t="s">
        <v>484</v>
      </c>
      <c r="I15" s="22" t="s">
        <v>463</v>
      </c>
      <c r="J15" s="12"/>
      <c r="K15" s="12" t="str">
        <f>"307,5"</f>
        <v>307,5</v>
      </c>
      <c r="L15" s="12" t="str">
        <f>"190,1731"</f>
        <v>190,1731</v>
      </c>
      <c r="M15" s="11" t="s">
        <v>1004</v>
      </c>
    </row>
    <row r="16" spans="1:13">
      <c r="B16" s="5" t="s">
        <v>52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44" t="s">
        <v>1020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212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2" t="s">
        <v>51</v>
      </c>
      <c r="B6" s="11" t="s">
        <v>817</v>
      </c>
      <c r="C6" s="11" t="s">
        <v>818</v>
      </c>
      <c r="D6" s="11" t="s">
        <v>819</v>
      </c>
      <c r="E6" s="11" t="s">
        <v>1105</v>
      </c>
      <c r="F6" s="11" t="s">
        <v>1047</v>
      </c>
      <c r="G6" s="22" t="s">
        <v>146</v>
      </c>
      <c r="H6" s="22" t="s">
        <v>197</v>
      </c>
      <c r="I6" s="22" t="s">
        <v>820</v>
      </c>
      <c r="J6" s="12"/>
      <c r="K6" s="12" t="str">
        <f>"257,5"</f>
        <v>257,5</v>
      </c>
      <c r="L6" s="12" t="str">
        <f>"144,4833"</f>
        <v>144,4833</v>
      </c>
      <c r="M6" s="11" t="s">
        <v>991</v>
      </c>
    </row>
    <row r="7" spans="1:13">
      <c r="B7" s="5" t="s">
        <v>52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83203125" style="5" bestFit="1" customWidth="1"/>
    <col min="7" max="10" width="5.33203125" style="6" customWidth="1"/>
    <col min="11" max="11" width="10.33203125" style="6" customWidth="1"/>
    <col min="12" max="12" width="7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4" t="s">
        <v>1021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53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2" t="s">
        <v>51</v>
      </c>
      <c r="B6" s="11" t="s">
        <v>986</v>
      </c>
      <c r="C6" s="11" t="s">
        <v>1024</v>
      </c>
      <c r="D6" s="11" t="s">
        <v>987</v>
      </c>
      <c r="E6" s="11" t="s">
        <v>1107</v>
      </c>
      <c r="F6" s="11" t="s">
        <v>1089</v>
      </c>
      <c r="G6" s="22" t="s">
        <v>106</v>
      </c>
      <c r="H6" s="22" t="s">
        <v>263</v>
      </c>
      <c r="I6" s="22" t="s">
        <v>58</v>
      </c>
      <c r="J6" s="12"/>
      <c r="K6" s="12" t="str">
        <f>"60,0"</f>
        <v>60,0</v>
      </c>
      <c r="L6" s="12" t="str">
        <f>"61,7220"</f>
        <v>61,7220</v>
      </c>
      <c r="M6" s="11" t="s">
        <v>988</v>
      </c>
    </row>
    <row r="7" spans="1:13">
      <c r="B7" s="5" t="s">
        <v>52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5"/>
  <sheetViews>
    <sheetView topLeftCell="A21" workbookViewId="0">
      <selection activeCell="E58" sqref="E58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bestFit="1" customWidth="1"/>
    <col min="14" max="16384" width="9.1640625" style="3"/>
  </cols>
  <sheetData>
    <row r="1" spans="1:13" s="2" customFormat="1" ht="29" customHeight="1">
      <c r="A1" s="44" t="s">
        <v>1022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9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53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51</v>
      </c>
      <c r="B6" s="7" t="s">
        <v>265</v>
      </c>
      <c r="C6" s="7" t="s">
        <v>266</v>
      </c>
      <c r="D6" s="7" t="s">
        <v>56</v>
      </c>
      <c r="E6" s="7" t="s">
        <v>1105</v>
      </c>
      <c r="F6" s="7" t="s">
        <v>1047</v>
      </c>
      <c r="G6" s="18" t="s">
        <v>27</v>
      </c>
      <c r="H6" s="18" t="s">
        <v>67</v>
      </c>
      <c r="I6" s="19" t="s">
        <v>57</v>
      </c>
      <c r="J6" s="8"/>
      <c r="K6" s="8" t="str">
        <f>"117,5"</f>
        <v>117,5</v>
      </c>
      <c r="L6" s="8" t="str">
        <f>"146,6987"</f>
        <v>146,6987</v>
      </c>
      <c r="M6" s="7" t="s">
        <v>128</v>
      </c>
    </row>
    <row r="7" spans="1:13">
      <c r="A7" s="10" t="s">
        <v>51</v>
      </c>
      <c r="B7" s="9" t="s">
        <v>840</v>
      </c>
      <c r="C7" s="9" t="s">
        <v>841</v>
      </c>
      <c r="D7" s="9" t="s">
        <v>842</v>
      </c>
      <c r="E7" s="9" t="s">
        <v>1106</v>
      </c>
      <c r="F7" s="9" t="s">
        <v>1047</v>
      </c>
      <c r="G7" s="21" t="s">
        <v>122</v>
      </c>
      <c r="H7" s="20" t="s">
        <v>142</v>
      </c>
      <c r="I7" s="21" t="s">
        <v>142</v>
      </c>
      <c r="J7" s="10"/>
      <c r="K7" s="10" t="str">
        <f>"112,5"</f>
        <v>112,5</v>
      </c>
      <c r="L7" s="10" t="str">
        <f>"141,5769"</f>
        <v>141,5769</v>
      </c>
      <c r="M7" s="9" t="s">
        <v>843</v>
      </c>
    </row>
    <row r="8" spans="1:13">
      <c r="B8" s="5" t="s">
        <v>52</v>
      </c>
    </row>
    <row r="9" spans="1:13" ht="16">
      <c r="A9" s="33" t="s">
        <v>116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8" t="s">
        <v>51</v>
      </c>
      <c r="B10" s="7" t="s">
        <v>844</v>
      </c>
      <c r="C10" s="7" t="s">
        <v>845</v>
      </c>
      <c r="D10" s="7" t="s">
        <v>846</v>
      </c>
      <c r="E10" s="7" t="s">
        <v>1110</v>
      </c>
      <c r="F10" s="7" t="s">
        <v>1059</v>
      </c>
      <c r="G10" s="18" t="s">
        <v>114</v>
      </c>
      <c r="H10" s="18" t="s">
        <v>288</v>
      </c>
      <c r="I10" s="18" t="s">
        <v>75</v>
      </c>
      <c r="J10" s="8"/>
      <c r="K10" s="8" t="str">
        <f>"92,5"</f>
        <v>92,5</v>
      </c>
      <c r="L10" s="8" t="str">
        <f>"107,3370"</f>
        <v>107,3370</v>
      </c>
      <c r="M10" s="7" t="s">
        <v>736</v>
      </c>
    </row>
    <row r="11" spans="1:13">
      <c r="A11" s="25" t="s">
        <v>51</v>
      </c>
      <c r="B11" s="24" t="s">
        <v>294</v>
      </c>
      <c r="C11" s="24" t="s">
        <v>295</v>
      </c>
      <c r="D11" s="24" t="s">
        <v>296</v>
      </c>
      <c r="E11" s="24" t="s">
        <v>1105</v>
      </c>
      <c r="F11" s="24" t="s">
        <v>1047</v>
      </c>
      <c r="G11" s="26" t="s">
        <v>18</v>
      </c>
      <c r="H11" s="26" t="s">
        <v>19</v>
      </c>
      <c r="I11" s="26" t="s">
        <v>28</v>
      </c>
      <c r="J11" s="25"/>
      <c r="K11" s="25" t="str">
        <f>"145,0"</f>
        <v>145,0</v>
      </c>
      <c r="L11" s="25" t="str">
        <f>"163,7775"</f>
        <v>163,7775</v>
      </c>
      <c r="M11" s="24" t="s">
        <v>297</v>
      </c>
    </row>
    <row r="12" spans="1:13">
      <c r="A12" s="25" t="s">
        <v>237</v>
      </c>
      <c r="B12" s="24" t="s">
        <v>847</v>
      </c>
      <c r="C12" s="24" t="s">
        <v>848</v>
      </c>
      <c r="D12" s="24" t="s">
        <v>624</v>
      </c>
      <c r="E12" s="24" t="s">
        <v>1105</v>
      </c>
      <c r="F12" s="24" t="s">
        <v>1047</v>
      </c>
      <c r="G12" s="26" t="s">
        <v>17</v>
      </c>
      <c r="H12" s="26" t="s">
        <v>161</v>
      </c>
      <c r="I12" s="26" t="s">
        <v>28</v>
      </c>
      <c r="J12" s="25"/>
      <c r="K12" s="25" t="str">
        <f>"145,0"</f>
        <v>145,0</v>
      </c>
      <c r="L12" s="25" t="str">
        <f>"163,3570"</f>
        <v>163,3570</v>
      </c>
      <c r="M12" s="24" t="s">
        <v>849</v>
      </c>
    </row>
    <row r="13" spans="1:13">
      <c r="A13" s="25" t="s">
        <v>238</v>
      </c>
      <c r="B13" s="24" t="s">
        <v>850</v>
      </c>
      <c r="C13" s="24" t="s">
        <v>851</v>
      </c>
      <c r="D13" s="24" t="s">
        <v>852</v>
      </c>
      <c r="E13" s="24" t="s">
        <v>1105</v>
      </c>
      <c r="F13" s="24" t="s">
        <v>1047</v>
      </c>
      <c r="G13" s="26" t="s">
        <v>104</v>
      </c>
      <c r="H13" s="26" t="s">
        <v>27</v>
      </c>
      <c r="I13" s="26" t="s">
        <v>85</v>
      </c>
      <c r="J13" s="25"/>
      <c r="K13" s="25" t="str">
        <f>"115,0"</f>
        <v>115,0</v>
      </c>
      <c r="L13" s="25" t="str">
        <f>"131,9970"</f>
        <v>131,9970</v>
      </c>
      <c r="M13" s="24" t="s">
        <v>853</v>
      </c>
    </row>
    <row r="14" spans="1:13">
      <c r="A14" s="10" t="s">
        <v>239</v>
      </c>
      <c r="B14" s="9" t="s">
        <v>298</v>
      </c>
      <c r="C14" s="9" t="s">
        <v>299</v>
      </c>
      <c r="D14" s="9" t="s">
        <v>300</v>
      </c>
      <c r="E14" s="9" t="s">
        <v>1105</v>
      </c>
      <c r="F14" s="9" t="s">
        <v>1049</v>
      </c>
      <c r="G14" s="20" t="s">
        <v>27</v>
      </c>
      <c r="H14" s="21" t="s">
        <v>27</v>
      </c>
      <c r="I14" s="20" t="s">
        <v>69</v>
      </c>
      <c r="J14" s="10"/>
      <c r="K14" s="10" t="str">
        <f>"110,0"</f>
        <v>110,0</v>
      </c>
      <c r="L14" s="10" t="str">
        <f>"128,7110"</f>
        <v>128,7110</v>
      </c>
      <c r="M14" s="9" t="s">
        <v>301</v>
      </c>
    </row>
    <row r="15" spans="1:13">
      <c r="B15" s="5" t="s">
        <v>52</v>
      </c>
    </row>
    <row r="16" spans="1:13" ht="16">
      <c r="A16" s="33" t="s">
        <v>310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8" t="s">
        <v>51</v>
      </c>
      <c r="B17" s="7" t="s">
        <v>311</v>
      </c>
      <c r="C17" s="7" t="s">
        <v>312</v>
      </c>
      <c r="D17" s="7" t="s">
        <v>313</v>
      </c>
      <c r="E17" s="7" t="s">
        <v>1110</v>
      </c>
      <c r="F17" s="7" t="s">
        <v>1050</v>
      </c>
      <c r="G17" s="18" t="s">
        <v>77</v>
      </c>
      <c r="H17" s="19" t="s">
        <v>27</v>
      </c>
      <c r="I17" s="19" t="s">
        <v>27</v>
      </c>
      <c r="J17" s="8"/>
      <c r="K17" s="8" t="str">
        <f>"105,0"</f>
        <v>105,0</v>
      </c>
      <c r="L17" s="8" t="str">
        <f>"109,5360"</f>
        <v>109,5360</v>
      </c>
      <c r="M17" s="7" t="s">
        <v>314</v>
      </c>
    </row>
    <row r="18" spans="1:13">
      <c r="A18" s="25" t="s">
        <v>51</v>
      </c>
      <c r="B18" s="24" t="s">
        <v>321</v>
      </c>
      <c r="C18" s="24" t="s">
        <v>322</v>
      </c>
      <c r="D18" s="24" t="s">
        <v>323</v>
      </c>
      <c r="E18" s="24" t="s">
        <v>1105</v>
      </c>
      <c r="F18" s="24" t="s">
        <v>1047</v>
      </c>
      <c r="G18" s="26" t="s">
        <v>19</v>
      </c>
      <c r="H18" s="27" t="s">
        <v>37</v>
      </c>
      <c r="I18" s="26" t="s">
        <v>37</v>
      </c>
      <c r="J18" s="25"/>
      <c r="K18" s="25" t="str">
        <f>"150,0"</f>
        <v>150,0</v>
      </c>
      <c r="L18" s="25" t="str">
        <f>"154,4100"</f>
        <v>154,4100</v>
      </c>
      <c r="M18" s="24"/>
    </row>
    <row r="19" spans="1:13">
      <c r="A19" s="10" t="s">
        <v>237</v>
      </c>
      <c r="B19" s="9" t="s">
        <v>854</v>
      </c>
      <c r="C19" s="9" t="s">
        <v>855</v>
      </c>
      <c r="D19" s="9" t="s">
        <v>856</v>
      </c>
      <c r="E19" s="9" t="s">
        <v>1105</v>
      </c>
      <c r="F19" s="9" t="s">
        <v>1047</v>
      </c>
      <c r="G19" s="21" t="s">
        <v>76</v>
      </c>
      <c r="H19" s="21" t="s">
        <v>85</v>
      </c>
      <c r="I19" s="21" t="s">
        <v>57</v>
      </c>
      <c r="J19" s="10"/>
      <c r="K19" s="10" t="str">
        <f>"122,5"</f>
        <v>122,5</v>
      </c>
      <c r="L19" s="10" t="str">
        <f>"127,4980"</f>
        <v>127,4980</v>
      </c>
      <c r="M19" s="9"/>
    </row>
    <row r="20" spans="1:13">
      <c r="B20" s="5" t="s">
        <v>52</v>
      </c>
    </row>
    <row r="21" spans="1:13" ht="16">
      <c r="A21" s="33" t="s">
        <v>63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51</v>
      </c>
      <c r="B22" s="7" t="s">
        <v>335</v>
      </c>
      <c r="C22" s="7" t="s">
        <v>336</v>
      </c>
      <c r="D22" s="7" t="s">
        <v>337</v>
      </c>
      <c r="E22" s="7" t="s">
        <v>1105</v>
      </c>
      <c r="F22" s="7" t="s">
        <v>1047</v>
      </c>
      <c r="G22" s="18" t="s">
        <v>19</v>
      </c>
      <c r="H22" s="18" t="s">
        <v>37</v>
      </c>
      <c r="I22" s="18" t="s">
        <v>74</v>
      </c>
      <c r="J22" s="8"/>
      <c r="K22" s="8" t="str">
        <f>"155,0"</f>
        <v>155,0</v>
      </c>
      <c r="L22" s="8" t="str">
        <f>"148,3505"</f>
        <v>148,3505</v>
      </c>
      <c r="M22" s="7" t="s">
        <v>94</v>
      </c>
    </row>
    <row r="23" spans="1:13">
      <c r="A23" s="10" t="s">
        <v>237</v>
      </c>
      <c r="B23" s="9" t="s">
        <v>857</v>
      </c>
      <c r="C23" s="9" t="s">
        <v>858</v>
      </c>
      <c r="D23" s="9" t="s">
        <v>337</v>
      </c>
      <c r="E23" s="9" t="s">
        <v>1105</v>
      </c>
      <c r="F23" s="9" t="s">
        <v>1047</v>
      </c>
      <c r="G23" s="21" t="s">
        <v>27</v>
      </c>
      <c r="H23" s="21" t="s">
        <v>69</v>
      </c>
      <c r="I23" s="21" t="s">
        <v>61</v>
      </c>
      <c r="J23" s="10"/>
      <c r="K23" s="10" t="str">
        <f>"127,5"</f>
        <v>127,5</v>
      </c>
      <c r="L23" s="10" t="str">
        <f>"122,0302"</f>
        <v>122,0302</v>
      </c>
      <c r="M23" s="9" t="s">
        <v>1043</v>
      </c>
    </row>
    <row r="24" spans="1:13">
      <c r="B24" s="5" t="s">
        <v>52</v>
      </c>
    </row>
    <row r="25" spans="1:13" ht="16">
      <c r="A25" s="33" t="s">
        <v>151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8" t="s">
        <v>51</v>
      </c>
      <c r="B26" s="7" t="s">
        <v>859</v>
      </c>
      <c r="C26" s="7" t="s">
        <v>860</v>
      </c>
      <c r="D26" s="7" t="s">
        <v>402</v>
      </c>
      <c r="E26" s="7" t="s">
        <v>1105</v>
      </c>
      <c r="F26" s="7" t="s">
        <v>1047</v>
      </c>
      <c r="G26" s="18" t="s">
        <v>120</v>
      </c>
      <c r="H26" s="18" t="s">
        <v>121</v>
      </c>
      <c r="I26" s="18" t="s">
        <v>78</v>
      </c>
      <c r="J26" s="8"/>
      <c r="K26" s="8" t="str">
        <f>"160,0"</f>
        <v>160,0</v>
      </c>
      <c r="L26" s="8" t="str">
        <f>"138,7040"</f>
        <v>138,7040</v>
      </c>
      <c r="M26" s="7" t="s">
        <v>94</v>
      </c>
    </row>
    <row r="27" spans="1:13">
      <c r="A27" s="10" t="s">
        <v>237</v>
      </c>
      <c r="B27" s="9" t="s">
        <v>861</v>
      </c>
      <c r="C27" s="9" t="s">
        <v>862</v>
      </c>
      <c r="D27" s="9" t="s">
        <v>513</v>
      </c>
      <c r="E27" s="9" t="s">
        <v>1105</v>
      </c>
      <c r="F27" s="9" t="s">
        <v>1047</v>
      </c>
      <c r="G27" s="20" t="s">
        <v>27</v>
      </c>
      <c r="H27" s="21" t="s">
        <v>27</v>
      </c>
      <c r="I27" s="20" t="s">
        <v>67</v>
      </c>
      <c r="J27" s="10"/>
      <c r="K27" s="10" t="str">
        <f>"110,0"</f>
        <v>110,0</v>
      </c>
      <c r="L27" s="10" t="str">
        <f>"95,6340"</f>
        <v>95,6340</v>
      </c>
      <c r="M27" s="9" t="s">
        <v>62</v>
      </c>
    </row>
    <row r="28" spans="1:13">
      <c r="B28" s="5" t="s">
        <v>52</v>
      </c>
    </row>
    <row r="29" spans="1:13" ht="16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>
      <c r="A30" s="12" t="s">
        <v>51</v>
      </c>
      <c r="B30" s="11" t="s">
        <v>338</v>
      </c>
      <c r="C30" s="11" t="s">
        <v>339</v>
      </c>
      <c r="D30" s="11" t="s">
        <v>252</v>
      </c>
      <c r="E30" s="11" t="s">
        <v>1111</v>
      </c>
      <c r="F30" s="11" t="s">
        <v>1051</v>
      </c>
      <c r="G30" s="22" t="s">
        <v>77</v>
      </c>
      <c r="H30" s="22" t="s">
        <v>67</v>
      </c>
      <c r="I30" s="22" t="s">
        <v>18</v>
      </c>
      <c r="J30" s="12"/>
      <c r="K30" s="12" t="str">
        <f>"135,0"</f>
        <v>135,0</v>
      </c>
      <c r="L30" s="12" t="str">
        <f>"132,4755"</f>
        <v>132,4755</v>
      </c>
      <c r="M30" s="11" t="s">
        <v>340</v>
      </c>
    </row>
    <row r="31" spans="1:13">
      <c r="B31" s="5" t="s">
        <v>52</v>
      </c>
    </row>
    <row r="32" spans="1:13" ht="16">
      <c r="A32" s="33" t="s">
        <v>63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12" t="s">
        <v>51</v>
      </c>
      <c r="B33" s="11" t="s">
        <v>863</v>
      </c>
      <c r="C33" s="11" t="s">
        <v>864</v>
      </c>
      <c r="D33" s="11" t="s">
        <v>684</v>
      </c>
      <c r="E33" s="11" t="s">
        <v>1107</v>
      </c>
      <c r="F33" s="11" t="s">
        <v>865</v>
      </c>
      <c r="G33" s="22" t="s">
        <v>79</v>
      </c>
      <c r="H33" s="23" t="s">
        <v>178</v>
      </c>
      <c r="I33" s="22" t="s">
        <v>178</v>
      </c>
      <c r="J33" s="12"/>
      <c r="K33" s="12" t="str">
        <f>"182,5"</f>
        <v>182,5</v>
      </c>
      <c r="L33" s="12" t="str">
        <f>"131,4000"</f>
        <v>131,4000</v>
      </c>
      <c r="M33" s="11"/>
    </row>
    <row r="34" spans="1:13">
      <c r="B34" s="5" t="s">
        <v>52</v>
      </c>
    </row>
    <row r="35" spans="1:13" ht="16">
      <c r="A35" s="33" t="s">
        <v>10</v>
      </c>
      <c r="B35" s="33"/>
      <c r="C35" s="33"/>
      <c r="D35" s="33"/>
      <c r="E35" s="33"/>
      <c r="F35" s="33"/>
      <c r="G35" s="33"/>
      <c r="H35" s="33"/>
      <c r="I35" s="33"/>
      <c r="J35" s="33"/>
    </row>
    <row r="36" spans="1:13">
      <c r="A36" s="8" t="s">
        <v>51</v>
      </c>
      <c r="B36" s="7" t="s">
        <v>866</v>
      </c>
      <c r="C36" s="7" t="s">
        <v>867</v>
      </c>
      <c r="D36" s="7" t="s">
        <v>868</v>
      </c>
      <c r="E36" s="7" t="s">
        <v>1107</v>
      </c>
      <c r="F36" s="7" t="s">
        <v>869</v>
      </c>
      <c r="G36" s="18" t="s">
        <v>15</v>
      </c>
      <c r="H36" s="19" t="s">
        <v>177</v>
      </c>
      <c r="I36" s="19" t="s">
        <v>177</v>
      </c>
      <c r="J36" s="8"/>
      <c r="K36" s="8" t="str">
        <f>"235,0"</f>
        <v>235,0</v>
      </c>
      <c r="L36" s="8" t="str">
        <f>"159,5650"</f>
        <v>159,5650</v>
      </c>
      <c r="M36" s="7" t="s">
        <v>870</v>
      </c>
    </row>
    <row r="37" spans="1:13">
      <c r="A37" s="25" t="s">
        <v>51</v>
      </c>
      <c r="B37" s="24" t="s">
        <v>871</v>
      </c>
      <c r="C37" s="24" t="s">
        <v>872</v>
      </c>
      <c r="D37" s="24" t="s">
        <v>816</v>
      </c>
      <c r="E37" s="24" t="s">
        <v>1105</v>
      </c>
      <c r="F37" s="24" t="s">
        <v>1047</v>
      </c>
      <c r="G37" s="26" t="s">
        <v>173</v>
      </c>
      <c r="H37" s="26" t="s">
        <v>98</v>
      </c>
      <c r="I37" s="26" t="s">
        <v>170</v>
      </c>
      <c r="J37" s="25"/>
      <c r="K37" s="25" t="str">
        <f>"330,0"</f>
        <v>330,0</v>
      </c>
      <c r="L37" s="25" t="str">
        <f>"223,3770"</f>
        <v>223,3770</v>
      </c>
      <c r="M37" s="24"/>
    </row>
    <row r="38" spans="1:13">
      <c r="A38" s="10" t="s">
        <v>237</v>
      </c>
      <c r="B38" s="9" t="s">
        <v>873</v>
      </c>
      <c r="C38" s="9" t="s">
        <v>874</v>
      </c>
      <c r="D38" s="9" t="s">
        <v>379</v>
      </c>
      <c r="E38" s="9" t="s">
        <v>1105</v>
      </c>
      <c r="F38" s="9" t="s">
        <v>1047</v>
      </c>
      <c r="G38" s="21" t="s">
        <v>156</v>
      </c>
      <c r="H38" s="21" t="s">
        <v>20</v>
      </c>
      <c r="I38" s="20" t="s">
        <v>14</v>
      </c>
      <c r="J38" s="10"/>
      <c r="K38" s="10" t="str">
        <f>"215,0"</f>
        <v>215,0</v>
      </c>
      <c r="L38" s="10" t="str">
        <f>"147,9630"</f>
        <v>147,9630</v>
      </c>
      <c r="M38" s="9" t="s">
        <v>62</v>
      </c>
    </row>
    <row r="39" spans="1:13">
      <c r="B39" s="5" t="s">
        <v>52</v>
      </c>
    </row>
    <row r="40" spans="1:13" ht="16">
      <c r="A40" s="33" t="s">
        <v>151</v>
      </c>
      <c r="B40" s="33"/>
      <c r="C40" s="33"/>
      <c r="D40" s="33"/>
      <c r="E40" s="33"/>
      <c r="F40" s="33"/>
      <c r="G40" s="33"/>
      <c r="H40" s="33"/>
      <c r="I40" s="33"/>
      <c r="J40" s="33"/>
    </row>
    <row r="41" spans="1:13">
      <c r="A41" s="8" t="s">
        <v>51</v>
      </c>
      <c r="B41" s="7" t="s">
        <v>875</v>
      </c>
      <c r="C41" s="7" t="s">
        <v>876</v>
      </c>
      <c r="D41" s="7" t="s">
        <v>877</v>
      </c>
      <c r="E41" s="7" t="s">
        <v>1107</v>
      </c>
      <c r="F41" s="7" t="s">
        <v>1090</v>
      </c>
      <c r="G41" s="18" t="s">
        <v>155</v>
      </c>
      <c r="H41" s="18" t="s">
        <v>20</v>
      </c>
      <c r="I41" s="19" t="s">
        <v>14</v>
      </c>
      <c r="J41" s="8"/>
      <c r="K41" s="8" t="str">
        <f>"215,0"</f>
        <v>215,0</v>
      </c>
      <c r="L41" s="8" t="str">
        <f>"137,5570"</f>
        <v>137,5570</v>
      </c>
      <c r="M41" s="7" t="s">
        <v>870</v>
      </c>
    </row>
    <row r="42" spans="1:13">
      <c r="A42" s="25" t="s">
        <v>51</v>
      </c>
      <c r="B42" s="24" t="s">
        <v>878</v>
      </c>
      <c r="C42" s="24" t="s">
        <v>879</v>
      </c>
      <c r="D42" s="24" t="s">
        <v>880</v>
      </c>
      <c r="E42" s="24" t="s">
        <v>1105</v>
      </c>
      <c r="F42" s="24" t="s">
        <v>1047</v>
      </c>
      <c r="G42" s="26" t="s">
        <v>14</v>
      </c>
      <c r="H42" s="26" t="s">
        <v>22</v>
      </c>
      <c r="I42" s="26" t="s">
        <v>15</v>
      </c>
      <c r="J42" s="25"/>
      <c r="K42" s="25" t="str">
        <f>"235,0"</f>
        <v>235,0</v>
      </c>
      <c r="L42" s="25" t="str">
        <f>"151,9745"</f>
        <v>151,9745</v>
      </c>
      <c r="M42" s="24" t="s">
        <v>881</v>
      </c>
    </row>
    <row r="43" spans="1:13">
      <c r="A43" s="25" t="s">
        <v>237</v>
      </c>
      <c r="B43" s="24" t="s">
        <v>882</v>
      </c>
      <c r="C43" s="24" t="s">
        <v>883</v>
      </c>
      <c r="D43" s="24" t="s">
        <v>513</v>
      </c>
      <c r="E43" s="24" t="s">
        <v>1105</v>
      </c>
      <c r="F43" s="24" t="s">
        <v>1062</v>
      </c>
      <c r="G43" s="26" t="s">
        <v>80</v>
      </c>
      <c r="H43" s="26" t="s">
        <v>156</v>
      </c>
      <c r="I43" s="27" t="s">
        <v>26</v>
      </c>
      <c r="J43" s="25"/>
      <c r="K43" s="25" t="str">
        <f>"202,5"</f>
        <v>202,5</v>
      </c>
      <c r="L43" s="25" t="str">
        <f>"130,2480"</f>
        <v>130,2480</v>
      </c>
      <c r="M43" s="24"/>
    </row>
    <row r="44" spans="1:13">
      <c r="A44" s="25" t="s">
        <v>51</v>
      </c>
      <c r="B44" s="24" t="s">
        <v>742</v>
      </c>
      <c r="C44" s="24" t="s">
        <v>743</v>
      </c>
      <c r="D44" s="24" t="s">
        <v>385</v>
      </c>
      <c r="E44" s="24" t="s">
        <v>1106</v>
      </c>
      <c r="F44" s="24" t="s">
        <v>1047</v>
      </c>
      <c r="G44" s="26" t="s">
        <v>38</v>
      </c>
      <c r="H44" s="26" t="s">
        <v>20</v>
      </c>
      <c r="I44" s="26" t="s">
        <v>14</v>
      </c>
      <c r="J44" s="25"/>
      <c r="K44" s="25" t="str">
        <f>"220,0"</f>
        <v>220,0</v>
      </c>
      <c r="L44" s="25" t="str">
        <f>"141,2620"</f>
        <v>141,2620</v>
      </c>
      <c r="M44" s="24"/>
    </row>
    <row r="45" spans="1:13">
      <c r="A45" s="10" t="s">
        <v>237</v>
      </c>
      <c r="B45" s="9" t="s">
        <v>413</v>
      </c>
      <c r="C45" s="9" t="s">
        <v>414</v>
      </c>
      <c r="D45" s="9" t="s">
        <v>415</v>
      </c>
      <c r="E45" s="9" t="s">
        <v>1106</v>
      </c>
      <c r="F45" s="9" t="s">
        <v>1047</v>
      </c>
      <c r="G45" s="21" t="s">
        <v>140</v>
      </c>
      <c r="H45" s="21" t="s">
        <v>38</v>
      </c>
      <c r="I45" s="20" t="s">
        <v>20</v>
      </c>
      <c r="J45" s="10"/>
      <c r="K45" s="10" t="str">
        <f>"205,0"</f>
        <v>205,0</v>
      </c>
      <c r="L45" s="10" t="str">
        <f>"136,8756"</f>
        <v>136,8756</v>
      </c>
      <c r="M45" s="9"/>
    </row>
    <row r="46" spans="1:13">
      <c r="B46" s="5" t="s">
        <v>52</v>
      </c>
    </row>
    <row r="47" spans="1:13" ht="16">
      <c r="A47" s="33" t="s">
        <v>81</v>
      </c>
      <c r="B47" s="33"/>
      <c r="C47" s="33"/>
      <c r="D47" s="33"/>
      <c r="E47" s="33"/>
      <c r="F47" s="33"/>
      <c r="G47" s="33"/>
      <c r="H47" s="33"/>
      <c r="I47" s="33"/>
      <c r="J47" s="33"/>
    </row>
    <row r="48" spans="1:13">
      <c r="A48" s="8" t="s">
        <v>51</v>
      </c>
      <c r="B48" s="7" t="s">
        <v>884</v>
      </c>
      <c r="C48" s="7" t="s">
        <v>885</v>
      </c>
      <c r="D48" s="7" t="s">
        <v>886</v>
      </c>
      <c r="E48" s="7" t="s">
        <v>1110</v>
      </c>
      <c r="F48" s="7" t="s">
        <v>1091</v>
      </c>
      <c r="G48" s="18" t="s">
        <v>78</v>
      </c>
      <c r="H48" s="18" t="s">
        <v>80</v>
      </c>
      <c r="I48" s="18" t="s">
        <v>150</v>
      </c>
      <c r="J48" s="8"/>
      <c r="K48" s="8" t="str">
        <f>"190,0"</f>
        <v>190,0</v>
      </c>
      <c r="L48" s="8" t="str">
        <f>"117,4770"</f>
        <v>117,4770</v>
      </c>
      <c r="M48" s="7" t="s">
        <v>947</v>
      </c>
    </row>
    <row r="49" spans="1:13">
      <c r="A49" s="25" t="s">
        <v>51</v>
      </c>
      <c r="B49" s="24" t="s">
        <v>887</v>
      </c>
      <c r="C49" s="24" t="s">
        <v>888</v>
      </c>
      <c r="D49" s="24" t="s">
        <v>523</v>
      </c>
      <c r="E49" s="24" t="s">
        <v>1105</v>
      </c>
      <c r="F49" s="24" t="s">
        <v>1092</v>
      </c>
      <c r="G49" s="26" t="s">
        <v>155</v>
      </c>
      <c r="H49" s="26" t="s">
        <v>26</v>
      </c>
      <c r="I49" s="27" t="s">
        <v>20</v>
      </c>
      <c r="J49" s="25"/>
      <c r="K49" s="25" t="str">
        <f>"210,0"</f>
        <v>210,0</v>
      </c>
      <c r="L49" s="25" t="str">
        <f>"128,5830"</f>
        <v>128,5830</v>
      </c>
      <c r="M49" s="24" t="s">
        <v>994</v>
      </c>
    </row>
    <row r="50" spans="1:13">
      <c r="A50" s="10" t="s">
        <v>237</v>
      </c>
      <c r="B50" s="9" t="s">
        <v>889</v>
      </c>
      <c r="C50" s="9" t="s">
        <v>890</v>
      </c>
      <c r="D50" s="9" t="s">
        <v>84</v>
      </c>
      <c r="E50" s="9" t="s">
        <v>1105</v>
      </c>
      <c r="F50" s="9" t="s">
        <v>1047</v>
      </c>
      <c r="G50" s="21" t="s">
        <v>120</v>
      </c>
      <c r="H50" s="21" t="s">
        <v>210</v>
      </c>
      <c r="I50" s="21" t="s">
        <v>79</v>
      </c>
      <c r="J50" s="10"/>
      <c r="K50" s="10" t="str">
        <f>"170,0"</f>
        <v>170,0</v>
      </c>
      <c r="L50" s="10" t="str">
        <f>"103,8360"</f>
        <v>103,8360</v>
      </c>
      <c r="M50" s="9" t="s">
        <v>62</v>
      </c>
    </row>
    <row r="51" spans="1:13">
      <c r="B51" s="5" t="s">
        <v>52</v>
      </c>
    </row>
    <row r="52" spans="1:13" ht="16">
      <c r="A52" s="33" t="s">
        <v>30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3">
      <c r="A53" s="8" t="s">
        <v>51</v>
      </c>
      <c r="B53" s="7" t="s">
        <v>891</v>
      </c>
      <c r="C53" s="7" t="s">
        <v>892</v>
      </c>
      <c r="D53" s="7" t="s">
        <v>893</v>
      </c>
      <c r="E53" s="7" t="s">
        <v>1105</v>
      </c>
      <c r="F53" s="7" t="s">
        <v>1093</v>
      </c>
      <c r="G53" s="18" t="s">
        <v>894</v>
      </c>
      <c r="H53" s="18" t="s">
        <v>34</v>
      </c>
      <c r="I53" s="18" t="s">
        <v>29</v>
      </c>
      <c r="J53" s="8"/>
      <c r="K53" s="8" t="str">
        <f>"260,0"</f>
        <v>260,0</v>
      </c>
      <c r="L53" s="8" t="str">
        <f>"153,4780"</f>
        <v>153,4780</v>
      </c>
      <c r="M53" s="7"/>
    </row>
    <row r="54" spans="1:13">
      <c r="A54" s="10" t="s">
        <v>51</v>
      </c>
      <c r="B54" s="9" t="s">
        <v>445</v>
      </c>
      <c r="C54" s="9" t="s">
        <v>446</v>
      </c>
      <c r="D54" s="9" t="s">
        <v>447</v>
      </c>
      <c r="E54" s="9" t="s">
        <v>1112</v>
      </c>
      <c r="F54" s="9" t="s">
        <v>1061</v>
      </c>
      <c r="G54" s="21" t="s">
        <v>80</v>
      </c>
      <c r="H54" s="21" t="s">
        <v>140</v>
      </c>
      <c r="I54" s="21" t="s">
        <v>38</v>
      </c>
      <c r="J54" s="10"/>
      <c r="K54" s="10" t="str">
        <f>"205,0"</f>
        <v>205,0</v>
      </c>
      <c r="L54" s="10" t="str">
        <f>"220,7633"</f>
        <v>220,7633</v>
      </c>
      <c r="M54" s="9"/>
    </row>
    <row r="55" spans="1:13">
      <c r="B55" s="5" t="s">
        <v>52</v>
      </c>
    </row>
    <row r="56" spans="1:13" ht="16">
      <c r="A56" s="33" t="s">
        <v>212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3">
      <c r="A57" s="12" t="s">
        <v>51</v>
      </c>
      <c r="B57" s="11" t="s">
        <v>895</v>
      </c>
      <c r="C57" s="11" t="s">
        <v>896</v>
      </c>
      <c r="D57" s="11" t="s">
        <v>897</v>
      </c>
      <c r="E57" s="11" t="s">
        <v>1106</v>
      </c>
      <c r="F57" s="11" t="s">
        <v>1047</v>
      </c>
      <c r="G57" s="22" t="s">
        <v>29</v>
      </c>
      <c r="H57" s="22" t="s">
        <v>202</v>
      </c>
      <c r="I57" s="23" t="s">
        <v>166</v>
      </c>
      <c r="J57" s="12"/>
      <c r="K57" s="12" t="str">
        <f>"272,5"</f>
        <v>272,5</v>
      </c>
      <c r="L57" s="12" t="str">
        <f>"169,0266"</f>
        <v>169,0266</v>
      </c>
      <c r="M57" s="11"/>
    </row>
    <row r="58" spans="1:13">
      <c r="B58" s="5" t="s">
        <v>52</v>
      </c>
    </row>
    <row r="61" spans="1:13" ht="18">
      <c r="B61" s="13" t="s">
        <v>39</v>
      </c>
      <c r="C61" s="13"/>
    </row>
    <row r="62" spans="1:13" ht="16">
      <c r="B62" s="14" t="s">
        <v>95</v>
      </c>
      <c r="C62" s="14"/>
    </row>
    <row r="63" spans="1:13" ht="14">
      <c r="B63" s="15"/>
      <c r="C63" s="16" t="s">
        <v>41</v>
      </c>
    </row>
    <row r="64" spans="1:13" ht="14">
      <c r="B64" s="17" t="s">
        <v>42</v>
      </c>
      <c r="C64" s="17" t="s">
        <v>43</v>
      </c>
      <c r="D64" s="17" t="s">
        <v>1008</v>
      </c>
      <c r="E64" s="17" t="s">
        <v>485</v>
      </c>
      <c r="F64" s="17" t="s">
        <v>46</v>
      </c>
    </row>
    <row r="65" spans="2:6">
      <c r="B65" s="5" t="s">
        <v>294</v>
      </c>
      <c r="C65" s="5" t="s">
        <v>41</v>
      </c>
      <c r="D65" s="6" t="s">
        <v>225</v>
      </c>
      <c r="E65" s="6" t="s">
        <v>28</v>
      </c>
      <c r="F65" s="6" t="s">
        <v>898</v>
      </c>
    </row>
    <row r="66" spans="2:6">
      <c r="B66" s="5" t="s">
        <v>847</v>
      </c>
      <c r="C66" s="5" t="s">
        <v>41</v>
      </c>
      <c r="D66" s="6" t="s">
        <v>225</v>
      </c>
      <c r="E66" s="6" t="s">
        <v>28</v>
      </c>
      <c r="F66" s="6" t="s">
        <v>899</v>
      </c>
    </row>
    <row r="67" spans="2:6">
      <c r="B67" s="5" t="s">
        <v>321</v>
      </c>
      <c r="C67" s="5" t="s">
        <v>41</v>
      </c>
      <c r="D67" s="6" t="s">
        <v>456</v>
      </c>
      <c r="E67" s="6" t="s">
        <v>37</v>
      </c>
      <c r="F67" s="6" t="s">
        <v>900</v>
      </c>
    </row>
    <row r="69" spans="2:6" ht="16">
      <c r="B69" s="14" t="s">
        <v>40</v>
      </c>
      <c r="C69" s="14"/>
    </row>
    <row r="70" spans="2:6" ht="14">
      <c r="B70" s="15"/>
      <c r="C70" s="16" t="s">
        <v>41</v>
      </c>
    </row>
    <row r="71" spans="2:6" ht="14">
      <c r="B71" s="17" t="s">
        <v>42</v>
      </c>
      <c r="C71" s="17" t="s">
        <v>43</v>
      </c>
      <c r="D71" s="17" t="s">
        <v>1008</v>
      </c>
      <c r="E71" s="17" t="s">
        <v>485</v>
      </c>
      <c r="F71" s="17" t="s">
        <v>46</v>
      </c>
    </row>
    <row r="72" spans="2:6">
      <c r="B72" s="5" t="s">
        <v>871</v>
      </c>
      <c r="C72" s="5" t="s">
        <v>41</v>
      </c>
      <c r="D72" s="6" t="s">
        <v>47</v>
      </c>
      <c r="E72" s="6" t="s">
        <v>170</v>
      </c>
      <c r="F72" s="6" t="s">
        <v>901</v>
      </c>
    </row>
    <row r="73" spans="2:6">
      <c r="B73" s="5" t="s">
        <v>891</v>
      </c>
      <c r="C73" s="5" t="s">
        <v>41</v>
      </c>
      <c r="D73" s="6" t="s">
        <v>48</v>
      </c>
      <c r="E73" s="6" t="s">
        <v>29</v>
      </c>
      <c r="F73" s="6" t="s">
        <v>902</v>
      </c>
    </row>
    <row r="74" spans="2:6">
      <c r="B74" s="5" t="s">
        <v>878</v>
      </c>
      <c r="C74" s="5" t="s">
        <v>41</v>
      </c>
      <c r="D74" s="6" t="s">
        <v>235</v>
      </c>
      <c r="E74" s="6" t="s">
        <v>15</v>
      </c>
      <c r="F74" s="6" t="s">
        <v>903</v>
      </c>
    </row>
    <row r="75" spans="2:6">
      <c r="B75" s="5" t="s">
        <v>52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9:J29"/>
    <mergeCell ref="A32:J32"/>
    <mergeCell ref="K3:K4"/>
    <mergeCell ref="L3:L4"/>
    <mergeCell ref="M3:M4"/>
    <mergeCell ref="A5:J5"/>
    <mergeCell ref="B3:B4"/>
    <mergeCell ref="A9:J9"/>
    <mergeCell ref="A16:J16"/>
    <mergeCell ref="A21:J21"/>
    <mergeCell ref="A25:J25"/>
    <mergeCell ref="A35:J35"/>
    <mergeCell ref="A40:J40"/>
    <mergeCell ref="A47:J47"/>
    <mergeCell ref="A52:J52"/>
    <mergeCell ref="A56:J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8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4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44" t="s">
        <v>1023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9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116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51</v>
      </c>
      <c r="B6" s="7" t="s">
        <v>117</v>
      </c>
      <c r="C6" s="7" t="s">
        <v>118</v>
      </c>
      <c r="D6" s="7" t="s">
        <v>119</v>
      </c>
      <c r="E6" s="7" t="s">
        <v>1105</v>
      </c>
      <c r="F6" s="7" t="s">
        <v>1047</v>
      </c>
      <c r="G6" s="18" t="s">
        <v>79</v>
      </c>
      <c r="H6" s="19" t="s">
        <v>80</v>
      </c>
      <c r="I6" s="19" t="s">
        <v>80</v>
      </c>
      <c r="J6" s="8"/>
      <c r="K6" s="8" t="str">
        <f>"170,0"</f>
        <v>170,0</v>
      </c>
      <c r="L6" s="8" t="str">
        <f>"189,5330"</f>
        <v>189,5330</v>
      </c>
      <c r="M6" s="7" t="s">
        <v>123</v>
      </c>
    </row>
    <row r="7" spans="1:13">
      <c r="A7" s="10" t="s">
        <v>51</v>
      </c>
      <c r="B7" s="9" t="s">
        <v>117</v>
      </c>
      <c r="C7" s="9" t="s">
        <v>129</v>
      </c>
      <c r="D7" s="9" t="s">
        <v>119</v>
      </c>
      <c r="E7" s="9" t="s">
        <v>1106</v>
      </c>
      <c r="F7" s="9" t="s">
        <v>1047</v>
      </c>
      <c r="G7" s="21" t="s">
        <v>79</v>
      </c>
      <c r="H7" s="20" t="s">
        <v>80</v>
      </c>
      <c r="I7" s="20" t="s">
        <v>80</v>
      </c>
      <c r="J7" s="10"/>
      <c r="K7" s="10" t="str">
        <f>"170,0"</f>
        <v>170,0</v>
      </c>
      <c r="L7" s="10" t="str">
        <f>"190,4807"</f>
        <v>190,4807</v>
      </c>
      <c r="M7" s="9" t="s">
        <v>123</v>
      </c>
    </row>
    <row r="8" spans="1:13">
      <c r="B8" s="5" t="s">
        <v>52</v>
      </c>
    </row>
    <row r="9" spans="1:13" ht="16">
      <c r="A9" s="33" t="s">
        <v>63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2" t="s">
        <v>51</v>
      </c>
      <c r="B10" s="11" t="s">
        <v>821</v>
      </c>
      <c r="C10" s="11" t="s">
        <v>822</v>
      </c>
      <c r="D10" s="11" t="s">
        <v>823</v>
      </c>
      <c r="E10" s="11" t="s">
        <v>1105</v>
      </c>
      <c r="F10" s="11" t="s">
        <v>1047</v>
      </c>
      <c r="G10" s="22" t="s">
        <v>279</v>
      </c>
      <c r="H10" s="22" t="s">
        <v>210</v>
      </c>
      <c r="I10" s="23" t="s">
        <v>211</v>
      </c>
      <c r="J10" s="12"/>
      <c r="K10" s="12" t="str">
        <f>"162,5"</f>
        <v>162,5</v>
      </c>
      <c r="L10" s="12" t="str">
        <f>"156,2113"</f>
        <v>156,2113</v>
      </c>
      <c r="M10" s="11" t="s">
        <v>989</v>
      </c>
    </row>
    <row r="11" spans="1:13">
      <c r="B11" s="5" t="s">
        <v>52</v>
      </c>
    </row>
    <row r="12" spans="1:13" ht="16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51</v>
      </c>
      <c r="B13" s="7" t="s">
        <v>824</v>
      </c>
      <c r="C13" s="7" t="s">
        <v>825</v>
      </c>
      <c r="D13" s="7" t="s">
        <v>826</v>
      </c>
      <c r="E13" s="7" t="s">
        <v>1105</v>
      </c>
      <c r="F13" s="7" t="s">
        <v>1094</v>
      </c>
      <c r="G13" s="19" t="s">
        <v>29</v>
      </c>
      <c r="H13" s="18" t="s">
        <v>29</v>
      </c>
      <c r="I13" s="19" t="s">
        <v>93</v>
      </c>
      <c r="J13" s="8"/>
      <c r="K13" s="8" t="str">
        <f>"260,0"</f>
        <v>260,0</v>
      </c>
      <c r="L13" s="8" t="str">
        <f>"178,6460"</f>
        <v>178,6460</v>
      </c>
      <c r="M13" s="7"/>
    </row>
    <row r="14" spans="1:13">
      <c r="A14" s="25" t="s">
        <v>51</v>
      </c>
      <c r="B14" s="24" t="s">
        <v>824</v>
      </c>
      <c r="C14" s="24" t="s">
        <v>827</v>
      </c>
      <c r="D14" s="24" t="s">
        <v>826</v>
      </c>
      <c r="E14" s="24" t="s">
        <v>1106</v>
      </c>
      <c r="F14" s="24" t="s">
        <v>1094</v>
      </c>
      <c r="G14" s="27" t="s">
        <v>29</v>
      </c>
      <c r="H14" s="26" t="s">
        <v>29</v>
      </c>
      <c r="I14" s="27" t="s">
        <v>93</v>
      </c>
      <c r="J14" s="25"/>
      <c r="K14" s="25" t="str">
        <f>"260,0"</f>
        <v>260,0</v>
      </c>
      <c r="L14" s="25" t="str">
        <f>"189,3648"</f>
        <v>189,3648</v>
      </c>
      <c r="M14" s="24"/>
    </row>
    <row r="15" spans="1:13">
      <c r="A15" s="10" t="s">
        <v>51</v>
      </c>
      <c r="B15" s="9" t="s">
        <v>147</v>
      </c>
      <c r="C15" s="9" t="s">
        <v>148</v>
      </c>
      <c r="D15" s="9" t="s">
        <v>149</v>
      </c>
      <c r="E15" s="9" t="s">
        <v>1109</v>
      </c>
      <c r="F15" s="9" t="s">
        <v>1047</v>
      </c>
      <c r="G15" s="21" t="s">
        <v>78</v>
      </c>
      <c r="H15" s="21" t="s">
        <v>80</v>
      </c>
      <c r="I15" s="20" t="s">
        <v>155</v>
      </c>
      <c r="J15" s="10"/>
      <c r="K15" s="10" t="str">
        <f>"180,0"</f>
        <v>180,0</v>
      </c>
      <c r="L15" s="10" t="str">
        <f>"147,9758"</f>
        <v>147,9758</v>
      </c>
      <c r="M15" s="9" t="s">
        <v>995</v>
      </c>
    </row>
    <row r="16" spans="1:13">
      <c r="B16" s="5" t="s">
        <v>52</v>
      </c>
    </row>
    <row r="17" spans="1:13" ht="16">
      <c r="A17" s="33" t="s">
        <v>151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8" t="s">
        <v>51</v>
      </c>
      <c r="B18" s="7" t="s">
        <v>828</v>
      </c>
      <c r="C18" s="7" t="s">
        <v>829</v>
      </c>
      <c r="D18" s="7" t="s">
        <v>830</v>
      </c>
      <c r="E18" s="7" t="s">
        <v>1105</v>
      </c>
      <c r="F18" s="7" t="s">
        <v>1051</v>
      </c>
      <c r="G18" s="19" t="s">
        <v>166</v>
      </c>
      <c r="H18" s="18" t="s">
        <v>166</v>
      </c>
      <c r="I18" s="19" t="s">
        <v>173</v>
      </c>
      <c r="J18" s="8"/>
      <c r="K18" s="8" t="str">
        <f>"280,0"</f>
        <v>280,0</v>
      </c>
      <c r="L18" s="8" t="str">
        <f>"182,0840"</f>
        <v>182,0840</v>
      </c>
      <c r="M18" s="7"/>
    </row>
    <row r="19" spans="1:13">
      <c r="A19" s="25" t="s">
        <v>237</v>
      </c>
      <c r="B19" s="24" t="s">
        <v>831</v>
      </c>
      <c r="C19" s="24" t="s">
        <v>832</v>
      </c>
      <c r="D19" s="24" t="s">
        <v>833</v>
      </c>
      <c r="E19" s="24" t="s">
        <v>1105</v>
      </c>
      <c r="F19" s="24" t="s">
        <v>1047</v>
      </c>
      <c r="G19" s="26" t="s">
        <v>26</v>
      </c>
      <c r="H19" s="26" t="s">
        <v>14</v>
      </c>
      <c r="I19" s="26" t="s">
        <v>22</v>
      </c>
      <c r="J19" s="25"/>
      <c r="K19" s="25" t="str">
        <f>"230,0"</f>
        <v>230,0</v>
      </c>
      <c r="L19" s="25" t="str">
        <f>"148,1200"</f>
        <v>148,1200</v>
      </c>
      <c r="M19" s="24" t="s">
        <v>996</v>
      </c>
    </row>
    <row r="20" spans="1:13">
      <c r="A20" s="10" t="s">
        <v>51</v>
      </c>
      <c r="B20" s="9" t="s">
        <v>834</v>
      </c>
      <c r="C20" s="9" t="s">
        <v>835</v>
      </c>
      <c r="D20" s="9" t="s">
        <v>836</v>
      </c>
      <c r="E20" s="9" t="s">
        <v>1106</v>
      </c>
      <c r="F20" s="9" t="s">
        <v>1047</v>
      </c>
      <c r="G20" s="21" t="s">
        <v>26</v>
      </c>
      <c r="H20" s="21" t="s">
        <v>14</v>
      </c>
      <c r="I20" s="20" t="s">
        <v>22</v>
      </c>
      <c r="J20" s="10"/>
      <c r="K20" s="10" t="str">
        <f>"220,0"</f>
        <v>220,0</v>
      </c>
      <c r="L20" s="10" t="str">
        <f>"142,0346"</f>
        <v>142,0346</v>
      </c>
      <c r="M20" s="9"/>
    </row>
    <row r="21" spans="1:13">
      <c r="B21" s="5" t="s">
        <v>52</v>
      </c>
    </row>
    <row r="22" spans="1:13" ht="16">
      <c r="A22" s="33" t="s">
        <v>81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12" t="s">
        <v>51</v>
      </c>
      <c r="B23" s="11" t="s">
        <v>174</v>
      </c>
      <c r="C23" s="11" t="s">
        <v>175</v>
      </c>
      <c r="D23" s="11" t="s">
        <v>176</v>
      </c>
      <c r="E23" s="11" t="s">
        <v>1105</v>
      </c>
      <c r="F23" s="11" t="s">
        <v>1064</v>
      </c>
      <c r="G23" s="22" t="s">
        <v>169</v>
      </c>
      <c r="H23" s="22" t="s">
        <v>180</v>
      </c>
      <c r="I23" s="23" t="s">
        <v>181</v>
      </c>
      <c r="J23" s="12"/>
      <c r="K23" s="12" t="str">
        <f>"340,0"</f>
        <v>340,0</v>
      </c>
      <c r="L23" s="12" t="str">
        <f>"215,8660"</f>
        <v>215,8660</v>
      </c>
      <c r="M23" s="11"/>
    </row>
    <row r="24" spans="1:13">
      <c r="B24" s="5" t="s">
        <v>52</v>
      </c>
    </row>
    <row r="25" spans="1:13" ht="16">
      <c r="A25" s="33" t="s">
        <v>212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8" t="s">
        <v>51</v>
      </c>
      <c r="B26" s="7" t="s">
        <v>837</v>
      </c>
      <c r="C26" s="7" t="s">
        <v>838</v>
      </c>
      <c r="D26" s="7" t="s">
        <v>839</v>
      </c>
      <c r="E26" s="7" t="s">
        <v>1105</v>
      </c>
      <c r="F26" s="7" t="s">
        <v>1047</v>
      </c>
      <c r="G26" s="18" t="s">
        <v>197</v>
      </c>
      <c r="H26" s="18" t="s">
        <v>35</v>
      </c>
      <c r="I26" s="18" t="s">
        <v>166</v>
      </c>
      <c r="J26" s="8"/>
      <c r="K26" s="8" t="str">
        <f>"280,0"</f>
        <v>280,0</v>
      </c>
      <c r="L26" s="8" t="str">
        <f>"159,6560"</f>
        <v>159,6560</v>
      </c>
      <c r="M26" s="7"/>
    </row>
    <row r="27" spans="1:13">
      <c r="A27" s="10" t="s">
        <v>237</v>
      </c>
      <c r="B27" s="9" t="s">
        <v>817</v>
      </c>
      <c r="C27" s="9" t="s">
        <v>818</v>
      </c>
      <c r="D27" s="9" t="s">
        <v>819</v>
      </c>
      <c r="E27" s="9" t="s">
        <v>1105</v>
      </c>
      <c r="F27" s="9" t="s">
        <v>1047</v>
      </c>
      <c r="G27" s="21" t="s">
        <v>22</v>
      </c>
      <c r="H27" s="21" t="s">
        <v>146</v>
      </c>
      <c r="I27" s="21" t="s">
        <v>177</v>
      </c>
      <c r="J27" s="10"/>
      <c r="K27" s="10" t="str">
        <f>"252,5"</f>
        <v>252,5</v>
      </c>
      <c r="L27" s="10" t="str">
        <f>"148,1922"</f>
        <v>148,1922</v>
      </c>
      <c r="M27" s="9" t="s">
        <v>991</v>
      </c>
    </row>
    <row r="28" spans="1:13">
      <c r="B28" s="5" t="s">
        <v>52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9:J9"/>
    <mergeCell ref="A12:J12"/>
    <mergeCell ref="A17:J17"/>
    <mergeCell ref="A22:J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61"/>
  <sheetViews>
    <sheetView topLeftCell="A16" workbookViewId="0">
      <selection activeCell="E51" sqref="E51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28" bestFit="1" customWidth="1"/>
    <col min="12" max="12" width="7.5" style="6" bestFit="1" customWidth="1"/>
    <col min="13" max="13" width="16.6640625" style="5" bestFit="1" customWidth="1"/>
    <col min="14" max="16384" width="9.1640625" style="3"/>
  </cols>
  <sheetData>
    <row r="1" spans="1:13" s="2" customFormat="1" ht="29" customHeight="1">
      <c r="A1" s="44" t="s">
        <v>1044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1045</v>
      </c>
      <c r="H3" s="38"/>
      <c r="I3" s="38"/>
      <c r="J3" s="38"/>
      <c r="K3" s="36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108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51</v>
      </c>
      <c r="B6" s="7" t="s">
        <v>917</v>
      </c>
      <c r="C6" s="7" t="s">
        <v>1025</v>
      </c>
      <c r="D6" s="7" t="s">
        <v>918</v>
      </c>
      <c r="E6" s="7" t="s">
        <v>1104</v>
      </c>
      <c r="F6" s="7" t="s">
        <v>1095</v>
      </c>
      <c r="G6" s="18" t="s">
        <v>919</v>
      </c>
      <c r="H6" s="19" t="s">
        <v>920</v>
      </c>
      <c r="I6" s="19" t="s">
        <v>920</v>
      </c>
      <c r="J6" s="8"/>
      <c r="K6" s="29" t="str">
        <f>"25,0"</f>
        <v>25,0</v>
      </c>
      <c r="L6" s="8" t="str">
        <f>"26,4025"</f>
        <v>26,4025</v>
      </c>
      <c r="M6" s="7" t="s">
        <v>921</v>
      </c>
    </row>
    <row r="7" spans="1:13">
      <c r="A7" s="10" t="s">
        <v>51</v>
      </c>
      <c r="B7" s="9" t="s">
        <v>922</v>
      </c>
      <c r="C7" s="9" t="s">
        <v>923</v>
      </c>
      <c r="D7" s="9" t="s">
        <v>274</v>
      </c>
      <c r="E7" s="9" t="s">
        <v>1105</v>
      </c>
      <c r="F7" s="9" t="s">
        <v>1047</v>
      </c>
      <c r="G7" s="21" t="s">
        <v>919</v>
      </c>
      <c r="H7" s="21" t="s">
        <v>920</v>
      </c>
      <c r="I7" s="20" t="s">
        <v>305</v>
      </c>
      <c r="J7" s="10"/>
      <c r="K7" s="30" t="str">
        <f>"27,5"</f>
        <v>27,5</v>
      </c>
      <c r="L7" s="10" t="str">
        <f>"29,3398"</f>
        <v>29,3398</v>
      </c>
      <c r="M7" s="9" t="s">
        <v>924</v>
      </c>
    </row>
    <row r="8" spans="1:13">
      <c r="B8" s="5" t="s">
        <v>52</v>
      </c>
    </row>
    <row r="9" spans="1:13" ht="16">
      <c r="A9" s="33" t="s">
        <v>53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2" t="s">
        <v>51</v>
      </c>
      <c r="B10" s="11" t="s">
        <v>925</v>
      </c>
      <c r="C10" s="11" t="s">
        <v>1026</v>
      </c>
      <c r="D10" s="11" t="s">
        <v>926</v>
      </c>
      <c r="E10" s="11" t="s">
        <v>1104</v>
      </c>
      <c r="F10" s="11" t="s">
        <v>1047</v>
      </c>
      <c r="G10" s="22" t="s">
        <v>306</v>
      </c>
      <c r="H10" s="22" t="s">
        <v>244</v>
      </c>
      <c r="I10" s="22" t="s">
        <v>127</v>
      </c>
      <c r="J10" s="12"/>
      <c r="K10" s="32" t="str">
        <f>"42,5"</f>
        <v>42,5</v>
      </c>
      <c r="L10" s="12" t="str">
        <f>"44,4507"</f>
        <v>44,4507</v>
      </c>
      <c r="M10" s="11"/>
    </row>
    <row r="11" spans="1:13">
      <c r="B11" s="5" t="s">
        <v>52</v>
      </c>
    </row>
    <row r="12" spans="1:13" ht="16">
      <c r="A12" s="33" t="s">
        <v>116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51</v>
      </c>
      <c r="B13" s="7" t="s">
        <v>927</v>
      </c>
      <c r="C13" s="7" t="s">
        <v>928</v>
      </c>
      <c r="D13" s="7" t="s">
        <v>929</v>
      </c>
      <c r="E13" s="7" t="s">
        <v>1105</v>
      </c>
      <c r="F13" s="7" t="s">
        <v>1095</v>
      </c>
      <c r="G13" s="18" t="s">
        <v>256</v>
      </c>
      <c r="H13" s="18" t="s">
        <v>58</v>
      </c>
      <c r="I13" s="19" t="s">
        <v>930</v>
      </c>
      <c r="J13" s="8"/>
      <c r="K13" s="29" t="str">
        <f>"60,0"</f>
        <v>60,0</v>
      </c>
      <c r="L13" s="8" t="str">
        <f>"50,7150"</f>
        <v>50,7150</v>
      </c>
      <c r="M13" s="7"/>
    </row>
    <row r="14" spans="1:13">
      <c r="A14" s="25" t="s">
        <v>237</v>
      </c>
      <c r="B14" s="24" t="s">
        <v>931</v>
      </c>
      <c r="C14" s="24" t="s">
        <v>932</v>
      </c>
      <c r="D14" s="24" t="s">
        <v>933</v>
      </c>
      <c r="E14" s="24" t="s">
        <v>1105</v>
      </c>
      <c r="F14" s="24" t="s">
        <v>1096</v>
      </c>
      <c r="G14" s="26" t="s">
        <v>127</v>
      </c>
      <c r="H14" s="27" t="s">
        <v>115</v>
      </c>
      <c r="I14" s="27" t="s">
        <v>115</v>
      </c>
      <c r="J14" s="25"/>
      <c r="K14" s="31" t="str">
        <f>"42,5"</f>
        <v>42,5</v>
      </c>
      <c r="L14" s="25" t="str">
        <f>"37,5190"</f>
        <v>37,5190</v>
      </c>
      <c r="M14" s="24"/>
    </row>
    <row r="15" spans="1:13">
      <c r="A15" s="10" t="s">
        <v>51</v>
      </c>
      <c r="B15" s="9" t="s">
        <v>927</v>
      </c>
      <c r="C15" s="9" t="s">
        <v>1027</v>
      </c>
      <c r="D15" s="9" t="s">
        <v>929</v>
      </c>
      <c r="E15" s="9" t="s">
        <v>1106</v>
      </c>
      <c r="F15" s="9" t="s">
        <v>1095</v>
      </c>
      <c r="G15" s="21" t="s">
        <v>256</v>
      </c>
      <c r="H15" s="21" t="s">
        <v>58</v>
      </c>
      <c r="I15" s="20" t="s">
        <v>930</v>
      </c>
      <c r="J15" s="10"/>
      <c r="K15" s="30" t="str">
        <f>"60,0"</f>
        <v>60,0</v>
      </c>
      <c r="L15" s="10" t="str">
        <f>"54,1636"</f>
        <v>54,1636</v>
      </c>
      <c r="M15" s="9"/>
    </row>
    <row r="16" spans="1:13">
      <c r="B16" s="5" t="s">
        <v>52</v>
      </c>
    </row>
    <row r="17" spans="1:13" ht="16">
      <c r="A17" s="33" t="s">
        <v>310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8" t="s">
        <v>470</v>
      </c>
      <c r="B18" s="7" t="s">
        <v>934</v>
      </c>
      <c r="C18" s="7" t="s">
        <v>1028</v>
      </c>
      <c r="D18" s="7" t="s">
        <v>935</v>
      </c>
      <c r="E18" s="7" t="s">
        <v>1104</v>
      </c>
      <c r="F18" s="7" t="s">
        <v>1097</v>
      </c>
      <c r="G18" s="19" t="s">
        <v>256</v>
      </c>
      <c r="H18" s="19" t="s">
        <v>256</v>
      </c>
      <c r="I18" s="19" t="s">
        <v>256</v>
      </c>
      <c r="J18" s="8"/>
      <c r="K18" s="29">
        <v>0</v>
      </c>
      <c r="L18" s="8" t="str">
        <f>"0,0000"</f>
        <v>0,0000</v>
      </c>
      <c r="M18" s="7"/>
    </row>
    <row r="19" spans="1:13">
      <c r="A19" s="25" t="s">
        <v>470</v>
      </c>
      <c r="B19" s="24" t="s">
        <v>934</v>
      </c>
      <c r="C19" s="24" t="s">
        <v>936</v>
      </c>
      <c r="D19" s="24" t="s">
        <v>935</v>
      </c>
      <c r="E19" s="24" t="s">
        <v>1105</v>
      </c>
      <c r="F19" s="24" t="s">
        <v>1097</v>
      </c>
      <c r="G19" s="27" t="s">
        <v>256</v>
      </c>
      <c r="H19" s="27" t="s">
        <v>256</v>
      </c>
      <c r="I19" s="27" t="s">
        <v>256</v>
      </c>
      <c r="J19" s="25"/>
      <c r="K19" s="31">
        <v>0</v>
      </c>
      <c r="L19" s="25" t="str">
        <f>"0,0000"</f>
        <v>0,0000</v>
      </c>
      <c r="M19" s="24"/>
    </row>
    <row r="20" spans="1:13">
      <c r="A20" s="10" t="s">
        <v>470</v>
      </c>
      <c r="B20" s="9" t="s">
        <v>937</v>
      </c>
      <c r="C20" s="9" t="s">
        <v>938</v>
      </c>
      <c r="D20" s="9" t="s">
        <v>939</v>
      </c>
      <c r="E20" s="9" t="s">
        <v>1105</v>
      </c>
      <c r="F20" s="9" t="s">
        <v>1047</v>
      </c>
      <c r="G20" s="20" t="s">
        <v>244</v>
      </c>
      <c r="H20" s="20" t="s">
        <v>244</v>
      </c>
      <c r="I20" s="20" t="s">
        <v>244</v>
      </c>
      <c r="J20" s="10"/>
      <c r="K20" s="30">
        <v>0</v>
      </c>
      <c r="L20" s="10" t="str">
        <f>"0,0000"</f>
        <v>0,0000</v>
      </c>
      <c r="M20" s="9" t="s">
        <v>992</v>
      </c>
    </row>
    <row r="21" spans="1:13">
      <c r="B21" s="5" t="s">
        <v>52</v>
      </c>
    </row>
    <row r="22" spans="1:13" ht="16">
      <c r="A22" s="33" t="s">
        <v>63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8" t="s">
        <v>51</v>
      </c>
      <c r="B23" s="7" t="s">
        <v>940</v>
      </c>
      <c r="C23" s="7" t="s">
        <v>1029</v>
      </c>
      <c r="D23" s="7" t="s">
        <v>941</v>
      </c>
      <c r="E23" s="7" t="s">
        <v>1107</v>
      </c>
      <c r="F23" s="7" t="s">
        <v>1047</v>
      </c>
      <c r="G23" s="18" t="s">
        <v>106</v>
      </c>
      <c r="H23" s="18" t="s">
        <v>263</v>
      </c>
      <c r="I23" s="19" t="s">
        <v>58</v>
      </c>
      <c r="J23" s="8"/>
      <c r="K23" s="29" t="str">
        <f>"55,0"</f>
        <v>55,0</v>
      </c>
      <c r="L23" s="8" t="str">
        <f>"38,8520"</f>
        <v>38,8520</v>
      </c>
      <c r="M23" s="7"/>
    </row>
    <row r="24" spans="1:13">
      <c r="A24" s="25" t="s">
        <v>51</v>
      </c>
      <c r="B24" s="24" t="s">
        <v>942</v>
      </c>
      <c r="C24" s="24" t="s">
        <v>943</v>
      </c>
      <c r="D24" s="24" t="s">
        <v>944</v>
      </c>
      <c r="E24" s="24" t="s">
        <v>1105</v>
      </c>
      <c r="F24" s="24" t="s">
        <v>1050</v>
      </c>
      <c r="G24" s="26" t="s">
        <v>87</v>
      </c>
      <c r="H24" s="26" t="s">
        <v>114</v>
      </c>
      <c r="I24" s="27" t="s">
        <v>126</v>
      </c>
      <c r="J24" s="25"/>
      <c r="K24" s="31" t="str">
        <f>"82,5"</f>
        <v>82,5</v>
      </c>
      <c r="L24" s="25" t="str">
        <f>"59,0411"</f>
        <v>59,0411</v>
      </c>
      <c r="M24" s="24"/>
    </row>
    <row r="25" spans="1:13">
      <c r="A25" s="25" t="s">
        <v>237</v>
      </c>
      <c r="B25" s="24" t="s">
        <v>945</v>
      </c>
      <c r="C25" s="24" t="s">
        <v>946</v>
      </c>
      <c r="D25" s="24" t="s">
        <v>944</v>
      </c>
      <c r="E25" s="24" t="s">
        <v>1105</v>
      </c>
      <c r="F25" s="24" t="s">
        <v>1091</v>
      </c>
      <c r="G25" s="26" t="s">
        <v>262</v>
      </c>
      <c r="H25" s="26" t="s">
        <v>256</v>
      </c>
      <c r="I25" s="27" t="s">
        <v>58</v>
      </c>
      <c r="J25" s="25"/>
      <c r="K25" s="31" t="str">
        <f>"57,5"</f>
        <v>57,5</v>
      </c>
      <c r="L25" s="25" t="str">
        <f>"41,1499"</f>
        <v>41,1499</v>
      </c>
      <c r="M25" s="24" t="s">
        <v>947</v>
      </c>
    </row>
    <row r="26" spans="1:13">
      <c r="A26" s="10" t="s">
        <v>51</v>
      </c>
      <c r="B26" s="9" t="s">
        <v>948</v>
      </c>
      <c r="C26" s="9" t="s">
        <v>949</v>
      </c>
      <c r="D26" s="9" t="s">
        <v>950</v>
      </c>
      <c r="E26" s="9" t="s">
        <v>1108</v>
      </c>
      <c r="F26" s="9" t="s">
        <v>1053</v>
      </c>
      <c r="G26" s="21" t="s">
        <v>306</v>
      </c>
      <c r="H26" s="21" t="s">
        <v>244</v>
      </c>
      <c r="I26" s="21" t="s">
        <v>127</v>
      </c>
      <c r="J26" s="10"/>
      <c r="K26" s="30" t="str">
        <f>"42,5"</f>
        <v>42,5</v>
      </c>
      <c r="L26" s="10" t="str">
        <f>"51,0676"</f>
        <v>51,0676</v>
      </c>
      <c r="M26" s="9"/>
    </row>
    <row r="27" spans="1:13">
      <c r="B27" s="5" t="s">
        <v>52</v>
      </c>
    </row>
    <row r="28" spans="1:13" ht="16">
      <c r="A28" s="33" t="s">
        <v>10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8" t="s">
        <v>51</v>
      </c>
      <c r="B29" s="7" t="s">
        <v>951</v>
      </c>
      <c r="C29" s="7" t="s">
        <v>952</v>
      </c>
      <c r="D29" s="7" t="s">
        <v>369</v>
      </c>
      <c r="E29" s="7" t="s">
        <v>1105</v>
      </c>
      <c r="F29" s="7" t="s">
        <v>1098</v>
      </c>
      <c r="G29" s="18" t="s">
        <v>953</v>
      </c>
      <c r="H29" s="19" t="s">
        <v>68</v>
      </c>
      <c r="I29" s="19" t="s">
        <v>68</v>
      </c>
      <c r="J29" s="8"/>
      <c r="K29" s="29" t="str">
        <f>"73,0"</f>
        <v>73,0</v>
      </c>
      <c r="L29" s="8" t="str">
        <f>"47,2785"</f>
        <v>47,2785</v>
      </c>
      <c r="M29" s="7"/>
    </row>
    <row r="30" spans="1:13">
      <c r="A30" s="25" t="s">
        <v>237</v>
      </c>
      <c r="B30" s="24" t="s">
        <v>954</v>
      </c>
      <c r="C30" s="24" t="s">
        <v>955</v>
      </c>
      <c r="D30" s="24" t="s">
        <v>956</v>
      </c>
      <c r="E30" s="24" t="s">
        <v>1105</v>
      </c>
      <c r="F30" s="24" t="s">
        <v>1047</v>
      </c>
      <c r="G30" s="26" t="s">
        <v>106</v>
      </c>
      <c r="H30" s="26" t="s">
        <v>256</v>
      </c>
      <c r="I30" s="27" t="s">
        <v>267</v>
      </c>
      <c r="J30" s="25"/>
      <c r="K30" s="31" t="str">
        <f>"57,5"</f>
        <v>57,5</v>
      </c>
      <c r="L30" s="25" t="str">
        <f>"38,4186"</f>
        <v>38,4186</v>
      </c>
      <c r="M30" s="24"/>
    </row>
    <row r="31" spans="1:13">
      <c r="A31" s="25" t="s">
        <v>238</v>
      </c>
      <c r="B31" s="24" t="s">
        <v>957</v>
      </c>
      <c r="C31" s="24" t="s">
        <v>958</v>
      </c>
      <c r="D31" s="24" t="s">
        <v>139</v>
      </c>
      <c r="E31" s="24" t="s">
        <v>1105</v>
      </c>
      <c r="F31" s="24" t="s">
        <v>1047</v>
      </c>
      <c r="G31" s="26" t="s">
        <v>263</v>
      </c>
      <c r="H31" s="27" t="s">
        <v>58</v>
      </c>
      <c r="I31" s="27" t="s">
        <v>58</v>
      </c>
      <c r="J31" s="25"/>
      <c r="K31" s="31" t="str">
        <f>"55,0"</f>
        <v>55,0</v>
      </c>
      <c r="L31" s="25" t="str">
        <f>"36,1515"</f>
        <v>36,1515</v>
      </c>
      <c r="M31" s="24"/>
    </row>
    <row r="32" spans="1:13">
      <c r="A32" s="10" t="s">
        <v>51</v>
      </c>
      <c r="B32" s="9" t="s">
        <v>951</v>
      </c>
      <c r="C32" s="9" t="s">
        <v>1030</v>
      </c>
      <c r="D32" s="9" t="s">
        <v>369</v>
      </c>
      <c r="E32" s="9" t="s">
        <v>1106</v>
      </c>
      <c r="F32" s="9" t="s">
        <v>1098</v>
      </c>
      <c r="G32" s="21" t="s">
        <v>953</v>
      </c>
      <c r="H32" s="20" t="s">
        <v>68</v>
      </c>
      <c r="I32" s="20" t="s">
        <v>68</v>
      </c>
      <c r="J32" s="10"/>
      <c r="K32" s="30" t="str">
        <f>"73,0"</f>
        <v>73,0</v>
      </c>
      <c r="L32" s="10" t="str">
        <f>"51,8645"</f>
        <v>51,8645</v>
      </c>
      <c r="M32" s="9"/>
    </row>
    <row r="33" spans="1:13">
      <c r="B33" s="5" t="s">
        <v>52</v>
      </c>
    </row>
    <row r="34" spans="1:13" ht="16">
      <c r="A34" s="33" t="s">
        <v>151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3">
      <c r="A35" s="8" t="s">
        <v>51</v>
      </c>
      <c r="B35" s="7" t="s">
        <v>959</v>
      </c>
      <c r="C35" s="7" t="s">
        <v>1031</v>
      </c>
      <c r="D35" s="7" t="s">
        <v>960</v>
      </c>
      <c r="E35" s="7" t="s">
        <v>1104</v>
      </c>
      <c r="F35" s="7" t="s">
        <v>1091</v>
      </c>
      <c r="G35" s="18" t="s">
        <v>127</v>
      </c>
      <c r="H35" s="18" t="s">
        <v>262</v>
      </c>
      <c r="I35" s="18" t="s">
        <v>256</v>
      </c>
      <c r="J35" s="8"/>
      <c r="K35" s="29" t="str">
        <f>"57,5"</f>
        <v>57,5</v>
      </c>
      <c r="L35" s="8" t="str">
        <f>"36,0439"</f>
        <v>36,0439</v>
      </c>
      <c r="M35" s="7" t="s">
        <v>947</v>
      </c>
    </row>
    <row r="36" spans="1:13">
      <c r="A36" s="25" t="s">
        <v>51</v>
      </c>
      <c r="B36" s="24" t="s">
        <v>508</v>
      </c>
      <c r="C36" s="24" t="s">
        <v>509</v>
      </c>
      <c r="D36" s="24" t="s">
        <v>510</v>
      </c>
      <c r="E36" s="24" t="s">
        <v>1105</v>
      </c>
      <c r="F36" s="24" t="s">
        <v>1084</v>
      </c>
      <c r="G36" s="26" t="s">
        <v>60</v>
      </c>
      <c r="H36" s="26" t="s">
        <v>68</v>
      </c>
      <c r="I36" s="27" t="s">
        <v>961</v>
      </c>
      <c r="J36" s="25"/>
      <c r="K36" s="31" t="str">
        <f>"75,0"</f>
        <v>75,0</v>
      </c>
      <c r="L36" s="25" t="str">
        <f>"47,0775"</f>
        <v>47,0775</v>
      </c>
      <c r="M36" s="24"/>
    </row>
    <row r="37" spans="1:13">
      <c r="A37" s="25" t="s">
        <v>237</v>
      </c>
      <c r="B37" s="24" t="s">
        <v>962</v>
      </c>
      <c r="C37" s="24" t="s">
        <v>963</v>
      </c>
      <c r="D37" s="24" t="s">
        <v>964</v>
      </c>
      <c r="E37" s="24" t="s">
        <v>1105</v>
      </c>
      <c r="F37" s="24" t="s">
        <v>1091</v>
      </c>
      <c r="G37" s="26" t="s">
        <v>262</v>
      </c>
      <c r="H37" s="27" t="s">
        <v>256</v>
      </c>
      <c r="I37" s="27" t="s">
        <v>256</v>
      </c>
      <c r="J37" s="25"/>
      <c r="K37" s="31" t="str">
        <f>"52,5"</f>
        <v>52,5</v>
      </c>
      <c r="L37" s="25" t="str">
        <f>"33,6079"</f>
        <v>33,6079</v>
      </c>
      <c r="M37" s="24" t="s">
        <v>947</v>
      </c>
    </row>
    <row r="38" spans="1:13">
      <c r="A38" s="25" t="s">
        <v>51</v>
      </c>
      <c r="B38" s="24" t="s">
        <v>508</v>
      </c>
      <c r="C38" s="24" t="s">
        <v>515</v>
      </c>
      <c r="D38" s="24" t="s">
        <v>510</v>
      </c>
      <c r="E38" s="24" t="s">
        <v>1106</v>
      </c>
      <c r="F38" s="24" t="s">
        <v>1084</v>
      </c>
      <c r="G38" s="26" t="s">
        <v>60</v>
      </c>
      <c r="H38" s="26" t="s">
        <v>68</v>
      </c>
      <c r="I38" s="27" t="s">
        <v>961</v>
      </c>
      <c r="J38" s="25"/>
      <c r="K38" s="31" t="str">
        <f>"75,0"</f>
        <v>75,0</v>
      </c>
      <c r="L38" s="25" t="str">
        <f>"49,1018"</f>
        <v>49,1018</v>
      </c>
      <c r="M38" s="24"/>
    </row>
    <row r="39" spans="1:13">
      <c r="A39" s="10" t="s">
        <v>237</v>
      </c>
      <c r="B39" s="9" t="s">
        <v>965</v>
      </c>
      <c r="C39" s="9" t="s">
        <v>1032</v>
      </c>
      <c r="D39" s="9" t="s">
        <v>415</v>
      </c>
      <c r="E39" s="9" t="s">
        <v>1106</v>
      </c>
      <c r="F39" s="9" t="s">
        <v>1091</v>
      </c>
      <c r="G39" s="21" t="s">
        <v>58</v>
      </c>
      <c r="H39" s="20" t="s">
        <v>60</v>
      </c>
      <c r="I39" s="20" t="s">
        <v>60</v>
      </c>
      <c r="J39" s="10"/>
      <c r="K39" s="30" t="str">
        <f>"60,0"</f>
        <v>60,0</v>
      </c>
      <c r="L39" s="10" t="str">
        <f>"38,5635"</f>
        <v>38,5635</v>
      </c>
      <c r="M39" s="9" t="s">
        <v>947</v>
      </c>
    </row>
    <row r="40" spans="1:13">
      <c r="B40" s="5" t="s">
        <v>52</v>
      </c>
    </row>
    <row r="41" spans="1:13" ht="16">
      <c r="A41" s="33" t="s">
        <v>81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3">
      <c r="A42" s="8" t="s">
        <v>51</v>
      </c>
      <c r="B42" s="7" t="s">
        <v>966</v>
      </c>
      <c r="C42" s="7" t="s">
        <v>1033</v>
      </c>
      <c r="D42" s="7" t="s">
        <v>544</v>
      </c>
      <c r="E42" s="7" t="s">
        <v>1104</v>
      </c>
      <c r="F42" s="7" t="s">
        <v>1099</v>
      </c>
      <c r="G42" s="18" t="s">
        <v>267</v>
      </c>
      <c r="H42" s="18" t="s">
        <v>967</v>
      </c>
      <c r="I42" s="18" t="s">
        <v>968</v>
      </c>
      <c r="J42" s="19" t="s">
        <v>86</v>
      </c>
      <c r="K42" s="29" t="str">
        <f>"67,0"</f>
        <v>67,0</v>
      </c>
      <c r="L42" s="8" t="str">
        <f>"39,8181"</f>
        <v>39,8181</v>
      </c>
      <c r="M42" s="7"/>
    </row>
    <row r="43" spans="1:13">
      <c r="A43" s="25" t="s">
        <v>51</v>
      </c>
      <c r="B43" s="24" t="s">
        <v>969</v>
      </c>
      <c r="C43" s="24" t="s">
        <v>970</v>
      </c>
      <c r="D43" s="24" t="s">
        <v>971</v>
      </c>
      <c r="E43" s="24" t="s">
        <v>1105</v>
      </c>
      <c r="F43" s="24" t="s">
        <v>1047</v>
      </c>
      <c r="G43" s="26" t="s">
        <v>59</v>
      </c>
      <c r="H43" s="27" t="s">
        <v>86</v>
      </c>
      <c r="I43" s="26" t="s">
        <v>86</v>
      </c>
      <c r="J43" s="25"/>
      <c r="K43" s="31" t="str">
        <f>"70,0"</f>
        <v>70,0</v>
      </c>
      <c r="L43" s="25" t="str">
        <f>"41,5800"</f>
        <v>41,5800</v>
      </c>
      <c r="M43" s="24"/>
    </row>
    <row r="44" spans="1:13">
      <c r="A44" s="25" t="s">
        <v>237</v>
      </c>
      <c r="B44" s="24" t="s">
        <v>972</v>
      </c>
      <c r="C44" s="24" t="s">
        <v>973</v>
      </c>
      <c r="D44" s="24" t="s">
        <v>547</v>
      </c>
      <c r="E44" s="24" t="s">
        <v>1105</v>
      </c>
      <c r="F44" s="24" t="s">
        <v>1071</v>
      </c>
      <c r="G44" s="26" t="s">
        <v>86</v>
      </c>
      <c r="H44" s="27" t="s">
        <v>68</v>
      </c>
      <c r="I44" s="27" t="s">
        <v>68</v>
      </c>
      <c r="J44" s="25"/>
      <c r="K44" s="31" t="str">
        <f>"70,0"</f>
        <v>70,0</v>
      </c>
      <c r="L44" s="25" t="str">
        <f>"41,1600"</f>
        <v>41,1600</v>
      </c>
      <c r="M44" s="24" t="s">
        <v>993</v>
      </c>
    </row>
    <row r="45" spans="1:13">
      <c r="A45" s="25" t="s">
        <v>51</v>
      </c>
      <c r="B45" s="24" t="s">
        <v>972</v>
      </c>
      <c r="C45" s="24" t="s">
        <v>1034</v>
      </c>
      <c r="D45" s="24" t="s">
        <v>547</v>
      </c>
      <c r="E45" s="24" t="s">
        <v>1106</v>
      </c>
      <c r="F45" s="24" t="s">
        <v>1071</v>
      </c>
      <c r="G45" s="26" t="s">
        <v>86</v>
      </c>
      <c r="H45" s="27" t="s">
        <v>68</v>
      </c>
      <c r="I45" s="27" t="s">
        <v>68</v>
      </c>
      <c r="J45" s="25"/>
      <c r="K45" s="31" t="str">
        <f>"70,0"</f>
        <v>70,0</v>
      </c>
      <c r="L45" s="25" t="str">
        <f>"45,1525"</f>
        <v>45,1525</v>
      </c>
      <c r="M45" s="24" t="s">
        <v>993</v>
      </c>
    </row>
    <row r="46" spans="1:13">
      <c r="A46" s="10" t="s">
        <v>51</v>
      </c>
      <c r="B46" s="9" t="s">
        <v>974</v>
      </c>
      <c r="C46" s="9" t="s">
        <v>975</v>
      </c>
      <c r="D46" s="9" t="s">
        <v>976</v>
      </c>
      <c r="E46" s="9" t="s">
        <v>1108</v>
      </c>
      <c r="F46" s="9" t="s">
        <v>1047</v>
      </c>
      <c r="G46" s="21" t="s">
        <v>263</v>
      </c>
      <c r="H46" s="21" t="s">
        <v>58</v>
      </c>
      <c r="I46" s="21" t="s">
        <v>59</v>
      </c>
      <c r="J46" s="10"/>
      <c r="K46" s="30" t="str">
        <f>"65,0"</f>
        <v>65,0</v>
      </c>
      <c r="L46" s="10" t="str">
        <f>"52,1330"</f>
        <v>52,1330</v>
      </c>
      <c r="M46" s="9"/>
    </row>
    <row r="47" spans="1:13">
      <c r="B47" s="5" t="s">
        <v>52</v>
      </c>
    </row>
    <row r="48" spans="1:13" ht="16">
      <c r="A48" s="33" t="s">
        <v>30</v>
      </c>
      <c r="B48" s="33"/>
      <c r="C48" s="33"/>
      <c r="D48" s="33"/>
      <c r="E48" s="33"/>
      <c r="F48" s="33"/>
      <c r="G48" s="33"/>
      <c r="H48" s="33"/>
      <c r="I48" s="33"/>
      <c r="J48" s="33"/>
    </row>
    <row r="49" spans="1:13">
      <c r="A49" s="8" t="s">
        <v>51</v>
      </c>
      <c r="B49" s="7" t="s">
        <v>977</v>
      </c>
      <c r="C49" s="7" t="s">
        <v>1035</v>
      </c>
      <c r="D49" s="7" t="s">
        <v>978</v>
      </c>
      <c r="E49" s="7" t="s">
        <v>1104</v>
      </c>
      <c r="F49" s="7" t="s">
        <v>1100</v>
      </c>
      <c r="G49" s="18" t="s">
        <v>59</v>
      </c>
      <c r="H49" s="19" t="s">
        <v>86</v>
      </c>
      <c r="I49" s="19" t="s">
        <v>86</v>
      </c>
      <c r="J49" s="8"/>
      <c r="K49" s="29" t="str">
        <f>"65,0"</f>
        <v>65,0</v>
      </c>
      <c r="L49" s="8" t="str">
        <f>"37,3913"</f>
        <v>37,3913</v>
      </c>
      <c r="M49" s="7"/>
    </row>
    <row r="50" spans="1:13">
      <c r="A50" s="10" t="s">
        <v>51</v>
      </c>
      <c r="B50" s="9" t="s">
        <v>979</v>
      </c>
      <c r="C50" s="9" t="s">
        <v>1036</v>
      </c>
      <c r="D50" s="9" t="s">
        <v>980</v>
      </c>
      <c r="E50" s="9" t="s">
        <v>1107</v>
      </c>
      <c r="F50" s="9" t="s">
        <v>1091</v>
      </c>
      <c r="G50" s="21" t="s">
        <v>112</v>
      </c>
      <c r="H50" s="21" t="s">
        <v>981</v>
      </c>
      <c r="I50" s="21" t="s">
        <v>113</v>
      </c>
      <c r="J50" s="21" t="s">
        <v>982</v>
      </c>
      <c r="K50" s="30" t="str">
        <f>"77,5"</f>
        <v>77,5</v>
      </c>
      <c r="L50" s="10" t="str">
        <f>"44,5160"</f>
        <v>44,5160</v>
      </c>
      <c r="M50" s="9"/>
    </row>
    <row r="51" spans="1:13">
      <c r="B51" s="5" t="s">
        <v>52</v>
      </c>
    </row>
    <row r="54" spans="1:13" ht="18">
      <c r="B54" s="13" t="s">
        <v>39</v>
      </c>
      <c r="C54" s="13"/>
    </row>
    <row r="55" spans="1:13" ht="16">
      <c r="B55" s="14" t="s">
        <v>40</v>
      </c>
      <c r="C55" s="14"/>
    </row>
    <row r="56" spans="1:13" ht="14">
      <c r="B56" s="15"/>
      <c r="C56" s="16" t="s">
        <v>41</v>
      </c>
    </row>
    <row r="57" spans="1:13" ht="14">
      <c r="B57" s="17" t="s">
        <v>42</v>
      </c>
      <c r="C57" s="17" t="s">
        <v>43</v>
      </c>
      <c r="D57" s="17" t="s">
        <v>1008</v>
      </c>
      <c r="E57" s="17" t="s">
        <v>485</v>
      </c>
      <c r="F57" s="17" t="s">
        <v>486</v>
      </c>
    </row>
    <row r="58" spans="1:13">
      <c r="B58" s="5" t="s">
        <v>942</v>
      </c>
      <c r="C58" s="5" t="s">
        <v>41</v>
      </c>
      <c r="D58" s="6" t="s">
        <v>96</v>
      </c>
      <c r="E58" s="6" t="s">
        <v>114</v>
      </c>
      <c r="F58" s="6" t="s">
        <v>983</v>
      </c>
    </row>
    <row r="59" spans="1:13">
      <c r="B59" s="5" t="s">
        <v>927</v>
      </c>
      <c r="C59" s="5" t="s">
        <v>41</v>
      </c>
      <c r="D59" s="6" t="s">
        <v>225</v>
      </c>
      <c r="E59" s="6" t="s">
        <v>58</v>
      </c>
      <c r="F59" s="6" t="s">
        <v>984</v>
      </c>
    </row>
    <row r="60" spans="1:13">
      <c r="B60" s="5" t="s">
        <v>951</v>
      </c>
      <c r="C60" s="5" t="s">
        <v>41</v>
      </c>
      <c r="D60" s="6" t="s">
        <v>47</v>
      </c>
      <c r="E60" s="6" t="s">
        <v>953</v>
      </c>
      <c r="F60" s="6" t="s">
        <v>985</v>
      </c>
    </row>
    <row r="61" spans="1:13">
      <c r="B61" s="5" t="s">
        <v>52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1:J41"/>
    <mergeCell ref="A48:J48"/>
    <mergeCell ref="B3:B4"/>
    <mergeCell ref="A9:J9"/>
    <mergeCell ref="A12:J12"/>
    <mergeCell ref="A17:J17"/>
    <mergeCell ref="A22:J22"/>
    <mergeCell ref="A28:J28"/>
    <mergeCell ref="A34:J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55"/>
  <sheetViews>
    <sheetView topLeftCell="A21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5.1640625" style="5" bestFit="1" customWidth="1"/>
    <col min="22" max="16384" width="9.1640625" style="3"/>
  </cols>
  <sheetData>
    <row r="1" spans="1:21" s="2" customFormat="1" ht="29" customHeight="1">
      <c r="A1" s="44" t="s">
        <v>1010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99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12" t="s">
        <v>51</v>
      </c>
      <c r="B6" s="11" t="s">
        <v>100</v>
      </c>
      <c r="C6" s="11" t="s">
        <v>101</v>
      </c>
      <c r="D6" s="11" t="s">
        <v>102</v>
      </c>
      <c r="E6" s="11" t="s">
        <v>1105</v>
      </c>
      <c r="F6" s="11" t="s">
        <v>1047</v>
      </c>
      <c r="G6" s="22" t="s">
        <v>103</v>
      </c>
      <c r="H6" s="23" t="s">
        <v>104</v>
      </c>
      <c r="I6" s="23" t="s">
        <v>104</v>
      </c>
      <c r="J6" s="12"/>
      <c r="K6" s="23" t="s">
        <v>105</v>
      </c>
      <c r="L6" s="22" t="s">
        <v>105</v>
      </c>
      <c r="M6" s="22" t="s">
        <v>106</v>
      </c>
      <c r="N6" s="12"/>
      <c r="O6" s="22" t="s">
        <v>36</v>
      </c>
      <c r="P6" s="22" t="s">
        <v>17</v>
      </c>
      <c r="Q6" s="23" t="s">
        <v>107</v>
      </c>
      <c r="R6" s="12"/>
      <c r="S6" s="12" t="str">
        <f>"277,5"</f>
        <v>277,5</v>
      </c>
      <c r="T6" s="12" t="str">
        <f>"367,5210"</f>
        <v>367,5210</v>
      </c>
      <c r="U6" s="11" t="s">
        <v>123</v>
      </c>
    </row>
    <row r="7" spans="1:21">
      <c r="B7" s="5" t="s">
        <v>52</v>
      </c>
    </row>
    <row r="8" spans="1:21" ht="16">
      <c r="A8" s="33" t="s">
        <v>108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2" t="s">
        <v>51</v>
      </c>
      <c r="B9" s="11" t="s">
        <v>109</v>
      </c>
      <c r="C9" s="11" t="s">
        <v>110</v>
      </c>
      <c r="D9" s="11" t="s">
        <v>111</v>
      </c>
      <c r="E9" s="11" t="s">
        <v>1105</v>
      </c>
      <c r="F9" s="11" t="s">
        <v>1062</v>
      </c>
      <c r="G9" s="22" t="s">
        <v>112</v>
      </c>
      <c r="H9" s="22" t="s">
        <v>113</v>
      </c>
      <c r="I9" s="22" t="s">
        <v>114</v>
      </c>
      <c r="J9" s="12"/>
      <c r="K9" s="22" t="s">
        <v>115</v>
      </c>
      <c r="L9" s="22" t="s">
        <v>105</v>
      </c>
      <c r="M9" s="23" t="s">
        <v>106</v>
      </c>
      <c r="N9" s="12"/>
      <c r="O9" s="22" t="s">
        <v>76</v>
      </c>
      <c r="P9" s="22" t="s">
        <v>27</v>
      </c>
      <c r="Q9" s="22" t="s">
        <v>69</v>
      </c>
      <c r="R9" s="12"/>
      <c r="S9" s="12" t="str">
        <f>"250,0"</f>
        <v>250,0</v>
      </c>
      <c r="T9" s="12" t="str">
        <f>"294,1500"</f>
        <v>294,1500</v>
      </c>
      <c r="U9" s="11" t="s">
        <v>128</v>
      </c>
    </row>
    <row r="10" spans="1:21">
      <c r="B10" s="5" t="s">
        <v>52</v>
      </c>
    </row>
    <row r="11" spans="1:21" ht="16">
      <c r="A11" s="33" t="s">
        <v>116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8" t="s">
        <v>51</v>
      </c>
      <c r="B12" s="7" t="s">
        <v>117</v>
      </c>
      <c r="C12" s="7" t="s">
        <v>118</v>
      </c>
      <c r="D12" s="7" t="s">
        <v>119</v>
      </c>
      <c r="E12" s="7" t="s">
        <v>1105</v>
      </c>
      <c r="F12" s="7" t="s">
        <v>1047</v>
      </c>
      <c r="G12" s="18" t="s">
        <v>120</v>
      </c>
      <c r="H12" s="18" t="s">
        <v>121</v>
      </c>
      <c r="I12" s="19" t="s">
        <v>78</v>
      </c>
      <c r="J12" s="8"/>
      <c r="K12" s="18" t="s">
        <v>76</v>
      </c>
      <c r="L12" s="18" t="s">
        <v>77</v>
      </c>
      <c r="M12" s="19" t="s">
        <v>122</v>
      </c>
      <c r="N12" s="8"/>
      <c r="O12" s="18" t="s">
        <v>79</v>
      </c>
      <c r="P12" s="19" t="s">
        <v>80</v>
      </c>
      <c r="Q12" s="19" t="s">
        <v>80</v>
      </c>
      <c r="R12" s="8"/>
      <c r="S12" s="8" t="str">
        <f>"432,5"</f>
        <v>432,5</v>
      </c>
      <c r="T12" s="8" t="str">
        <f>"482,1942"</f>
        <v>482,1942</v>
      </c>
      <c r="U12" s="7" t="s">
        <v>123</v>
      </c>
    </row>
    <row r="13" spans="1:21">
      <c r="A13" s="25" t="s">
        <v>237</v>
      </c>
      <c r="B13" s="24" t="s">
        <v>124</v>
      </c>
      <c r="C13" s="24" t="s">
        <v>125</v>
      </c>
      <c r="D13" s="24" t="s">
        <v>119</v>
      </c>
      <c r="E13" s="24" t="s">
        <v>1105</v>
      </c>
      <c r="F13" s="24" t="s">
        <v>1047</v>
      </c>
      <c r="G13" s="26" t="s">
        <v>86</v>
      </c>
      <c r="H13" s="26" t="s">
        <v>87</v>
      </c>
      <c r="I13" s="26" t="s">
        <v>126</v>
      </c>
      <c r="J13" s="25"/>
      <c r="K13" s="26" t="s">
        <v>127</v>
      </c>
      <c r="L13" s="27" t="s">
        <v>105</v>
      </c>
      <c r="M13" s="26" t="s">
        <v>105</v>
      </c>
      <c r="N13" s="25"/>
      <c r="O13" s="26" t="s">
        <v>85</v>
      </c>
      <c r="P13" s="26" t="s">
        <v>36</v>
      </c>
      <c r="Q13" s="26" t="s">
        <v>107</v>
      </c>
      <c r="R13" s="25"/>
      <c r="S13" s="25" t="str">
        <f>"265,0"</f>
        <v>265,0</v>
      </c>
      <c r="T13" s="25" t="str">
        <f>"295,4485"</f>
        <v>295,4485</v>
      </c>
      <c r="U13" s="24" t="s">
        <v>128</v>
      </c>
    </row>
    <row r="14" spans="1:21">
      <c r="A14" s="10" t="s">
        <v>51</v>
      </c>
      <c r="B14" s="9" t="s">
        <v>117</v>
      </c>
      <c r="C14" s="9" t="s">
        <v>129</v>
      </c>
      <c r="D14" s="9" t="s">
        <v>119</v>
      </c>
      <c r="E14" s="9" t="s">
        <v>1106</v>
      </c>
      <c r="F14" s="9" t="s">
        <v>1047</v>
      </c>
      <c r="G14" s="21" t="s">
        <v>120</v>
      </c>
      <c r="H14" s="21" t="s">
        <v>121</v>
      </c>
      <c r="I14" s="20" t="s">
        <v>78</v>
      </c>
      <c r="J14" s="10"/>
      <c r="K14" s="21" t="s">
        <v>76</v>
      </c>
      <c r="L14" s="21" t="s">
        <v>77</v>
      </c>
      <c r="M14" s="20" t="s">
        <v>122</v>
      </c>
      <c r="N14" s="10"/>
      <c r="O14" s="21" t="s">
        <v>79</v>
      </c>
      <c r="P14" s="20" t="s">
        <v>80</v>
      </c>
      <c r="Q14" s="20" t="s">
        <v>80</v>
      </c>
      <c r="R14" s="10"/>
      <c r="S14" s="10" t="str">
        <f>"432,5"</f>
        <v>432,5</v>
      </c>
      <c r="T14" s="10" t="str">
        <f>"484,6052"</f>
        <v>484,6052</v>
      </c>
      <c r="U14" s="9" t="s">
        <v>123</v>
      </c>
    </row>
    <row r="15" spans="1:21">
      <c r="B15" s="5" t="s">
        <v>52</v>
      </c>
    </row>
    <row r="16" spans="1:21" ht="16">
      <c r="A16" s="33" t="s">
        <v>10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8" t="s">
        <v>51</v>
      </c>
      <c r="B17" s="7" t="s">
        <v>130</v>
      </c>
      <c r="C17" s="7" t="s">
        <v>131</v>
      </c>
      <c r="D17" s="7" t="s">
        <v>132</v>
      </c>
      <c r="E17" s="7" t="s">
        <v>1111</v>
      </c>
      <c r="F17" s="7" t="s">
        <v>1051</v>
      </c>
      <c r="G17" s="19" t="s">
        <v>133</v>
      </c>
      <c r="H17" s="18" t="s">
        <v>134</v>
      </c>
      <c r="I17" s="19" t="s">
        <v>80</v>
      </c>
      <c r="J17" s="8"/>
      <c r="K17" s="18" t="s">
        <v>17</v>
      </c>
      <c r="L17" s="19" t="s">
        <v>18</v>
      </c>
      <c r="M17" s="18" t="s">
        <v>18</v>
      </c>
      <c r="N17" s="8"/>
      <c r="O17" s="18" t="s">
        <v>38</v>
      </c>
      <c r="P17" s="18" t="s">
        <v>135</v>
      </c>
      <c r="Q17" s="18" t="s">
        <v>136</v>
      </c>
      <c r="R17" s="8"/>
      <c r="S17" s="8" t="str">
        <f>"535,0"</f>
        <v>535,0</v>
      </c>
      <c r="T17" s="8" t="str">
        <f>"362,6765"</f>
        <v>362,6765</v>
      </c>
      <c r="U17" s="7"/>
    </row>
    <row r="18" spans="1:21">
      <c r="A18" s="25" t="s">
        <v>237</v>
      </c>
      <c r="B18" s="24" t="s">
        <v>137</v>
      </c>
      <c r="C18" s="24" t="s">
        <v>138</v>
      </c>
      <c r="D18" s="24" t="s">
        <v>139</v>
      </c>
      <c r="E18" s="24" t="s">
        <v>1111</v>
      </c>
      <c r="F18" s="24" t="s">
        <v>1051</v>
      </c>
      <c r="G18" s="26" t="s">
        <v>140</v>
      </c>
      <c r="H18" s="26" t="s">
        <v>38</v>
      </c>
      <c r="I18" s="26" t="s">
        <v>141</v>
      </c>
      <c r="J18" s="25"/>
      <c r="K18" s="27" t="s">
        <v>76</v>
      </c>
      <c r="L18" s="26" t="s">
        <v>122</v>
      </c>
      <c r="M18" s="26" t="s">
        <v>142</v>
      </c>
      <c r="N18" s="25"/>
      <c r="O18" s="26" t="s">
        <v>140</v>
      </c>
      <c r="P18" s="26" t="s">
        <v>38</v>
      </c>
      <c r="Q18" s="27" t="s">
        <v>20</v>
      </c>
      <c r="R18" s="25"/>
      <c r="S18" s="25" t="str">
        <f>"525,0"</f>
        <v>525,0</v>
      </c>
      <c r="T18" s="25" t="str">
        <f>"358,1550"</f>
        <v>358,1550</v>
      </c>
      <c r="U18" s="24"/>
    </row>
    <row r="19" spans="1:21">
      <c r="A19" s="25" t="s">
        <v>51</v>
      </c>
      <c r="B19" s="24" t="s">
        <v>143</v>
      </c>
      <c r="C19" s="24" t="s">
        <v>144</v>
      </c>
      <c r="D19" s="24" t="s">
        <v>145</v>
      </c>
      <c r="E19" s="24" t="s">
        <v>1105</v>
      </c>
      <c r="F19" s="24" t="s">
        <v>1050</v>
      </c>
      <c r="G19" s="26" t="s">
        <v>26</v>
      </c>
      <c r="H19" s="26" t="s">
        <v>21</v>
      </c>
      <c r="I19" s="26" t="s">
        <v>15</v>
      </c>
      <c r="J19" s="25"/>
      <c r="K19" s="26" t="s">
        <v>78</v>
      </c>
      <c r="L19" s="26" t="s">
        <v>79</v>
      </c>
      <c r="M19" s="26" t="s">
        <v>133</v>
      </c>
      <c r="N19" s="25"/>
      <c r="O19" s="27" t="s">
        <v>146</v>
      </c>
      <c r="P19" s="26" t="s">
        <v>146</v>
      </c>
      <c r="Q19" s="27" t="s">
        <v>29</v>
      </c>
      <c r="R19" s="25"/>
      <c r="S19" s="25" t="str">
        <f>"650,0"</f>
        <v>650,0</v>
      </c>
      <c r="T19" s="25" t="str">
        <f>"437,0600"</f>
        <v>437,0600</v>
      </c>
      <c r="U19" s="24" t="s">
        <v>1006</v>
      </c>
    </row>
    <row r="20" spans="1:21">
      <c r="A20" s="10" t="s">
        <v>51</v>
      </c>
      <c r="B20" s="9" t="s">
        <v>147</v>
      </c>
      <c r="C20" s="9" t="s">
        <v>148</v>
      </c>
      <c r="D20" s="9" t="s">
        <v>149</v>
      </c>
      <c r="E20" s="9" t="s">
        <v>1109</v>
      </c>
      <c r="F20" s="9" t="s">
        <v>1047</v>
      </c>
      <c r="G20" s="21" t="s">
        <v>17</v>
      </c>
      <c r="H20" s="21" t="s">
        <v>28</v>
      </c>
      <c r="I20" s="21" t="s">
        <v>37</v>
      </c>
      <c r="J20" s="10"/>
      <c r="K20" s="21" t="s">
        <v>88</v>
      </c>
      <c r="L20" s="20" t="s">
        <v>76</v>
      </c>
      <c r="M20" s="21" t="s">
        <v>76</v>
      </c>
      <c r="N20" s="10"/>
      <c r="O20" s="20" t="s">
        <v>78</v>
      </c>
      <c r="P20" s="21" t="s">
        <v>78</v>
      </c>
      <c r="Q20" s="21" t="s">
        <v>150</v>
      </c>
      <c r="R20" s="10"/>
      <c r="S20" s="10" t="str">
        <f>"440,0"</f>
        <v>440,0</v>
      </c>
      <c r="T20" s="10" t="str">
        <f>"361,7186"</f>
        <v>361,7186</v>
      </c>
      <c r="U20" s="9" t="s">
        <v>995</v>
      </c>
    </row>
    <row r="21" spans="1:21">
      <c r="B21" s="5" t="s">
        <v>52</v>
      </c>
    </row>
    <row r="22" spans="1:21" ht="16">
      <c r="A22" s="33" t="s">
        <v>151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21">
      <c r="A23" s="8" t="s">
        <v>51</v>
      </c>
      <c r="B23" s="7" t="s">
        <v>152</v>
      </c>
      <c r="C23" s="7" t="s">
        <v>153</v>
      </c>
      <c r="D23" s="7" t="s">
        <v>154</v>
      </c>
      <c r="E23" s="7" t="s">
        <v>1105</v>
      </c>
      <c r="F23" s="7" t="s">
        <v>1047</v>
      </c>
      <c r="G23" s="18" t="s">
        <v>150</v>
      </c>
      <c r="H23" s="19" t="s">
        <v>155</v>
      </c>
      <c r="I23" s="18" t="s">
        <v>155</v>
      </c>
      <c r="J23" s="8"/>
      <c r="K23" s="18" t="s">
        <v>156</v>
      </c>
      <c r="L23" s="18" t="s">
        <v>141</v>
      </c>
      <c r="M23" s="19" t="s">
        <v>26</v>
      </c>
      <c r="N23" s="8"/>
      <c r="O23" s="18" t="s">
        <v>26</v>
      </c>
      <c r="P23" s="18" t="s">
        <v>22</v>
      </c>
      <c r="Q23" s="19" t="s">
        <v>146</v>
      </c>
      <c r="R23" s="8"/>
      <c r="S23" s="8" t="str">
        <f>"637,5"</f>
        <v>637,5</v>
      </c>
      <c r="T23" s="8" t="str">
        <f>"407,6813"</f>
        <v>407,6813</v>
      </c>
      <c r="U23" s="7" t="s">
        <v>128</v>
      </c>
    </row>
    <row r="24" spans="1:21">
      <c r="A24" s="10" t="s">
        <v>51</v>
      </c>
      <c r="B24" s="9" t="s">
        <v>157</v>
      </c>
      <c r="C24" s="9" t="s">
        <v>158</v>
      </c>
      <c r="D24" s="9" t="s">
        <v>159</v>
      </c>
      <c r="E24" s="9" t="s">
        <v>1108</v>
      </c>
      <c r="F24" s="9" t="s">
        <v>1047</v>
      </c>
      <c r="G24" s="21" t="s">
        <v>107</v>
      </c>
      <c r="H24" s="21" t="s">
        <v>19</v>
      </c>
      <c r="I24" s="21" t="s">
        <v>37</v>
      </c>
      <c r="J24" s="10"/>
      <c r="K24" s="21" t="s">
        <v>88</v>
      </c>
      <c r="L24" s="21" t="s">
        <v>160</v>
      </c>
      <c r="M24" s="21" t="s">
        <v>76</v>
      </c>
      <c r="N24" s="10"/>
      <c r="O24" s="21" t="s">
        <v>161</v>
      </c>
      <c r="P24" s="21" t="s">
        <v>28</v>
      </c>
      <c r="Q24" s="20" t="s">
        <v>37</v>
      </c>
      <c r="R24" s="10"/>
      <c r="S24" s="10" t="str">
        <f>"395,0"</f>
        <v>395,0</v>
      </c>
      <c r="T24" s="10" t="str">
        <f>"367,6155"</f>
        <v>367,6155</v>
      </c>
      <c r="U24" s="9" t="s">
        <v>162</v>
      </c>
    </row>
    <row r="25" spans="1:21">
      <c r="B25" s="5" t="s">
        <v>52</v>
      </c>
    </row>
    <row r="26" spans="1:21" ht="16">
      <c r="A26" s="33" t="s">
        <v>81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>
      <c r="A27" s="8" t="s">
        <v>51</v>
      </c>
      <c r="B27" s="7" t="s">
        <v>163</v>
      </c>
      <c r="C27" s="7" t="s">
        <v>164</v>
      </c>
      <c r="D27" s="7" t="s">
        <v>165</v>
      </c>
      <c r="E27" s="7" t="s">
        <v>1105</v>
      </c>
      <c r="F27" s="7" t="s">
        <v>1063</v>
      </c>
      <c r="G27" s="18" t="s">
        <v>35</v>
      </c>
      <c r="H27" s="18" t="s">
        <v>166</v>
      </c>
      <c r="I27" s="18" t="s">
        <v>167</v>
      </c>
      <c r="J27" s="8"/>
      <c r="K27" s="18" t="s">
        <v>155</v>
      </c>
      <c r="L27" s="18" t="s">
        <v>26</v>
      </c>
      <c r="M27" s="18" t="s">
        <v>20</v>
      </c>
      <c r="N27" s="8"/>
      <c r="O27" s="18" t="s">
        <v>168</v>
      </c>
      <c r="P27" s="18" t="s">
        <v>169</v>
      </c>
      <c r="Q27" s="19" t="s">
        <v>170</v>
      </c>
      <c r="R27" s="8"/>
      <c r="S27" s="8" t="str">
        <f>"825,0"</f>
        <v>825,0</v>
      </c>
      <c r="T27" s="8" t="str">
        <f>"502,2600"</f>
        <v>502,2600</v>
      </c>
      <c r="U27" s="7"/>
    </row>
    <row r="28" spans="1:21">
      <c r="A28" s="25" t="s">
        <v>237</v>
      </c>
      <c r="B28" s="24" t="s">
        <v>171</v>
      </c>
      <c r="C28" s="24" t="s">
        <v>172</v>
      </c>
      <c r="D28" s="24" t="s">
        <v>84</v>
      </c>
      <c r="E28" s="24" t="s">
        <v>1105</v>
      </c>
      <c r="F28" s="24" t="s">
        <v>1047</v>
      </c>
      <c r="G28" s="26" t="s">
        <v>29</v>
      </c>
      <c r="H28" s="26" t="s">
        <v>92</v>
      </c>
      <c r="I28" s="26" t="s">
        <v>93</v>
      </c>
      <c r="J28" s="25"/>
      <c r="K28" s="26" t="s">
        <v>79</v>
      </c>
      <c r="L28" s="26" t="s">
        <v>133</v>
      </c>
      <c r="M28" s="26" t="s">
        <v>80</v>
      </c>
      <c r="N28" s="25"/>
      <c r="O28" s="26" t="s">
        <v>173</v>
      </c>
      <c r="P28" s="26" t="s">
        <v>168</v>
      </c>
      <c r="Q28" s="26" t="s">
        <v>169</v>
      </c>
      <c r="R28" s="25"/>
      <c r="S28" s="25" t="str">
        <f>"775,0"</f>
        <v>775,0</v>
      </c>
      <c r="T28" s="25" t="str">
        <f>"473,3700"</f>
        <v>473,3700</v>
      </c>
      <c r="U28" s="24" t="s">
        <v>1005</v>
      </c>
    </row>
    <row r="29" spans="1:21">
      <c r="A29" s="25" t="s">
        <v>238</v>
      </c>
      <c r="B29" s="24" t="s">
        <v>174</v>
      </c>
      <c r="C29" s="24" t="s">
        <v>175</v>
      </c>
      <c r="D29" s="24" t="s">
        <v>176</v>
      </c>
      <c r="E29" s="24" t="s">
        <v>1105</v>
      </c>
      <c r="F29" s="24" t="s">
        <v>1064</v>
      </c>
      <c r="G29" s="26" t="s">
        <v>21</v>
      </c>
      <c r="H29" s="26" t="s">
        <v>146</v>
      </c>
      <c r="I29" s="27" t="s">
        <v>177</v>
      </c>
      <c r="J29" s="25"/>
      <c r="K29" s="26" t="s">
        <v>133</v>
      </c>
      <c r="L29" s="26" t="s">
        <v>178</v>
      </c>
      <c r="M29" s="26" t="s">
        <v>179</v>
      </c>
      <c r="N29" s="25"/>
      <c r="O29" s="26" t="s">
        <v>169</v>
      </c>
      <c r="P29" s="26" t="s">
        <v>180</v>
      </c>
      <c r="Q29" s="27" t="s">
        <v>181</v>
      </c>
      <c r="R29" s="25"/>
      <c r="S29" s="25" t="str">
        <f>"767,5"</f>
        <v>767,5</v>
      </c>
      <c r="T29" s="25" t="str">
        <f>"487,2857"</f>
        <v>487,2857</v>
      </c>
      <c r="U29" s="24"/>
    </row>
    <row r="30" spans="1:21">
      <c r="A30" s="25" t="s">
        <v>239</v>
      </c>
      <c r="B30" s="24" t="s">
        <v>182</v>
      </c>
      <c r="C30" s="24" t="s">
        <v>183</v>
      </c>
      <c r="D30" s="24" t="s">
        <v>184</v>
      </c>
      <c r="E30" s="24" t="s">
        <v>1105</v>
      </c>
      <c r="F30" s="24" t="s">
        <v>1039</v>
      </c>
      <c r="G30" s="27" t="s">
        <v>26</v>
      </c>
      <c r="H30" s="26" t="s">
        <v>26</v>
      </c>
      <c r="I30" s="26" t="s">
        <v>15</v>
      </c>
      <c r="J30" s="25"/>
      <c r="K30" s="26" t="s">
        <v>78</v>
      </c>
      <c r="L30" s="26" t="s">
        <v>185</v>
      </c>
      <c r="M30" s="27" t="s">
        <v>80</v>
      </c>
      <c r="N30" s="25"/>
      <c r="O30" s="26" t="s">
        <v>22</v>
      </c>
      <c r="P30" s="26" t="s">
        <v>93</v>
      </c>
      <c r="Q30" s="27" t="s">
        <v>166</v>
      </c>
      <c r="R30" s="25"/>
      <c r="S30" s="25" t="str">
        <f>"682,5"</f>
        <v>682,5</v>
      </c>
      <c r="T30" s="25" t="str">
        <f>"416,1885"</f>
        <v>416,1885</v>
      </c>
      <c r="U30" s="24"/>
    </row>
    <row r="31" spans="1:21">
      <c r="A31" s="25" t="s">
        <v>240</v>
      </c>
      <c r="B31" s="24" t="s">
        <v>186</v>
      </c>
      <c r="C31" s="24" t="s">
        <v>187</v>
      </c>
      <c r="D31" s="24" t="s">
        <v>188</v>
      </c>
      <c r="E31" s="24" t="s">
        <v>1105</v>
      </c>
      <c r="F31" s="24" t="s">
        <v>1047</v>
      </c>
      <c r="G31" s="26" t="s">
        <v>38</v>
      </c>
      <c r="H31" s="26" t="s">
        <v>20</v>
      </c>
      <c r="I31" s="26" t="s">
        <v>21</v>
      </c>
      <c r="J31" s="25"/>
      <c r="K31" s="26" t="s">
        <v>79</v>
      </c>
      <c r="L31" s="26" t="s">
        <v>189</v>
      </c>
      <c r="M31" s="25"/>
      <c r="N31" s="25"/>
      <c r="O31" s="26" t="s">
        <v>26</v>
      </c>
      <c r="P31" s="26" t="s">
        <v>21</v>
      </c>
      <c r="Q31" s="26" t="s">
        <v>15</v>
      </c>
      <c r="R31" s="25"/>
      <c r="S31" s="25" t="str">
        <f>"645,0"</f>
        <v>645,0</v>
      </c>
      <c r="T31" s="25" t="str">
        <f>"395,9655"</f>
        <v>395,9655</v>
      </c>
      <c r="U31" s="24"/>
    </row>
    <row r="32" spans="1:21">
      <c r="A32" s="10" t="s">
        <v>241</v>
      </c>
      <c r="B32" s="9" t="s">
        <v>190</v>
      </c>
      <c r="C32" s="9" t="s">
        <v>191</v>
      </c>
      <c r="D32" s="9" t="s">
        <v>192</v>
      </c>
      <c r="E32" s="9" t="s">
        <v>1105</v>
      </c>
      <c r="F32" s="9" t="s">
        <v>1047</v>
      </c>
      <c r="G32" s="21" t="s">
        <v>155</v>
      </c>
      <c r="H32" s="21" t="s">
        <v>141</v>
      </c>
      <c r="I32" s="21" t="s">
        <v>193</v>
      </c>
      <c r="J32" s="10"/>
      <c r="K32" s="21" t="s">
        <v>37</v>
      </c>
      <c r="L32" s="21" t="s">
        <v>74</v>
      </c>
      <c r="M32" s="21" t="s">
        <v>78</v>
      </c>
      <c r="N32" s="10"/>
      <c r="O32" s="21" t="s">
        <v>26</v>
      </c>
      <c r="P32" s="21" t="s">
        <v>14</v>
      </c>
      <c r="Q32" s="21" t="s">
        <v>22</v>
      </c>
      <c r="R32" s="10"/>
      <c r="S32" s="10" t="str">
        <f>"602,5"</f>
        <v>602,5</v>
      </c>
      <c r="T32" s="10" t="str">
        <f>"379,4545"</f>
        <v>379,4545</v>
      </c>
      <c r="U32" s="9" t="s">
        <v>1005</v>
      </c>
    </row>
    <row r="33" spans="1:21">
      <c r="B33" s="5" t="s">
        <v>52</v>
      </c>
    </row>
    <row r="34" spans="1:21" ht="16">
      <c r="A34" s="33" t="s">
        <v>30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1">
      <c r="A35" s="8" t="s">
        <v>51</v>
      </c>
      <c r="B35" s="7" t="s">
        <v>194</v>
      </c>
      <c r="C35" s="7" t="s">
        <v>195</v>
      </c>
      <c r="D35" s="7" t="s">
        <v>196</v>
      </c>
      <c r="E35" s="7" t="s">
        <v>1105</v>
      </c>
      <c r="F35" s="7" t="s">
        <v>1065</v>
      </c>
      <c r="G35" s="18" t="s">
        <v>197</v>
      </c>
      <c r="H35" s="18" t="s">
        <v>198</v>
      </c>
      <c r="I35" s="19" t="s">
        <v>93</v>
      </c>
      <c r="J35" s="8"/>
      <c r="K35" s="18" t="s">
        <v>80</v>
      </c>
      <c r="L35" s="19" t="s">
        <v>179</v>
      </c>
      <c r="M35" s="19" t="s">
        <v>179</v>
      </c>
      <c r="N35" s="8"/>
      <c r="O35" s="18" t="s">
        <v>168</v>
      </c>
      <c r="P35" s="19" t="s">
        <v>170</v>
      </c>
      <c r="Q35" s="19" t="s">
        <v>170</v>
      </c>
      <c r="R35" s="8"/>
      <c r="S35" s="8" t="str">
        <f>"752,5"</f>
        <v>752,5</v>
      </c>
      <c r="T35" s="8" t="str">
        <f>"445,5553"</f>
        <v>445,5553</v>
      </c>
      <c r="U35" s="7"/>
    </row>
    <row r="36" spans="1:21">
      <c r="A36" s="25" t="s">
        <v>237</v>
      </c>
      <c r="B36" s="24" t="s">
        <v>199</v>
      </c>
      <c r="C36" s="24" t="s">
        <v>200</v>
      </c>
      <c r="D36" s="24" t="s">
        <v>201</v>
      </c>
      <c r="E36" s="24" t="s">
        <v>1105</v>
      </c>
      <c r="F36" s="24" t="s">
        <v>1047</v>
      </c>
      <c r="G36" s="27" t="s">
        <v>177</v>
      </c>
      <c r="H36" s="26" t="s">
        <v>198</v>
      </c>
      <c r="I36" s="27" t="s">
        <v>92</v>
      </c>
      <c r="J36" s="25"/>
      <c r="K36" s="26" t="s">
        <v>140</v>
      </c>
      <c r="L36" s="26" t="s">
        <v>38</v>
      </c>
      <c r="M36" s="26" t="s">
        <v>193</v>
      </c>
      <c r="N36" s="25"/>
      <c r="O36" s="26" t="s">
        <v>29</v>
      </c>
      <c r="P36" s="26" t="s">
        <v>202</v>
      </c>
      <c r="Q36" s="27" t="s">
        <v>166</v>
      </c>
      <c r="R36" s="25"/>
      <c r="S36" s="25" t="str">
        <f>"747,5"</f>
        <v>747,5</v>
      </c>
      <c r="T36" s="25" t="str">
        <f>"440,5017"</f>
        <v>440,5017</v>
      </c>
      <c r="U36" s="24" t="s">
        <v>123</v>
      </c>
    </row>
    <row r="37" spans="1:21">
      <c r="A37" s="25" t="s">
        <v>238</v>
      </c>
      <c r="B37" s="24" t="s">
        <v>203</v>
      </c>
      <c r="C37" s="24" t="s">
        <v>204</v>
      </c>
      <c r="D37" s="24" t="s">
        <v>205</v>
      </c>
      <c r="E37" s="24" t="s">
        <v>1105</v>
      </c>
      <c r="F37" s="24" t="s">
        <v>1051</v>
      </c>
      <c r="G37" s="26" t="s">
        <v>197</v>
      </c>
      <c r="H37" s="27" t="s">
        <v>35</v>
      </c>
      <c r="I37" s="27" t="s">
        <v>35</v>
      </c>
      <c r="J37" s="25"/>
      <c r="K37" s="26" t="s">
        <v>78</v>
      </c>
      <c r="L37" s="27" t="s">
        <v>79</v>
      </c>
      <c r="M37" s="27" t="s">
        <v>79</v>
      </c>
      <c r="N37" s="25"/>
      <c r="O37" s="26" t="s">
        <v>166</v>
      </c>
      <c r="P37" s="27" t="s">
        <v>173</v>
      </c>
      <c r="Q37" s="27" t="s">
        <v>173</v>
      </c>
      <c r="R37" s="25"/>
      <c r="S37" s="25" t="str">
        <f>"690,0"</f>
        <v>690,0</v>
      </c>
      <c r="T37" s="25" t="str">
        <f>"407,4450"</f>
        <v>407,4450</v>
      </c>
      <c r="U37" s="24" t="s">
        <v>206</v>
      </c>
    </row>
    <row r="38" spans="1:21">
      <c r="A38" s="10" t="s">
        <v>239</v>
      </c>
      <c r="B38" s="9" t="s">
        <v>207</v>
      </c>
      <c r="C38" s="9" t="s">
        <v>208</v>
      </c>
      <c r="D38" s="9" t="s">
        <v>205</v>
      </c>
      <c r="E38" s="9" t="s">
        <v>1105</v>
      </c>
      <c r="F38" s="9" t="s">
        <v>1047</v>
      </c>
      <c r="G38" s="21" t="s">
        <v>156</v>
      </c>
      <c r="H38" s="21" t="s">
        <v>135</v>
      </c>
      <c r="I38" s="21" t="s">
        <v>209</v>
      </c>
      <c r="J38" s="10"/>
      <c r="K38" s="21" t="s">
        <v>74</v>
      </c>
      <c r="L38" s="21" t="s">
        <v>210</v>
      </c>
      <c r="M38" s="21" t="s">
        <v>211</v>
      </c>
      <c r="N38" s="10"/>
      <c r="O38" s="20" t="s">
        <v>197</v>
      </c>
      <c r="P38" s="21" t="s">
        <v>197</v>
      </c>
      <c r="Q38" s="10"/>
      <c r="R38" s="10"/>
      <c r="S38" s="10" t="str">
        <f>"645,0"</f>
        <v>645,0</v>
      </c>
      <c r="T38" s="10" t="str">
        <f>"380,8725"</f>
        <v>380,8725</v>
      </c>
      <c r="U38" s="9" t="s">
        <v>1040</v>
      </c>
    </row>
    <row r="39" spans="1:21">
      <c r="B39" s="5" t="s">
        <v>52</v>
      </c>
    </row>
    <row r="40" spans="1:21" ht="16">
      <c r="A40" s="33" t="s">
        <v>212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21">
      <c r="A41" s="8" t="s">
        <v>51</v>
      </c>
      <c r="B41" s="7" t="s">
        <v>213</v>
      </c>
      <c r="C41" s="7" t="s">
        <v>214</v>
      </c>
      <c r="D41" s="7" t="s">
        <v>215</v>
      </c>
      <c r="E41" s="7" t="s">
        <v>1105</v>
      </c>
      <c r="F41" s="7" t="s">
        <v>1047</v>
      </c>
      <c r="G41" s="18" t="s">
        <v>21</v>
      </c>
      <c r="H41" s="19" t="s">
        <v>15</v>
      </c>
      <c r="I41" s="18" t="s">
        <v>146</v>
      </c>
      <c r="J41" s="8"/>
      <c r="K41" s="18" t="s">
        <v>133</v>
      </c>
      <c r="L41" s="18" t="s">
        <v>178</v>
      </c>
      <c r="M41" s="18" t="s">
        <v>150</v>
      </c>
      <c r="N41" s="8"/>
      <c r="O41" s="18" t="s">
        <v>15</v>
      </c>
      <c r="P41" s="18" t="s">
        <v>16</v>
      </c>
      <c r="Q41" s="18" t="s">
        <v>197</v>
      </c>
      <c r="R41" s="8"/>
      <c r="S41" s="8" t="str">
        <f>"680,0"</f>
        <v>680,0</v>
      </c>
      <c r="T41" s="8" t="str">
        <f>"397,8000"</f>
        <v>397,8000</v>
      </c>
      <c r="U41" s="7" t="s">
        <v>989</v>
      </c>
    </row>
    <row r="42" spans="1:21">
      <c r="A42" s="10" t="s">
        <v>51</v>
      </c>
      <c r="B42" s="9" t="s">
        <v>216</v>
      </c>
      <c r="C42" s="9" t="s">
        <v>217</v>
      </c>
      <c r="D42" s="9" t="s">
        <v>218</v>
      </c>
      <c r="E42" s="9" t="s">
        <v>1106</v>
      </c>
      <c r="F42" s="9" t="s">
        <v>1047</v>
      </c>
      <c r="G42" s="21" t="s">
        <v>146</v>
      </c>
      <c r="H42" s="21" t="s">
        <v>197</v>
      </c>
      <c r="I42" s="10"/>
      <c r="J42" s="10"/>
      <c r="K42" s="21" t="s">
        <v>80</v>
      </c>
      <c r="L42" s="21" t="s">
        <v>150</v>
      </c>
      <c r="M42" s="21" t="s">
        <v>140</v>
      </c>
      <c r="N42" s="10"/>
      <c r="O42" s="21" t="s">
        <v>197</v>
      </c>
      <c r="P42" s="21" t="s">
        <v>29</v>
      </c>
      <c r="Q42" s="10"/>
      <c r="R42" s="10"/>
      <c r="S42" s="10" t="str">
        <f>"705,0"</f>
        <v>705,0</v>
      </c>
      <c r="T42" s="10" t="str">
        <f>"422,6227"</f>
        <v>422,6227</v>
      </c>
      <c r="U42" s="9"/>
    </row>
    <row r="43" spans="1:21">
      <c r="B43" s="5" t="s">
        <v>52</v>
      </c>
    </row>
    <row r="44" spans="1:21" ht="16">
      <c r="A44" s="33" t="s">
        <v>219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1">
      <c r="A45" s="12" t="s">
        <v>51</v>
      </c>
      <c r="B45" s="11" t="s">
        <v>220</v>
      </c>
      <c r="C45" s="11" t="s">
        <v>221</v>
      </c>
      <c r="D45" s="11" t="s">
        <v>222</v>
      </c>
      <c r="E45" s="11" t="s">
        <v>1105</v>
      </c>
      <c r="F45" s="11" t="s">
        <v>1047</v>
      </c>
      <c r="G45" s="22" t="s">
        <v>29</v>
      </c>
      <c r="H45" s="22" t="s">
        <v>202</v>
      </c>
      <c r="I45" s="22" t="s">
        <v>223</v>
      </c>
      <c r="J45" s="12"/>
      <c r="K45" s="22" t="s">
        <v>26</v>
      </c>
      <c r="L45" s="22" t="s">
        <v>14</v>
      </c>
      <c r="M45" s="22" t="s">
        <v>209</v>
      </c>
      <c r="N45" s="12"/>
      <c r="O45" s="22" t="s">
        <v>92</v>
      </c>
      <c r="P45" s="22" t="s">
        <v>224</v>
      </c>
      <c r="Q45" s="22" t="s">
        <v>167</v>
      </c>
      <c r="R45" s="12"/>
      <c r="S45" s="12" t="str">
        <f>"795,0"</f>
        <v>795,0</v>
      </c>
      <c r="T45" s="12" t="str">
        <f>"443,8485"</f>
        <v>443,8485</v>
      </c>
      <c r="U45" s="11" t="s">
        <v>123</v>
      </c>
    </row>
    <row r="46" spans="1:21">
      <c r="B46" s="5" t="s">
        <v>52</v>
      </c>
    </row>
    <row r="49" spans="2:6" ht="18">
      <c r="B49" s="13" t="s">
        <v>39</v>
      </c>
      <c r="C49" s="13"/>
    </row>
    <row r="50" spans="2:6" ht="16">
      <c r="B50" s="14" t="s">
        <v>40</v>
      </c>
      <c r="C50" s="14"/>
    </row>
    <row r="51" spans="2:6" ht="14">
      <c r="B51" s="15"/>
      <c r="C51" s="16" t="s">
        <v>41</v>
      </c>
    </row>
    <row r="52" spans="2:6" ht="14">
      <c r="B52" s="17" t="s">
        <v>42</v>
      </c>
      <c r="C52" s="17" t="s">
        <v>43</v>
      </c>
      <c r="D52" s="17" t="s">
        <v>1008</v>
      </c>
      <c r="E52" s="17" t="s">
        <v>45</v>
      </c>
      <c r="F52" s="17" t="s">
        <v>46</v>
      </c>
    </row>
    <row r="53" spans="2:6">
      <c r="B53" s="5" t="s">
        <v>163</v>
      </c>
      <c r="C53" s="5" t="s">
        <v>41</v>
      </c>
      <c r="D53" s="6" t="s">
        <v>97</v>
      </c>
      <c r="E53" s="6" t="s">
        <v>227</v>
      </c>
      <c r="F53" s="6" t="s">
        <v>228</v>
      </c>
    </row>
    <row r="54" spans="2:6">
      <c r="B54" s="5" t="s">
        <v>174</v>
      </c>
      <c r="C54" s="5" t="s">
        <v>41</v>
      </c>
      <c r="D54" s="6" t="s">
        <v>97</v>
      </c>
      <c r="E54" s="6" t="s">
        <v>229</v>
      </c>
      <c r="F54" s="6" t="s">
        <v>230</v>
      </c>
    </row>
    <row r="55" spans="2:6">
      <c r="B55" s="5" t="s">
        <v>171</v>
      </c>
      <c r="C55" s="5" t="s">
        <v>41</v>
      </c>
      <c r="D55" s="6" t="s">
        <v>97</v>
      </c>
      <c r="E55" s="6" t="s">
        <v>231</v>
      </c>
      <c r="F55" s="6" t="s">
        <v>232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0:R40"/>
    <mergeCell ref="A44:R44"/>
    <mergeCell ref="B3:B4"/>
    <mergeCell ref="A8:R8"/>
    <mergeCell ref="A11:R11"/>
    <mergeCell ref="A16:R16"/>
    <mergeCell ref="A22:R22"/>
    <mergeCell ref="A26:R26"/>
    <mergeCell ref="A34:R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44" t="s">
        <v>1011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53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12" t="s">
        <v>51</v>
      </c>
      <c r="B6" s="11" t="s">
        <v>54</v>
      </c>
      <c r="C6" s="11" t="s">
        <v>55</v>
      </c>
      <c r="D6" s="11" t="s">
        <v>56</v>
      </c>
      <c r="E6" s="11" t="s">
        <v>1105</v>
      </c>
      <c r="F6" s="11" t="s">
        <v>1047</v>
      </c>
      <c r="G6" s="22" t="s">
        <v>57</v>
      </c>
      <c r="H6" s="23" t="s">
        <v>57</v>
      </c>
      <c r="I6" s="23" t="s">
        <v>57</v>
      </c>
      <c r="J6" s="12"/>
      <c r="K6" s="22" t="s">
        <v>58</v>
      </c>
      <c r="L6" s="22" t="s">
        <v>59</v>
      </c>
      <c r="M6" s="23" t="s">
        <v>60</v>
      </c>
      <c r="N6" s="12"/>
      <c r="O6" s="23" t="s">
        <v>61</v>
      </c>
      <c r="P6" s="22" t="s">
        <v>61</v>
      </c>
      <c r="Q6" s="22" t="s">
        <v>18</v>
      </c>
      <c r="R6" s="12"/>
      <c r="S6" s="12" t="str">
        <f>"322,5"</f>
        <v>322,5</v>
      </c>
      <c r="T6" s="12" t="str">
        <f>"402,6412"</f>
        <v>402,6412</v>
      </c>
      <c r="U6" s="11" t="s">
        <v>62</v>
      </c>
    </row>
    <row r="7" spans="1:21">
      <c r="B7" s="5" t="s">
        <v>52</v>
      </c>
    </row>
    <row r="8" spans="1:21" ht="16">
      <c r="A8" s="33" t="s">
        <v>63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51</v>
      </c>
      <c r="B9" s="7" t="s">
        <v>64</v>
      </c>
      <c r="C9" s="7" t="s">
        <v>65</v>
      </c>
      <c r="D9" s="7" t="s">
        <v>66</v>
      </c>
      <c r="E9" s="7" t="s">
        <v>1111</v>
      </c>
      <c r="F9" s="7" t="s">
        <v>1047</v>
      </c>
      <c r="G9" s="18" t="s">
        <v>27</v>
      </c>
      <c r="H9" s="18" t="s">
        <v>67</v>
      </c>
      <c r="I9" s="19" t="s">
        <v>36</v>
      </c>
      <c r="J9" s="8"/>
      <c r="K9" s="18" t="s">
        <v>58</v>
      </c>
      <c r="L9" s="18" t="s">
        <v>60</v>
      </c>
      <c r="M9" s="18" t="s">
        <v>68</v>
      </c>
      <c r="N9" s="8"/>
      <c r="O9" s="19" t="s">
        <v>69</v>
      </c>
      <c r="P9" s="19" t="s">
        <v>69</v>
      </c>
      <c r="Q9" s="18" t="s">
        <v>36</v>
      </c>
      <c r="R9" s="8"/>
      <c r="S9" s="8" t="str">
        <f>"317,5"</f>
        <v>317,5</v>
      </c>
      <c r="T9" s="8" t="str">
        <f>"232,4735"</f>
        <v>232,4735</v>
      </c>
      <c r="U9" s="7" t="s">
        <v>62</v>
      </c>
    </row>
    <row r="10" spans="1:21">
      <c r="A10" s="10" t="s">
        <v>51</v>
      </c>
      <c r="B10" s="9" t="s">
        <v>70</v>
      </c>
      <c r="C10" s="9" t="s">
        <v>71</v>
      </c>
      <c r="D10" s="9" t="s">
        <v>72</v>
      </c>
      <c r="E10" s="9" t="s">
        <v>1105</v>
      </c>
      <c r="F10" s="9" t="s">
        <v>1047</v>
      </c>
      <c r="G10" s="21" t="s">
        <v>73</v>
      </c>
      <c r="H10" s="21" t="s">
        <v>37</v>
      </c>
      <c r="I10" s="21" t="s">
        <v>74</v>
      </c>
      <c r="J10" s="10"/>
      <c r="K10" s="21" t="s">
        <v>75</v>
      </c>
      <c r="L10" s="21" t="s">
        <v>76</v>
      </c>
      <c r="M10" s="20" t="s">
        <v>77</v>
      </c>
      <c r="N10" s="10"/>
      <c r="O10" s="21" t="s">
        <v>78</v>
      </c>
      <c r="P10" s="21" t="s">
        <v>79</v>
      </c>
      <c r="Q10" s="21" t="s">
        <v>80</v>
      </c>
      <c r="R10" s="10"/>
      <c r="S10" s="10" t="str">
        <f>"435,0"</f>
        <v>435,0</v>
      </c>
      <c r="T10" s="10" t="str">
        <f>"310,8510"</f>
        <v>310,8510</v>
      </c>
      <c r="U10" s="9" t="s">
        <v>62</v>
      </c>
    </row>
    <row r="11" spans="1:21">
      <c r="B11" s="5" t="s">
        <v>52</v>
      </c>
    </row>
    <row r="12" spans="1:21" ht="16">
      <c r="A12" s="33" t="s">
        <v>81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12" t="s">
        <v>51</v>
      </c>
      <c r="B13" s="11" t="s">
        <v>82</v>
      </c>
      <c r="C13" s="11" t="s">
        <v>83</v>
      </c>
      <c r="D13" s="11" t="s">
        <v>84</v>
      </c>
      <c r="E13" s="11" t="s">
        <v>1111</v>
      </c>
      <c r="F13" s="11" t="s">
        <v>1047</v>
      </c>
      <c r="G13" s="22" t="s">
        <v>76</v>
      </c>
      <c r="H13" s="23" t="s">
        <v>85</v>
      </c>
      <c r="I13" s="23" t="s">
        <v>69</v>
      </c>
      <c r="J13" s="12"/>
      <c r="K13" s="22" t="s">
        <v>58</v>
      </c>
      <c r="L13" s="22" t="s">
        <v>86</v>
      </c>
      <c r="M13" s="23" t="s">
        <v>87</v>
      </c>
      <c r="N13" s="12"/>
      <c r="O13" s="22" t="s">
        <v>88</v>
      </c>
      <c r="P13" s="22" t="s">
        <v>69</v>
      </c>
      <c r="Q13" s="22" t="s">
        <v>28</v>
      </c>
      <c r="R13" s="12"/>
      <c r="S13" s="12" t="str">
        <f>"315,0"</f>
        <v>315,0</v>
      </c>
      <c r="T13" s="12" t="str">
        <f>"192,4020"</f>
        <v>192,4020</v>
      </c>
      <c r="U13" s="11" t="s">
        <v>1007</v>
      </c>
    </row>
    <row r="14" spans="1:21">
      <c r="B14" s="5" t="s">
        <v>52</v>
      </c>
    </row>
    <row r="15" spans="1:21" ht="16">
      <c r="A15" s="33" t="s">
        <v>30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12" t="s">
        <v>51</v>
      </c>
      <c r="B16" s="11" t="s">
        <v>89</v>
      </c>
      <c r="C16" s="11" t="s">
        <v>90</v>
      </c>
      <c r="D16" s="11" t="s">
        <v>91</v>
      </c>
      <c r="E16" s="11" t="s">
        <v>1105</v>
      </c>
      <c r="F16" s="11" t="s">
        <v>1047</v>
      </c>
      <c r="G16" s="22" t="s">
        <v>20</v>
      </c>
      <c r="H16" s="22" t="s">
        <v>21</v>
      </c>
      <c r="I16" s="22" t="s">
        <v>15</v>
      </c>
      <c r="J16" s="12"/>
      <c r="K16" s="22" t="s">
        <v>19</v>
      </c>
      <c r="L16" s="22" t="s">
        <v>37</v>
      </c>
      <c r="M16" s="22" t="s">
        <v>74</v>
      </c>
      <c r="N16" s="12"/>
      <c r="O16" s="22" t="s">
        <v>34</v>
      </c>
      <c r="P16" s="22" t="s">
        <v>92</v>
      </c>
      <c r="Q16" s="23" t="s">
        <v>93</v>
      </c>
      <c r="R16" s="12"/>
      <c r="S16" s="12" t="str">
        <f>"660,0"</f>
        <v>660,0</v>
      </c>
      <c r="T16" s="12" t="str">
        <f>"390,4560"</f>
        <v>390,4560</v>
      </c>
      <c r="U16" s="11" t="s">
        <v>94</v>
      </c>
    </row>
    <row r="17" spans="2:2">
      <c r="B17" s="5" t="s">
        <v>52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5:R15"/>
    <mergeCell ref="B3:B4"/>
    <mergeCell ref="S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5">
    <pageSetUpPr fitToPage="1"/>
  </sheetPr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4" t="s">
        <v>1012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51</v>
      </c>
      <c r="B6" s="7" t="s">
        <v>11</v>
      </c>
      <c r="C6" s="7" t="s">
        <v>12</v>
      </c>
      <c r="D6" s="7" t="s">
        <v>13</v>
      </c>
      <c r="E6" s="7" t="s">
        <v>1105</v>
      </c>
      <c r="F6" s="7" t="s">
        <v>1047</v>
      </c>
      <c r="G6" s="18" t="s">
        <v>14</v>
      </c>
      <c r="H6" s="19" t="s">
        <v>15</v>
      </c>
      <c r="I6" s="19" t="s">
        <v>16</v>
      </c>
      <c r="J6" s="8"/>
      <c r="K6" s="18" t="s">
        <v>17</v>
      </c>
      <c r="L6" s="18" t="s">
        <v>18</v>
      </c>
      <c r="M6" s="18" t="s">
        <v>19</v>
      </c>
      <c r="N6" s="8"/>
      <c r="O6" s="18" t="s">
        <v>20</v>
      </c>
      <c r="P6" s="18" t="s">
        <v>21</v>
      </c>
      <c r="Q6" s="19" t="s">
        <v>22</v>
      </c>
      <c r="R6" s="8"/>
      <c r="S6" s="8" t="str">
        <f>"585,0"</f>
        <v>585,0</v>
      </c>
      <c r="T6" s="8" t="str">
        <f>"398,7360"</f>
        <v>398,7360</v>
      </c>
      <c r="U6" s="7"/>
    </row>
    <row r="7" spans="1:21">
      <c r="A7" s="10" t="s">
        <v>51</v>
      </c>
      <c r="B7" s="9" t="s">
        <v>23</v>
      </c>
      <c r="C7" s="9" t="s">
        <v>24</v>
      </c>
      <c r="D7" s="9" t="s">
        <v>25</v>
      </c>
      <c r="E7" s="9" t="s">
        <v>1106</v>
      </c>
      <c r="F7" s="9" t="s">
        <v>1047</v>
      </c>
      <c r="G7" s="20" t="s">
        <v>26</v>
      </c>
      <c r="H7" s="21" t="s">
        <v>26</v>
      </c>
      <c r="I7" s="20" t="s">
        <v>14</v>
      </c>
      <c r="J7" s="10"/>
      <c r="K7" s="21" t="s">
        <v>27</v>
      </c>
      <c r="L7" s="21" t="s">
        <v>17</v>
      </c>
      <c r="M7" s="20" t="s">
        <v>28</v>
      </c>
      <c r="N7" s="10"/>
      <c r="O7" s="21" t="s">
        <v>26</v>
      </c>
      <c r="P7" s="21" t="s">
        <v>22</v>
      </c>
      <c r="Q7" s="20" t="s">
        <v>29</v>
      </c>
      <c r="R7" s="10"/>
      <c r="S7" s="10" t="str">
        <f>"570,0"</f>
        <v>570,0</v>
      </c>
      <c r="T7" s="10" t="str">
        <f>"411,6268"</f>
        <v>411,6268</v>
      </c>
      <c r="U7" s="9"/>
    </row>
    <row r="8" spans="1:21">
      <c r="B8" s="5" t="s">
        <v>52</v>
      </c>
    </row>
    <row r="9" spans="1:21" ht="16">
      <c r="A9" s="33" t="s">
        <v>30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>
      <c r="A10" s="12" t="s">
        <v>51</v>
      </c>
      <c r="B10" s="11" t="s">
        <v>31</v>
      </c>
      <c r="C10" s="11" t="s">
        <v>32</v>
      </c>
      <c r="D10" s="11" t="s">
        <v>33</v>
      </c>
      <c r="E10" s="11" t="s">
        <v>1105</v>
      </c>
      <c r="F10" s="11" t="s">
        <v>1066</v>
      </c>
      <c r="G10" s="22" t="s">
        <v>22</v>
      </c>
      <c r="H10" s="22" t="s">
        <v>34</v>
      </c>
      <c r="I10" s="23" t="s">
        <v>35</v>
      </c>
      <c r="J10" s="12"/>
      <c r="K10" s="22" t="s">
        <v>36</v>
      </c>
      <c r="L10" s="22" t="s">
        <v>19</v>
      </c>
      <c r="M10" s="22" t="s">
        <v>37</v>
      </c>
      <c r="N10" s="12"/>
      <c r="O10" s="22" t="s">
        <v>38</v>
      </c>
      <c r="P10" s="22" t="s">
        <v>14</v>
      </c>
      <c r="Q10" s="22" t="s">
        <v>22</v>
      </c>
      <c r="R10" s="12"/>
      <c r="S10" s="12" t="str">
        <f>"635,0"</f>
        <v>635,0</v>
      </c>
      <c r="T10" s="12" t="str">
        <f>"380,7460"</f>
        <v>380,7460</v>
      </c>
      <c r="U10" s="11"/>
    </row>
    <row r="11" spans="1:21">
      <c r="B11" s="5" t="s">
        <v>52</v>
      </c>
    </row>
  </sheetData>
  <mergeCells count="15"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9:R9"/>
    <mergeCell ref="B3:B4"/>
    <mergeCell ref="E3:E4"/>
    <mergeCell ref="S3:S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19.1640625" style="5" customWidth="1"/>
    <col min="18" max="16384" width="9.1640625" style="3"/>
  </cols>
  <sheetData>
    <row r="1" spans="1:17" s="2" customFormat="1" ht="29" customHeight="1">
      <c r="A1" s="44" t="s">
        <v>1013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6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9"/>
      <c r="Q4" s="41"/>
    </row>
    <row r="5" spans="1:17" ht="16">
      <c r="A5" s="42" t="s">
        <v>116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8" t="s">
        <v>51</v>
      </c>
      <c r="B6" s="7" t="s">
        <v>308</v>
      </c>
      <c r="C6" s="7" t="s">
        <v>309</v>
      </c>
      <c r="D6" s="7" t="s">
        <v>119</v>
      </c>
      <c r="E6" s="7" t="s">
        <v>1105</v>
      </c>
      <c r="F6" s="7" t="s">
        <v>1047</v>
      </c>
      <c r="G6" s="18" t="s">
        <v>60</v>
      </c>
      <c r="H6" s="18" t="s">
        <v>86</v>
      </c>
      <c r="I6" s="18" t="s">
        <v>68</v>
      </c>
      <c r="J6" s="8"/>
      <c r="K6" s="18" t="s">
        <v>142</v>
      </c>
      <c r="L6" s="18" t="s">
        <v>67</v>
      </c>
      <c r="M6" s="19" t="s">
        <v>69</v>
      </c>
      <c r="N6" s="8"/>
      <c r="O6" s="29" t="str">
        <f>"192,5"</f>
        <v>192,5</v>
      </c>
      <c r="P6" s="8" t="str">
        <f>"214,6182"</f>
        <v>214,6182</v>
      </c>
      <c r="Q6" s="7"/>
    </row>
    <row r="7" spans="1:17">
      <c r="A7" s="10" t="s">
        <v>237</v>
      </c>
      <c r="B7" s="9" t="s">
        <v>850</v>
      </c>
      <c r="C7" s="9" t="s">
        <v>851</v>
      </c>
      <c r="D7" s="9" t="s">
        <v>852</v>
      </c>
      <c r="E7" s="9" t="s">
        <v>1105</v>
      </c>
      <c r="F7" s="9" t="s">
        <v>1047</v>
      </c>
      <c r="G7" s="21" t="s">
        <v>115</v>
      </c>
      <c r="H7" s="20" t="s">
        <v>106</v>
      </c>
      <c r="I7" s="21" t="s">
        <v>106</v>
      </c>
      <c r="J7" s="10"/>
      <c r="K7" s="21" t="s">
        <v>104</v>
      </c>
      <c r="L7" s="21" t="s">
        <v>27</v>
      </c>
      <c r="M7" s="21" t="s">
        <v>85</v>
      </c>
      <c r="N7" s="10"/>
      <c r="O7" s="30" t="str">
        <f>"165,0"</f>
        <v>165,0</v>
      </c>
      <c r="P7" s="10" t="str">
        <f>"189,3870"</f>
        <v>189,3870</v>
      </c>
      <c r="Q7" s="9" t="s">
        <v>853</v>
      </c>
    </row>
    <row r="8" spans="1:17">
      <c r="B8" s="5" t="s">
        <v>52</v>
      </c>
    </row>
    <row r="9" spans="1:17" ht="16">
      <c r="A9" s="33" t="s">
        <v>10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>
      <c r="A10" s="8" t="s">
        <v>51</v>
      </c>
      <c r="B10" s="7" t="s">
        <v>906</v>
      </c>
      <c r="C10" s="7" t="s">
        <v>907</v>
      </c>
      <c r="D10" s="7" t="s">
        <v>908</v>
      </c>
      <c r="E10" s="7" t="s">
        <v>1105</v>
      </c>
      <c r="F10" s="7" t="s">
        <v>1067</v>
      </c>
      <c r="G10" s="18" t="s">
        <v>160</v>
      </c>
      <c r="H10" s="18" t="s">
        <v>76</v>
      </c>
      <c r="I10" s="19" t="s">
        <v>77</v>
      </c>
      <c r="J10" s="8"/>
      <c r="K10" s="18" t="s">
        <v>364</v>
      </c>
      <c r="L10" s="18" t="s">
        <v>140</v>
      </c>
      <c r="M10" s="18" t="s">
        <v>38</v>
      </c>
      <c r="N10" s="8"/>
      <c r="O10" s="29" t="str">
        <f>"305,0"</f>
        <v>305,0</v>
      </c>
      <c r="P10" s="8" t="str">
        <f>"213,6525"</f>
        <v>213,6525</v>
      </c>
      <c r="Q10" s="7"/>
    </row>
    <row r="11" spans="1:17">
      <c r="A11" s="10" t="s">
        <v>470</v>
      </c>
      <c r="B11" s="9" t="s">
        <v>909</v>
      </c>
      <c r="C11" s="9" t="s">
        <v>910</v>
      </c>
      <c r="D11" s="9" t="s">
        <v>911</v>
      </c>
      <c r="E11" s="9" t="s">
        <v>1105</v>
      </c>
      <c r="F11" s="9" t="s">
        <v>1068</v>
      </c>
      <c r="G11" s="21" t="s">
        <v>18</v>
      </c>
      <c r="H11" s="20" t="s">
        <v>19</v>
      </c>
      <c r="I11" s="20" t="s">
        <v>19</v>
      </c>
      <c r="J11" s="10"/>
      <c r="K11" s="20" t="s">
        <v>155</v>
      </c>
      <c r="L11" s="20" t="s">
        <v>155</v>
      </c>
      <c r="M11" s="20" t="s">
        <v>155</v>
      </c>
      <c r="N11" s="10"/>
      <c r="O11" s="30">
        <v>0</v>
      </c>
      <c r="P11" s="10" t="str">
        <f>"0,0000"</f>
        <v>0,0000</v>
      </c>
      <c r="Q11" s="9" t="s">
        <v>912</v>
      </c>
    </row>
    <row r="12" spans="1:17">
      <c r="B12" s="5" t="s">
        <v>52</v>
      </c>
    </row>
    <row r="13" spans="1:17" ht="16">
      <c r="A13" s="33" t="s">
        <v>151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7">
      <c r="A14" s="8" t="s">
        <v>51</v>
      </c>
      <c r="B14" s="7" t="s">
        <v>742</v>
      </c>
      <c r="C14" s="7" t="s">
        <v>743</v>
      </c>
      <c r="D14" s="7" t="s">
        <v>385</v>
      </c>
      <c r="E14" s="7" t="s">
        <v>1106</v>
      </c>
      <c r="F14" s="7" t="s">
        <v>1047</v>
      </c>
      <c r="G14" s="18" t="s">
        <v>17</v>
      </c>
      <c r="H14" s="18" t="s">
        <v>18</v>
      </c>
      <c r="I14" s="19" t="s">
        <v>19</v>
      </c>
      <c r="J14" s="8"/>
      <c r="K14" s="18" t="s">
        <v>38</v>
      </c>
      <c r="L14" s="18" t="s">
        <v>20</v>
      </c>
      <c r="M14" s="18" t="s">
        <v>14</v>
      </c>
      <c r="N14" s="8"/>
      <c r="O14" s="29" t="str">
        <f>"355,0"</f>
        <v>355,0</v>
      </c>
      <c r="P14" s="8" t="str">
        <f>"227,9455"</f>
        <v>227,9455</v>
      </c>
      <c r="Q14" s="7"/>
    </row>
    <row r="15" spans="1:17">
      <c r="A15" s="10" t="s">
        <v>51</v>
      </c>
      <c r="B15" s="9" t="s">
        <v>913</v>
      </c>
      <c r="C15" s="9" t="s">
        <v>914</v>
      </c>
      <c r="D15" s="9" t="s">
        <v>915</v>
      </c>
      <c r="E15" s="9" t="s">
        <v>1108</v>
      </c>
      <c r="F15" s="9" t="s">
        <v>1047</v>
      </c>
      <c r="G15" s="21" t="s">
        <v>87</v>
      </c>
      <c r="H15" s="21" t="s">
        <v>126</v>
      </c>
      <c r="I15" s="20" t="s">
        <v>88</v>
      </c>
      <c r="J15" s="10"/>
      <c r="K15" s="21" t="s">
        <v>37</v>
      </c>
      <c r="L15" s="21" t="s">
        <v>121</v>
      </c>
      <c r="M15" s="20" t="s">
        <v>364</v>
      </c>
      <c r="N15" s="10"/>
      <c r="O15" s="30" t="str">
        <f>"242,5"</f>
        <v>242,5</v>
      </c>
      <c r="P15" s="10" t="str">
        <f>"248,6653"</f>
        <v>248,6653</v>
      </c>
      <c r="Q15" s="9" t="s">
        <v>916</v>
      </c>
    </row>
    <row r="16" spans="1:17">
      <c r="B16" s="5" t="s">
        <v>52</v>
      </c>
    </row>
    <row r="17" spans="1:17" ht="16">
      <c r="A17" s="33" t="s">
        <v>81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7">
      <c r="A18" s="12" t="s">
        <v>51</v>
      </c>
      <c r="B18" s="11" t="s">
        <v>420</v>
      </c>
      <c r="C18" s="11" t="s">
        <v>421</v>
      </c>
      <c r="D18" s="11" t="s">
        <v>422</v>
      </c>
      <c r="E18" s="11" t="s">
        <v>1110</v>
      </c>
      <c r="F18" s="11" t="s">
        <v>1060</v>
      </c>
      <c r="G18" s="22" t="s">
        <v>86</v>
      </c>
      <c r="H18" s="22" t="s">
        <v>68</v>
      </c>
      <c r="I18" s="23" t="s">
        <v>113</v>
      </c>
      <c r="J18" s="12"/>
      <c r="K18" s="22" t="s">
        <v>76</v>
      </c>
      <c r="L18" s="22" t="s">
        <v>122</v>
      </c>
      <c r="M18" s="22" t="s">
        <v>142</v>
      </c>
      <c r="N18" s="12"/>
      <c r="O18" s="32" t="str">
        <f>"187,5"</f>
        <v>187,5</v>
      </c>
      <c r="P18" s="12" t="str">
        <f>"118,1438"</f>
        <v>118,1438</v>
      </c>
      <c r="Q18" s="11" t="s">
        <v>423</v>
      </c>
    </row>
    <row r="19" spans="1:17">
      <c r="B19" s="5" t="s">
        <v>52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3:N13"/>
    <mergeCell ref="A17:N17"/>
    <mergeCell ref="B3:B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3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7.33203125" style="5" bestFit="1" customWidth="1"/>
    <col min="18" max="16384" width="9.1640625" style="3"/>
  </cols>
  <sheetData>
    <row r="1" spans="1:17" s="2" customFormat="1" ht="29" customHeight="1">
      <c r="A1" s="44" t="s">
        <v>1014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151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12" t="s">
        <v>51</v>
      </c>
      <c r="B6" s="11" t="s">
        <v>506</v>
      </c>
      <c r="C6" s="11" t="s">
        <v>507</v>
      </c>
      <c r="D6" s="11" t="s">
        <v>406</v>
      </c>
      <c r="E6" s="11" t="s">
        <v>1105</v>
      </c>
      <c r="F6" s="11" t="s">
        <v>1059</v>
      </c>
      <c r="G6" s="22" t="s">
        <v>178</v>
      </c>
      <c r="H6" s="22" t="s">
        <v>179</v>
      </c>
      <c r="I6" s="22" t="s">
        <v>150</v>
      </c>
      <c r="J6" s="12"/>
      <c r="K6" s="22" t="s">
        <v>150</v>
      </c>
      <c r="L6" s="22" t="s">
        <v>155</v>
      </c>
      <c r="M6" s="22" t="s">
        <v>26</v>
      </c>
      <c r="N6" s="12"/>
      <c r="O6" s="12" t="str">
        <f>"400,0"</f>
        <v>400,0</v>
      </c>
      <c r="P6" s="12" t="str">
        <f>"255,3600"</f>
        <v>255,3600</v>
      </c>
      <c r="Q6" s="11" t="s">
        <v>736</v>
      </c>
    </row>
    <row r="7" spans="1:17">
      <c r="B7" s="5" t="s">
        <v>52</v>
      </c>
    </row>
    <row r="8" spans="1:17" ht="16">
      <c r="A8" s="33" t="s">
        <v>81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12" t="s">
        <v>51</v>
      </c>
      <c r="B9" s="11" t="s">
        <v>186</v>
      </c>
      <c r="C9" s="11" t="s">
        <v>187</v>
      </c>
      <c r="D9" s="11" t="s">
        <v>188</v>
      </c>
      <c r="E9" s="11" t="s">
        <v>1105</v>
      </c>
      <c r="F9" s="11" t="s">
        <v>1047</v>
      </c>
      <c r="G9" s="22" t="s">
        <v>79</v>
      </c>
      <c r="H9" s="22" t="s">
        <v>189</v>
      </c>
      <c r="I9" s="12"/>
      <c r="J9" s="12"/>
      <c r="K9" s="22" t="s">
        <v>26</v>
      </c>
      <c r="L9" s="22" t="s">
        <v>21</v>
      </c>
      <c r="M9" s="22" t="s">
        <v>15</v>
      </c>
      <c r="N9" s="12"/>
      <c r="O9" s="12" t="str">
        <f>"420,0"</f>
        <v>420,0</v>
      </c>
      <c r="P9" s="12" t="str">
        <f>"257,8380"</f>
        <v>257,8380</v>
      </c>
      <c r="Q9" s="11"/>
    </row>
    <row r="10" spans="1:17">
      <c r="B10" s="5" t="s">
        <v>52</v>
      </c>
    </row>
    <row r="11" spans="1:17" ht="16">
      <c r="A11" s="33" t="s">
        <v>212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>
      <c r="A12" s="12" t="s">
        <v>51</v>
      </c>
      <c r="B12" s="11" t="s">
        <v>904</v>
      </c>
      <c r="C12" s="11" t="s">
        <v>905</v>
      </c>
      <c r="D12" s="11" t="s">
        <v>218</v>
      </c>
      <c r="E12" s="11" t="s">
        <v>1105</v>
      </c>
      <c r="F12" s="11" t="s">
        <v>1047</v>
      </c>
      <c r="G12" s="22" t="s">
        <v>140</v>
      </c>
      <c r="H12" s="22" t="s">
        <v>38</v>
      </c>
      <c r="I12" s="23" t="s">
        <v>26</v>
      </c>
      <c r="J12" s="12"/>
      <c r="K12" s="22" t="s">
        <v>166</v>
      </c>
      <c r="L12" s="23" t="s">
        <v>167</v>
      </c>
      <c r="M12" s="23" t="s">
        <v>167</v>
      </c>
      <c r="N12" s="12"/>
      <c r="O12" s="12" t="str">
        <f>"485,0"</f>
        <v>485,0</v>
      </c>
      <c r="P12" s="12" t="str">
        <f>"278,4870"</f>
        <v>278,4870</v>
      </c>
      <c r="Q12" s="11"/>
    </row>
    <row r="13" spans="1:17">
      <c r="B13" s="5" t="s">
        <v>52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128"/>
  <sheetViews>
    <sheetView workbookViewId="0">
      <selection activeCell="E105" sqref="E105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6.1640625" style="5" bestFit="1" customWidth="1"/>
    <col min="14" max="16384" width="9.1640625" style="3"/>
  </cols>
  <sheetData>
    <row r="1" spans="1:13" s="2" customFormat="1" ht="29" customHeight="1">
      <c r="A1" s="44" t="s">
        <v>1015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6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53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51</v>
      </c>
      <c r="B6" s="7" t="s">
        <v>600</v>
      </c>
      <c r="C6" s="7" t="s">
        <v>601</v>
      </c>
      <c r="D6" s="7" t="s">
        <v>270</v>
      </c>
      <c r="E6" s="7" t="s">
        <v>1105</v>
      </c>
      <c r="F6" s="7" t="s">
        <v>602</v>
      </c>
      <c r="G6" s="19" t="s">
        <v>115</v>
      </c>
      <c r="H6" s="18" t="s">
        <v>115</v>
      </c>
      <c r="I6" s="18" t="s">
        <v>106</v>
      </c>
      <c r="J6" s="8"/>
      <c r="K6" s="29" t="str">
        <f>"50,0"</f>
        <v>50,0</v>
      </c>
      <c r="L6" s="8" t="str">
        <f>"62,7050"</f>
        <v>62,7050</v>
      </c>
      <c r="M6" s="7" t="s">
        <v>990</v>
      </c>
    </row>
    <row r="7" spans="1:13">
      <c r="A7" s="25" t="s">
        <v>238</v>
      </c>
      <c r="B7" s="24" t="s">
        <v>268</v>
      </c>
      <c r="C7" s="24" t="s">
        <v>269</v>
      </c>
      <c r="D7" s="24" t="s">
        <v>270</v>
      </c>
      <c r="E7" s="24" t="s">
        <v>1105</v>
      </c>
      <c r="F7" s="24" t="s">
        <v>1048</v>
      </c>
      <c r="G7" s="26" t="s">
        <v>127</v>
      </c>
      <c r="H7" s="26" t="s">
        <v>105</v>
      </c>
      <c r="I7" s="27" t="s">
        <v>106</v>
      </c>
      <c r="J7" s="25"/>
      <c r="K7" s="31" t="str">
        <f>"47,5"</f>
        <v>47,5</v>
      </c>
      <c r="L7" s="25" t="str">
        <f>"59,5697"</f>
        <v>59,5697</v>
      </c>
      <c r="M7" s="24" t="s">
        <v>271</v>
      </c>
    </row>
    <row r="8" spans="1:13">
      <c r="A8" s="25" t="s">
        <v>239</v>
      </c>
      <c r="B8" s="24" t="s">
        <v>603</v>
      </c>
      <c r="C8" s="24" t="s">
        <v>604</v>
      </c>
      <c r="D8" s="24" t="s">
        <v>605</v>
      </c>
      <c r="E8" s="24" t="s">
        <v>1105</v>
      </c>
      <c r="F8" s="24" t="s">
        <v>1047</v>
      </c>
      <c r="G8" s="26" t="s">
        <v>606</v>
      </c>
      <c r="H8" s="26" t="s">
        <v>127</v>
      </c>
      <c r="I8" s="27" t="s">
        <v>115</v>
      </c>
      <c r="J8" s="25"/>
      <c r="K8" s="31" t="str">
        <f>"42,5"</f>
        <v>42,5</v>
      </c>
      <c r="L8" s="25" t="str">
        <f>"54,5955"</f>
        <v>54,5955</v>
      </c>
      <c r="M8" s="24" t="s">
        <v>62</v>
      </c>
    </row>
    <row r="9" spans="1:13">
      <c r="A9" s="10" t="s">
        <v>51</v>
      </c>
      <c r="B9" s="9" t="s">
        <v>600</v>
      </c>
      <c r="C9" s="9" t="s">
        <v>607</v>
      </c>
      <c r="D9" s="9" t="s">
        <v>270</v>
      </c>
      <c r="E9" s="9" t="s">
        <v>1106</v>
      </c>
      <c r="F9" s="9" t="s">
        <v>602</v>
      </c>
      <c r="G9" s="20" t="s">
        <v>115</v>
      </c>
      <c r="H9" s="21" t="s">
        <v>115</v>
      </c>
      <c r="I9" s="21" t="s">
        <v>106</v>
      </c>
      <c r="J9" s="10"/>
      <c r="K9" s="30" t="str">
        <f>"50,0"</f>
        <v>50,0</v>
      </c>
      <c r="L9" s="10" t="str">
        <f>"68,7247"</f>
        <v>68,7247</v>
      </c>
      <c r="M9" s="9" t="s">
        <v>990</v>
      </c>
    </row>
    <row r="10" spans="1:13">
      <c r="B10" s="5" t="s">
        <v>52</v>
      </c>
    </row>
    <row r="11" spans="1:13" ht="16">
      <c r="A11" s="33" t="s">
        <v>108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2" t="s">
        <v>51</v>
      </c>
      <c r="B12" s="11" t="s">
        <v>608</v>
      </c>
      <c r="C12" s="11" t="s">
        <v>609</v>
      </c>
      <c r="D12" s="11" t="s">
        <v>610</v>
      </c>
      <c r="E12" s="11" t="s">
        <v>1105</v>
      </c>
      <c r="F12" s="11" t="s">
        <v>1069</v>
      </c>
      <c r="G12" s="22" t="s">
        <v>262</v>
      </c>
      <c r="H12" s="22" t="s">
        <v>263</v>
      </c>
      <c r="I12" s="22" t="s">
        <v>256</v>
      </c>
      <c r="J12" s="12"/>
      <c r="K12" s="32" t="str">
        <f>"57,5"</f>
        <v>57,5</v>
      </c>
      <c r="L12" s="12" t="str">
        <f>"68,6148"</f>
        <v>68,6148</v>
      </c>
      <c r="M12" s="11" t="s">
        <v>611</v>
      </c>
    </row>
    <row r="13" spans="1:13">
      <c r="B13" s="5" t="s">
        <v>52</v>
      </c>
    </row>
    <row r="14" spans="1:13" ht="16">
      <c r="A14" s="33" t="s">
        <v>116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51</v>
      </c>
      <c r="B15" s="7" t="s">
        <v>612</v>
      </c>
      <c r="C15" s="7" t="s">
        <v>613</v>
      </c>
      <c r="D15" s="7" t="s">
        <v>614</v>
      </c>
      <c r="E15" s="7" t="s">
        <v>1105</v>
      </c>
      <c r="F15" s="7" t="s">
        <v>1070</v>
      </c>
      <c r="G15" s="18" t="s">
        <v>86</v>
      </c>
      <c r="H15" s="18" t="s">
        <v>112</v>
      </c>
      <c r="I15" s="19" t="s">
        <v>68</v>
      </c>
      <c r="J15" s="8"/>
      <c r="K15" s="29" t="str">
        <f>"72,5"</f>
        <v>72,5</v>
      </c>
      <c r="L15" s="8" t="str">
        <f>"81,5698"</f>
        <v>81,5698</v>
      </c>
      <c r="M15" s="7"/>
    </row>
    <row r="16" spans="1:13">
      <c r="A16" s="25" t="s">
        <v>237</v>
      </c>
      <c r="B16" s="24" t="s">
        <v>615</v>
      </c>
      <c r="C16" s="24" t="s">
        <v>616</v>
      </c>
      <c r="D16" s="24" t="s">
        <v>300</v>
      </c>
      <c r="E16" s="24" t="s">
        <v>1105</v>
      </c>
      <c r="F16" s="24" t="s">
        <v>1051</v>
      </c>
      <c r="G16" s="27" t="s">
        <v>86</v>
      </c>
      <c r="H16" s="26" t="s">
        <v>86</v>
      </c>
      <c r="I16" s="27" t="s">
        <v>68</v>
      </c>
      <c r="J16" s="25"/>
      <c r="K16" s="31" t="str">
        <f>"70,0"</f>
        <v>70,0</v>
      </c>
      <c r="L16" s="25" t="str">
        <f>"81,9070"</f>
        <v>81,9070</v>
      </c>
      <c r="M16" s="24" t="s">
        <v>617</v>
      </c>
    </row>
    <row r="17" spans="1:13">
      <c r="A17" s="25" t="s">
        <v>238</v>
      </c>
      <c r="B17" s="24" t="s">
        <v>618</v>
      </c>
      <c r="C17" s="24" t="s">
        <v>619</v>
      </c>
      <c r="D17" s="24" t="s">
        <v>620</v>
      </c>
      <c r="E17" s="24" t="s">
        <v>1105</v>
      </c>
      <c r="F17" s="24" t="s">
        <v>1047</v>
      </c>
      <c r="G17" s="26" t="s">
        <v>262</v>
      </c>
      <c r="H17" s="27" t="s">
        <v>256</v>
      </c>
      <c r="I17" s="27" t="s">
        <v>256</v>
      </c>
      <c r="J17" s="25"/>
      <c r="K17" s="31" t="str">
        <f>"52,5"</f>
        <v>52,5</v>
      </c>
      <c r="L17" s="25" t="str">
        <f>"58,6845"</f>
        <v>58,6845</v>
      </c>
      <c r="M17" s="24" t="s">
        <v>621</v>
      </c>
    </row>
    <row r="18" spans="1:13">
      <c r="A18" s="10" t="s">
        <v>51</v>
      </c>
      <c r="B18" s="9" t="s">
        <v>622</v>
      </c>
      <c r="C18" s="9" t="s">
        <v>623</v>
      </c>
      <c r="D18" s="9" t="s">
        <v>624</v>
      </c>
      <c r="E18" s="9" t="s">
        <v>1106</v>
      </c>
      <c r="F18" s="9" t="s">
        <v>1047</v>
      </c>
      <c r="G18" s="21" t="s">
        <v>106</v>
      </c>
      <c r="H18" s="21" t="s">
        <v>256</v>
      </c>
      <c r="I18" s="20" t="s">
        <v>58</v>
      </c>
      <c r="J18" s="10"/>
      <c r="K18" s="30" t="str">
        <f>"57,5"</f>
        <v>57,5</v>
      </c>
      <c r="L18" s="10" t="str">
        <f>"64,7795"</f>
        <v>64,7795</v>
      </c>
      <c r="M18" s="9" t="s">
        <v>625</v>
      </c>
    </row>
    <row r="19" spans="1:13">
      <c r="B19" s="5" t="s">
        <v>52</v>
      </c>
    </row>
    <row r="20" spans="1:13" ht="16">
      <c r="A20" s="33" t="s">
        <v>310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8" t="s">
        <v>51</v>
      </c>
      <c r="B21" s="7" t="s">
        <v>318</v>
      </c>
      <c r="C21" s="7" t="s">
        <v>319</v>
      </c>
      <c r="D21" s="7" t="s">
        <v>320</v>
      </c>
      <c r="E21" s="7" t="s">
        <v>1107</v>
      </c>
      <c r="F21" s="7" t="s">
        <v>1047</v>
      </c>
      <c r="G21" s="18" t="s">
        <v>86</v>
      </c>
      <c r="H21" s="19" t="s">
        <v>68</v>
      </c>
      <c r="I21" s="19" t="s">
        <v>68</v>
      </c>
      <c r="J21" s="8"/>
      <c r="K21" s="29" t="str">
        <f>"70,0"</f>
        <v>70,0</v>
      </c>
      <c r="L21" s="8" t="str">
        <f>"75,8170"</f>
        <v>75,8170</v>
      </c>
      <c r="M21" s="7"/>
    </row>
    <row r="22" spans="1:13">
      <c r="A22" s="25" t="s">
        <v>51</v>
      </c>
      <c r="B22" s="24" t="s">
        <v>626</v>
      </c>
      <c r="C22" s="24" t="s">
        <v>627</v>
      </c>
      <c r="D22" s="24" t="s">
        <v>317</v>
      </c>
      <c r="E22" s="24" t="s">
        <v>1105</v>
      </c>
      <c r="F22" s="24" t="s">
        <v>1047</v>
      </c>
      <c r="G22" s="26" t="s">
        <v>86</v>
      </c>
      <c r="H22" s="27" t="s">
        <v>68</v>
      </c>
      <c r="I22" s="27" t="s">
        <v>68</v>
      </c>
      <c r="J22" s="25"/>
      <c r="K22" s="31" t="str">
        <f>"70,0"</f>
        <v>70,0</v>
      </c>
      <c r="L22" s="25" t="str">
        <f>"72,7790"</f>
        <v>72,7790</v>
      </c>
      <c r="M22" s="24" t="s">
        <v>628</v>
      </c>
    </row>
    <row r="23" spans="1:13">
      <c r="A23" s="25" t="s">
        <v>237</v>
      </c>
      <c r="B23" s="24" t="s">
        <v>629</v>
      </c>
      <c r="C23" s="24" t="s">
        <v>630</v>
      </c>
      <c r="D23" s="24" t="s">
        <v>631</v>
      </c>
      <c r="E23" s="24" t="s">
        <v>1105</v>
      </c>
      <c r="F23" s="24" t="s">
        <v>1047</v>
      </c>
      <c r="G23" s="26" t="s">
        <v>267</v>
      </c>
      <c r="H23" s="26" t="s">
        <v>59</v>
      </c>
      <c r="I23" s="26" t="s">
        <v>60</v>
      </c>
      <c r="J23" s="25"/>
      <c r="K23" s="31" t="str">
        <f>"67,5"</f>
        <v>67,5</v>
      </c>
      <c r="L23" s="25" t="str">
        <f>"68,8905"</f>
        <v>68,8905</v>
      </c>
      <c r="M23" s="24" t="s">
        <v>632</v>
      </c>
    </row>
    <row r="24" spans="1:13">
      <c r="A24" s="25" t="s">
        <v>238</v>
      </c>
      <c r="B24" s="24" t="s">
        <v>633</v>
      </c>
      <c r="C24" s="24" t="s">
        <v>634</v>
      </c>
      <c r="D24" s="24" t="s">
        <v>635</v>
      </c>
      <c r="E24" s="24" t="s">
        <v>1105</v>
      </c>
      <c r="F24" s="24" t="s">
        <v>1047</v>
      </c>
      <c r="G24" s="26" t="s">
        <v>267</v>
      </c>
      <c r="H24" s="27" t="s">
        <v>59</v>
      </c>
      <c r="I24" s="27" t="s">
        <v>59</v>
      </c>
      <c r="J24" s="25"/>
      <c r="K24" s="31" t="str">
        <f>"62,5"</f>
        <v>62,5</v>
      </c>
      <c r="L24" s="25" t="str">
        <f>"64,6937"</f>
        <v>64,6937</v>
      </c>
      <c r="M24" s="24" t="s">
        <v>632</v>
      </c>
    </row>
    <row r="25" spans="1:13">
      <c r="A25" s="25" t="s">
        <v>239</v>
      </c>
      <c r="B25" s="24" t="s">
        <v>636</v>
      </c>
      <c r="C25" s="24" t="s">
        <v>637</v>
      </c>
      <c r="D25" s="24" t="s">
        <v>638</v>
      </c>
      <c r="E25" s="24" t="s">
        <v>1105</v>
      </c>
      <c r="F25" s="24" t="s">
        <v>1050</v>
      </c>
      <c r="G25" s="26" t="s">
        <v>58</v>
      </c>
      <c r="H25" s="27" t="s">
        <v>267</v>
      </c>
      <c r="I25" s="27" t="s">
        <v>59</v>
      </c>
      <c r="J25" s="25"/>
      <c r="K25" s="31" t="str">
        <f>"60,0"</f>
        <v>60,0</v>
      </c>
      <c r="L25" s="25" t="str">
        <f>"61,5660"</f>
        <v>61,5660</v>
      </c>
      <c r="M25" s="24"/>
    </row>
    <row r="26" spans="1:13">
      <c r="A26" s="25" t="s">
        <v>240</v>
      </c>
      <c r="B26" s="24" t="s">
        <v>639</v>
      </c>
      <c r="C26" s="24" t="s">
        <v>640</v>
      </c>
      <c r="D26" s="24" t="s">
        <v>641</v>
      </c>
      <c r="E26" s="24" t="s">
        <v>1105</v>
      </c>
      <c r="F26" s="24" t="s">
        <v>1047</v>
      </c>
      <c r="G26" s="26" t="s">
        <v>606</v>
      </c>
      <c r="H26" s="26" t="s">
        <v>127</v>
      </c>
      <c r="I26" s="27" t="s">
        <v>115</v>
      </c>
      <c r="J26" s="25"/>
      <c r="K26" s="31" t="str">
        <f>"42,5"</f>
        <v>42,5</v>
      </c>
      <c r="L26" s="25" t="str">
        <f>"46,6650"</f>
        <v>46,6650</v>
      </c>
      <c r="M26" s="24" t="s">
        <v>62</v>
      </c>
    </row>
    <row r="27" spans="1:13">
      <c r="A27" s="10" t="s">
        <v>51</v>
      </c>
      <c r="B27" s="9" t="s">
        <v>642</v>
      </c>
      <c r="C27" s="9" t="s">
        <v>643</v>
      </c>
      <c r="D27" s="9" t="s">
        <v>644</v>
      </c>
      <c r="E27" s="9" t="s">
        <v>1106</v>
      </c>
      <c r="F27" s="9" t="s">
        <v>1047</v>
      </c>
      <c r="G27" s="21" t="s">
        <v>106</v>
      </c>
      <c r="H27" s="20" t="s">
        <v>262</v>
      </c>
      <c r="I27" s="21" t="s">
        <v>262</v>
      </c>
      <c r="J27" s="10"/>
      <c r="K27" s="30" t="str">
        <f>"52,5"</f>
        <v>52,5</v>
      </c>
      <c r="L27" s="10" t="str">
        <f>"56,9188"</f>
        <v>56,9188</v>
      </c>
      <c r="M27" s="9" t="s">
        <v>632</v>
      </c>
    </row>
    <row r="28" spans="1:13">
      <c r="B28" s="5" t="s">
        <v>52</v>
      </c>
    </row>
    <row r="29" spans="1:13" ht="16">
      <c r="A29" s="33" t="s">
        <v>63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>
      <c r="A30" s="12" t="s">
        <v>51</v>
      </c>
      <c r="B30" s="11" t="s">
        <v>645</v>
      </c>
      <c r="C30" s="11" t="s">
        <v>646</v>
      </c>
      <c r="D30" s="11" t="s">
        <v>647</v>
      </c>
      <c r="E30" s="11" t="s">
        <v>1106</v>
      </c>
      <c r="F30" s="11" t="s">
        <v>1047</v>
      </c>
      <c r="G30" s="22" t="s">
        <v>267</v>
      </c>
      <c r="H30" s="22" t="s">
        <v>59</v>
      </c>
      <c r="I30" s="23" t="s">
        <v>60</v>
      </c>
      <c r="J30" s="12"/>
      <c r="K30" s="32" t="str">
        <f>"65,0"</f>
        <v>65,0</v>
      </c>
      <c r="L30" s="12" t="str">
        <f>"69,3693"</f>
        <v>69,3693</v>
      </c>
      <c r="M30" s="11"/>
    </row>
    <row r="31" spans="1:13">
      <c r="B31" s="5" t="s">
        <v>52</v>
      </c>
    </row>
    <row r="32" spans="1:13" ht="16">
      <c r="A32" s="33" t="s">
        <v>10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8" t="s">
        <v>51</v>
      </c>
      <c r="B33" s="7" t="s">
        <v>648</v>
      </c>
      <c r="C33" s="7" t="s">
        <v>649</v>
      </c>
      <c r="D33" s="7" t="s">
        <v>650</v>
      </c>
      <c r="E33" s="7" t="s">
        <v>1105</v>
      </c>
      <c r="F33" s="7" t="s">
        <v>1071</v>
      </c>
      <c r="G33" s="18" t="s">
        <v>87</v>
      </c>
      <c r="H33" s="18" t="s">
        <v>126</v>
      </c>
      <c r="I33" s="19" t="s">
        <v>288</v>
      </c>
      <c r="J33" s="8"/>
      <c r="K33" s="29" t="str">
        <f>"85,0"</f>
        <v>85,0</v>
      </c>
      <c r="L33" s="8" t="str">
        <f>"76,9420"</f>
        <v>76,9420</v>
      </c>
      <c r="M33" s="7" t="s">
        <v>651</v>
      </c>
    </row>
    <row r="34" spans="1:13">
      <c r="A34" s="10" t="s">
        <v>237</v>
      </c>
      <c r="B34" s="9" t="s">
        <v>652</v>
      </c>
      <c r="C34" s="9" t="s">
        <v>653</v>
      </c>
      <c r="D34" s="9" t="s">
        <v>654</v>
      </c>
      <c r="E34" s="9" t="s">
        <v>1105</v>
      </c>
      <c r="F34" s="9" t="s">
        <v>1072</v>
      </c>
      <c r="G34" s="20" t="s">
        <v>87</v>
      </c>
      <c r="H34" s="21" t="s">
        <v>87</v>
      </c>
      <c r="I34" s="20" t="s">
        <v>126</v>
      </c>
      <c r="J34" s="10"/>
      <c r="K34" s="30" t="str">
        <f>"80,0"</f>
        <v>80,0</v>
      </c>
      <c r="L34" s="10" t="str">
        <f>"73,5120"</f>
        <v>73,5120</v>
      </c>
      <c r="M34" s="9"/>
    </row>
    <row r="35" spans="1:13">
      <c r="B35" s="5" t="s">
        <v>52</v>
      </c>
    </row>
    <row r="36" spans="1:13" ht="16">
      <c r="A36" s="33" t="s">
        <v>116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3">
      <c r="A37" s="12" t="s">
        <v>51</v>
      </c>
      <c r="B37" s="11" t="s">
        <v>655</v>
      </c>
      <c r="C37" s="11" t="s">
        <v>656</v>
      </c>
      <c r="D37" s="11" t="s">
        <v>657</v>
      </c>
      <c r="E37" s="11" t="s">
        <v>1111</v>
      </c>
      <c r="F37" s="11" t="s">
        <v>1047</v>
      </c>
      <c r="G37" s="22" t="s">
        <v>87</v>
      </c>
      <c r="H37" s="22" t="s">
        <v>126</v>
      </c>
      <c r="I37" s="23" t="s">
        <v>75</v>
      </c>
      <c r="J37" s="12"/>
      <c r="K37" s="32" t="str">
        <f>"85,0"</f>
        <v>85,0</v>
      </c>
      <c r="L37" s="12" t="str">
        <f>"74,2135"</f>
        <v>74,2135</v>
      </c>
      <c r="M37" s="11" t="s">
        <v>658</v>
      </c>
    </row>
    <row r="38" spans="1:13">
      <c r="B38" s="5" t="s">
        <v>52</v>
      </c>
    </row>
    <row r="39" spans="1:13" ht="16">
      <c r="A39" s="33" t="s">
        <v>310</v>
      </c>
      <c r="B39" s="33"/>
      <c r="C39" s="33"/>
      <c r="D39" s="33"/>
      <c r="E39" s="33"/>
      <c r="F39" s="33"/>
      <c r="G39" s="33"/>
      <c r="H39" s="33"/>
      <c r="I39" s="33"/>
      <c r="J39" s="33"/>
    </row>
    <row r="40" spans="1:13">
      <c r="A40" s="8" t="s">
        <v>51</v>
      </c>
      <c r="B40" s="7" t="s">
        <v>659</v>
      </c>
      <c r="C40" s="7" t="s">
        <v>660</v>
      </c>
      <c r="D40" s="7" t="s">
        <v>661</v>
      </c>
      <c r="E40" s="7" t="s">
        <v>1110</v>
      </c>
      <c r="F40" s="7" t="s">
        <v>1051</v>
      </c>
      <c r="G40" s="18" t="s">
        <v>60</v>
      </c>
      <c r="H40" s="18" t="s">
        <v>112</v>
      </c>
      <c r="I40" s="18" t="s">
        <v>68</v>
      </c>
      <c r="J40" s="8"/>
      <c r="K40" s="29" t="str">
        <f>"75,0"</f>
        <v>75,0</v>
      </c>
      <c r="L40" s="8" t="str">
        <f>"62,0250"</f>
        <v>62,0250</v>
      </c>
      <c r="M40" s="7" t="s">
        <v>617</v>
      </c>
    </row>
    <row r="41" spans="1:13">
      <c r="A41" s="25" t="s">
        <v>51</v>
      </c>
      <c r="B41" s="24" t="s">
        <v>662</v>
      </c>
      <c r="C41" s="24" t="s">
        <v>663</v>
      </c>
      <c r="D41" s="24" t="s">
        <v>317</v>
      </c>
      <c r="E41" s="24" t="s">
        <v>1111</v>
      </c>
      <c r="F41" s="24" t="s">
        <v>1047</v>
      </c>
      <c r="G41" s="26" t="s">
        <v>160</v>
      </c>
      <c r="H41" s="26" t="s">
        <v>122</v>
      </c>
      <c r="I41" s="27" t="s">
        <v>142</v>
      </c>
      <c r="J41" s="25"/>
      <c r="K41" s="31" t="str">
        <f>"107,5"</f>
        <v>107,5</v>
      </c>
      <c r="L41" s="25" t="str">
        <f>"84,6240"</f>
        <v>84,6240</v>
      </c>
      <c r="M41" s="24" t="s">
        <v>998</v>
      </c>
    </row>
    <row r="42" spans="1:13">
      <c r="A42" s="25" t="s">
        <v>51</v>
      </c>
      <c r="B42" s="24" t="s">
        <v>664</v>
      </c>
      <c r="C42" s="24" t="s">
        <v>665</v>
      </c>
      <c r="D42" s="24" t="s">
        <v>631</v>
      </c>
      <c r="E42" s="24" t="s">
        <v>1105</v>
      </c>
      <c r="F42" s="24" t="s">
        <v>1047</v>
      </c>
      <c r="G42" s="26" t="s">
        <v>69</v>
      </c>
      <c r="H42" s="27" t="s">
        <v>57</v>
      </c>
      <c r="I42" s="27" t="s">
        <v>57</v>
      </c>
      <c r="J42" s="25"/>
      <c r="K42" s="31" t="str">
        <f>"120,0"</f>
        <v>120,0</v>
      </c>
      <c r="L42" s="25" t="str">
        <f>"92,5200"</f>
        <v>92,5200</v>
      </c>
      <c r="M42" s="24" t="s">
        <v>666</v>
      </c>
    </row>
    <row r="43" spans="1:13">
      <c r="A43" s="25" t="s">
        <v>237</v>
      </c>
      <c r="B43" s="24" t="s">
        <v>667</v>
      </c>
      <c r="C43" s="24" t="s">
        <v>668</v>
      </c>
      <c r="D43" s="24" t="s">
        <v>644</v>
      </c>
      <c r="E43" s="24" t="s">
        <v>1105</v>
      </c>
      <c r="F43" s="24" t="s">
        <v>1047</v>
      </c>
      <c r="G43" s="26" t="s">
        <v>27</v>
      </c>
      <c r="H43" s="27" t="s">
        <v>85</v>
      </c>
      <c r="I43" s="27" t="s">
        <v>85</v>
      </c>
      <c r="J43" s="25"/>
      <c r="K43" s="31" t="str">
        <f>"110,0"</f>
        <v>110,0</v>
      </c>
      <c r="L43" s="25" t="str">
        <f>"85,0190"</f>
        <v>85,0190</v>
      </c>
      <c r="M43" s="24" t="s">
        <v>62</v>
      </c>
    </row>
    <row r="44" spans="1:13">
      <c r="A44" s="10" t="s">
        <v>470</v>
      </c>
      <c r="B44" s="9" t="s">
        <v>669</v>
      </c>
      <c r="C44" s="9" t="s">
        <v>670</v>
      </c>
      <c r="D44" s="9" t="s">
        <v>671</v>
      </c>
      <c r="E44" s="9" t="s">
        <v>1105</v>
      </c>
      <c r="F44" s="9" t="s">
        <v>1047</v>
      </c>
      <c r="G44" s="20" t="s">
        <v>104</v>
      </c>
      <c r="H44" s="20" t="s">
        <v>122</v>
      </c>
      <c r="I44" s="20" t="s">
        <v>122</v>
      </c>
      <c r="J44" s="10"/>
      <c r="K44" s="30">
        <v>0</v>
      </c>
      <c r="L44" s="10" t="str">
        <f>"0,0000"</f>
        <v>0,0000</v>
      </c>
      <c r="M44" s="9"/>
    </row>
    <row r="45" spans="1:13">
      <c r="B45" s="5" t="s">
        <v>52</v>
      </c>
    </row>
    <row r="46" spans="1:13" ht="16">
      <c r="A46" s="33" t="s">
        <v>63</v>
      </c>
      <c r="B46" s="33"/>
      <c r="C46" s="33"/>
      <c r="D46" s="33"/>
      <c r="E46" s="33"/>
      <c r="F46" s="33"/>
      <c r="G46" s="33"/>
      <c r="H46" s="33"/>
      <c r="I46" s="33"/>
      <c r="J46" s="33"/>
    </row>
    <row r="47" spans="1:13">
      <c r="A47" s="8" t="s">
        <v>51</v>
      </c>
      <c r="B47" s="7" t="s">
        <v>672</v>
      </c>
      <c r="C47" s="7" t="s">
        <v>673</v>
      </c>
      <c r="D47" s="7" t="s">
        <v>674</v>
      </c>
      <c r="E47" s="7" t="s">
        <v>1110</v>
      </c>
      <c r="F47" s="7" t="s">
        <v>1051</v>
      </c>
      <c r="G47" s="18" t="s">
        <v>267</v>
      </c>
      <c r="H47" s="19" t="s">
        <v>60</v>
      </c>
      <c r="I47" s="19" t="s">
        <v>60</v>
      </c>
      <c r="J47" s="8"/>
      <c r="K47" s="29" t="str">
        <f>"62,5"</f>
        <v>62,5</v>
      </c>
      <c r="L47" s="8" t="str">
        <f>"45,4875"</f>
        <v>45,4875</v>
      </c>
      <c r="M47" s="7" t="s">
        <v>617</v>
      </c>
    </row>
    <row r="48" spans="1:13">
      <c r="A48" s="25" t="s">
        <v>51</v>
      </c>
      <c r="B48" s="24" t="s">
        <v>675</v>
      </c>
      <c r="C48" s="24" t="s">
        <v>676</v>
      </c>
      <c r="D48" s="24" t="s">
        <v>677</v>
      </c>
      <c r="E48" s="24" t="s">
        <v>1111</v>
      </c>
      <c r="F48" s="24" t="s">
        <v>1051</v>
      </c>
      <c r="G48" s="26" t="s">
        <v>36</v>
      </c>
      <c r="H48" s="26" t="s">
        <v>17</v>
      </c>
      <c r="I48" s="26" t="s">
        <v>18</v>
      </c>
      <c r="J48" s="25"/>
      <c r="K48" s="31" t="str">
        <f>"135,0"</f>
        <v>135,0</v>
      </c>
      <c r="L48" s="25" t="str">
        <f>"96,3765"</f>
        <v>96,3765</v>
      </c>
      <c r="M48" s="24" t="s">
        <v>617</v>
      </c>
    </row>
    <row r="49" spans="1:13">
      <c r="A49" s="25" t="s">
        <v>51</v>
      </c>
      <c r="B49" s="24" t="s">
        <v>678</v>
      </c>
      <c r="C49" s="24" t="s">
        <v>679</v>
      </c>
      <c r="D49" s="24" t="s">
        <v>680</v>
      </c>
      <c r="E49" s="24" t="s">
        <v>1105</v>
      </c>
      <c r="F49" s="24" t="s">
        <v>1047</v>
      </c>
      <c r="G49" s="26" t="s">
        <v>28</v>
      </c>
      <c r="H49" s="26" t="s">
        <v>120</v>
      </c>
      <c r="I49" s="27" t="s">
        <v>37</v>
      </c>
      <c r="J49" s="25"/>
      <c r="K49" s="31" t="str">
        <f>"147,5"</f>
        <v>147,5</v>
      </c>
      <c r="L49" s="25" t="str">
        <f>"106,8195"</f>
        <v>106,8195</v>
      </c>
      <c r="M49" s="24" t="s">
        <v>681</v>
      </c>
    </row>
    <row r="50" spans="1:13">
      <c r="A50" s="25" t="s">
        <v>237</v>
      </c>
      <c r="B50" s="24" t="s">
        <v>682</v>
      </c>
      <c r="C50" s="24" t="s">
        <v>683</v>
      </c>
      <c r="D50" s="24" t="s">
        <v>684</v>
      </c>
      <c r="E50" s="24" t="s">
        <v>1105</v>
      </c>
      <c r="F50" s="24" t="s">
        <v>1053</v>
      </c>
      <c r="G50" s="26" t="s">
        <v>19</v>
      </c>
      <c r="H50" s="26" t="s">
        <v>73</v>
      </c>
      <c r="I50" s="27" t="s">
        <v>28</v>
      </c>
      <c r="J50" s="25"/>
      <c r="K50" s="31" t="str">
        <f>"142,5"</f>
        <v>142,5</v>
      </c>
      <c r="L50" s="25" t="str">
        <f>"102,6000"</f>
        <v>102,6000</v>
      </c>
      <c r="M50" s="24"/>
    </row>
    <row r="51" spans="1:13">
      <c r="A51" s="25" t="s">
        <v>238</v>
      </c>
      <c r="B51" s="24" t="s">
        <v>685</v>
      </c>
      <c r="C51" s="24" t="s">
        <v>686</v>
      </c>
      <c r="D51" s="24" t="s">
        <v>350</v>
      </c>
      <c r="E51" s="24" t="s">
        <v>1105</v>
      </c>
      <c r="F51" s="24" t="s">
        <v>1073</v>
      </c>
      <c r="G51" s="26" t="s">
        <v>27</v>
      </c>
      <c r="H51" s="26" t="s">
        <v>67</v>
      </c>
      <c r="I51" s="27" t="s">
        <v>69</v>
      </c>
      <c r="J51" s="25"/>
      <c r="K51" s="31" t="str">
        <f>"117,5"</f>
        <v>117,5</v>
      </c>
      <c r="L51" s="25" t="str">
        <f>"85,4343"</f>
        <v>85,4343</v>
      </c>
      <c r="M51" s="24" t="s">
        <v>681</v>
      </c>
    </row>
    <row r="52" spans="1:13">
      <c r="A52" s="25" t="s">
        <v>239</v>
      </c>
      <c r="B52" s="24" t="s">
        <v>687</v>
      </c>
      <c r="C52" s="24" t="s">
        <v>688</v>
      </c>
      <c r="D52" s="24" t="s">
        <v>350</v>
      </c>
      <c r="E52" s="24" t="s">
        <v>1105</v>
      </c>
      <c r="F52" s="24" t="s">
        <v>1047</v>
      </c>
      <c r="G52" s="26" t="s">
        <v>76</v>
      </c>
      <c r="H52" s="26" t="s">
        <v>27</v>
      </c>
      <c r="I52" s="27" t="s">
        <v>67</v>
      </c>
      <c r="J52" s="25"/>
      <c r="K52" s="31" t="str">
        <f>"110,0"</f>
        <v>110,0</v>
      </c>
      <c r="L52" s="25" t="str">
        <f>"79,9810"</f>
        <v>79,9810</v>
      </c>
      <c r="M52" s="24" t="s">
        <v>689</v>
      </c>
    </row>
    <row r="53" spans="1:13">
      <c r="A53" s="10" t="s">
        <v>470</v>
      </c>
      <c r="B53" s="9" t="s">
        <v>690</v>
      </c>
      <c r="C53" s="9" t="s">
        <v>691</v>
      </c>
      <c r="D53" s="9" t="s">
        <v>692</v>
      </c>
      <c r="E53" s="9" t="s">
        <v>1105</v>
      </c>
      <c r="F53" s="9" t="s">
        <v>1047</v>
      </c>
      <c r="G53" s="20" t="s">
        <v>28</v>
      </c>
      <c r="H53" s="20" t="s">
        <v>28</v>
      </c>
      <c r="I53" s="20" t="s">
        <v>28</v>
      </c>
      <c r="J53" s="10"/>
      <c r="K53" s="30">
        <v>0</v>
      </c>
      <c r="L53" s="10" t="str">
        <f>"0,0000"</f>
        <v>0,0000</v>
      </c>
      <c r="M53" s="9" t="s">
        <v>693</v>
      </c>
    </row>
    <row r="54" spans="1:13">
      <c r="B54" s="5" t="s">
        <v>52</v>
      </c>
    </row>
    <row r="55" spans="1:13" ht="16">
      <c r="A55" s="33" t="s">
        <v>10</v>
      </c>
      <c r="B55" s="33"/>
      <c r="C55" s="33"/>
      <c r="D55" s="33"/>
      <c r="E55" s="33"/>
      <c r="F55" s="33"/>
      <c r="G55" s="33"/>
      <c r="H55" s="33"/>
      <c r="I55" s="33"/>
      <c r="J55" s="33"/>
    </row>
    <row r="56" spans="1:13">
      <c r="A56" s="8" t="s">
        <v>51</v>
      </c>
      <c r="B56" s="7" t="s">
        <v>694</v>
      </c>
      <c r="C56" s="7" t="s">
        <v>695</v>
      </c>
      <c r="D56" s="7" t="s">
        <v>696</v>
      </c>
      <c r="E56" s="7" t="s">
        <v>1107</v>
      </c>
      <c r="F56" s="7" t="s">
        <v>1074</v>
      </c>
      <c r="G56" s="18" t="s">
        <v>73</v>
      </c>
      <c r="H56" s="18" t="s">
        <v>28</v>
      </c>
      <c r="I56" s="18" t="s">
        <v>37</v>
      </c>
      <c r="J56" s="8"/>
      <c r="K56" s="29" t="str">
        <f>"150,0"</f>
        <v>150,0</v>
      </c>
      <c r="L56" s="8" t="str">
        <f>"103,1400"</f>
        <v>103,1400</v>
      </c>
      <c r="M56" s="7" t="s">
        <v>697</v>
      </c>
    </row>
    <row r="57" spans="1:13">
      <c r="A57" s="25" t="s">
        <v>51</v>
      </c>
      <c r="B57" s="24" t="s">
        <v>698</v>
      </c>
      <c r="C57" s="24" t="s">
        <v>699</v>
      </c>
      <c r="D57" s="24" t="s">
        <v>700</v>
      </c>
      <c r="E57" s="24" t="s">
        <v>1105</v>
      </c>
      <c r="F57" s="24" t="s">
        <v>1050</v>
      </c>
      <c r="G57" s="26" t="s">
        <v>74</v>
      </c>
      <c r="H57" s="26" t="s">
        <v>210</v>
      </c>
      <c r="I57" s="27" t="s">
        <v>211</v>
      </c>
      <c r="J57" s="25"/>
      <c r="K57" s="31" t="str">
        <f>"162,5"</f>
        <v>162,5</v>
      </c>
      <c r="L57" s="25" t="str">
        <f>"109,1025"</f>
        <v>109,1025</v>
      </c>
      <c r="M57" s="24"/>
    </row>
    <row r="58" spans="1:13">
      <c r="A58" s="25" t="s">
        <v>237</v>
      </c>
      <c r="B58" s="24" t="s">
        <v>701</v>
      </c>
      <c r="C58" s="24" t="s">
        <v>702</v>
      </c>
      <c r="D58" s="24" t="s">
        <v>703</v>
      </c>
      <c r="E58" s="24" t="s">
        <v>1105</v>
      </c>
      <c r="F58" s="24" t="s">
        <v>1047</v>
      </c>
      <c r="G58" s="26" t="s">
        <v>161</v>
      </c>
      <c r="H58" s="26" t="s">
        <v>73</v>
      </c>
      <c r="I58" s="26" t="s">
        <v>120</v>
      </c>
      <c r="J58" s="25"/>
      <c r="K58" s="31" t="str">
        <f>"147,5"</f>
        <v>147,5</v>
      </c>
      <c r="L58" s="25" t="str">
        <f>"100,9343"</f>
        <v>100,9343</v>
      </c>
      <c r="M58" s="24"/>
    </row>
    <row r="59" spans="1:13">
      <c r="A59" s="25" t="s">
        <v>238</v>
      </c>
      <c r="B59" s="24" t="s">
        <v>704</v>
      </c>
      <c r="C59" s="24" t="s">
        <v>705</v>
      </c>
      <c r="D59" s="24" t="s">
        <v>706</v>
      </c>
      <c r="E59" s="24" t="s">
        <v>1105</v>
      </c>
      <c r="F59" s="24" t="s">
        <v>1047</v>
      </c>
      <c r="G59" s="26" t="s">
        <v>19</v>
      </c>
      <c r="H59" s="26" t="s">
        <v>28</v>
      </c>
      <c r="I59" s="27" t="s">
        <v>120</v>
      </c>
      <c r="J59" s="25"/>
      <c r="K59" s="31" t="str">
        <f>"145,0"</f>
        <v>145,0</v>
      </c>
      <c r="L59" s="25" t="str">
        <f>"100,3690"</f>
        <v>100,3690</v>
      </c>
      <c r="M59" s="24" t="s">
        <v>746</v>
      </c>
    </row>
    <row r="60" spans="1:13">
      <c r="A60" s="25" t="s">
        <v>239</v>
      </c>
      <c r="B60" s="24" t="s">
        <v>707</v>
      </c>
      <c r="C60" s="24" t="s">
        <v>708</v>
      </c>
      <c r="D60" s="24" t="s">
        <v>654</v>
      </c>
      <c r="E60" s="24" t="s">
        <v>1105</v>
      </c>
      <c r="F60" s="24" t="s">
        <v>1075</v>
      </c>
      <c r="G60" s="26" t="s">
        <v>19</v>
      </c>
      <c r="H60" s="26" t="s">
        <v>28</v>
      </c>
      <c r="I60" s="27" t="s">
        <v>37</v>
      </c>
      <c r="J60" s="25"/>
      <c r="K60" s="31" t="str">
        <f>"145,0"</f>
        <v>145,0</v>
      </c>
      <c r="L60" s="25" t="str">
        <f>"99,4700"</f>
        <v>99,4700</v>
      </c>
      <c r="M60" s="24"/>
    </row>
    <row r="61" spans="1:13">
      <c r="A61" s="25" t="s">
        <v>240</v>
      </c>
      <c r="B61" s="24" t="s">
        <v>709</v>
      </c>
      <c r="C61" s="24" t="s">
        <v>710</v>
      </c>
      <c r="D61" s="24" t="s">
        <v>700</v>
      </c>
      <c r="E61" s="24" t="s">
        <v>1105</v>
      </c>
      <c r="F61" s="24" t="s">
        <v>1047</v>
      </c>
      <c r="G61" s="26" t="s">
        <v>18</v>
      </c>
      <c r="H61" s="26" t="s">
        <v>19</v>
      </c>
      <c r="I61" s="26" t="s">
        <v>28</v>
      </c>
      <c r="J61" s="25"/>
      <c r="K61" s="31" t="str">
        <f>"145,0"</f>
        <v>145,0</v>
      </c>
      <c r="L61" s="25" t="str">
        <f>"97,3530"</f>
        <v>97,3530</v>
      </c>
      <c r="M61" s="24" t="s">
        <v>334</v>
      </c>
    </row>
    <row r="62" spans="1:13">
      <c r="A62" s="25" t="s">
        <v>241</v>
      </c>
      <c r="B62" s="24" t="s">
        <v>711</v>
      </c>
      <c r="C62" s="24" t="s">
        <v>712</v>
      </c>
      <c r="D62" s="24" t="s">
        <v>495</v>
      </c>
      <c r="E62" s="24" t="s">
        <v>1105</v>
      </c>
      <c r="F62" s="24" t="s">
        <v>1076</v>
      </c>
      <c r="G62" s="26" t="s">
        <v>18</v>
      </c>
      <c r="H62" s="26" t="s">
        <v>19</v>
      </c>
      <c r="I62" s="27" t="s">
        <v>28</v>
      </c>
      <c r="J62" s="25"/>
      <c r="K62" s="31" t="str">
        <f>"140,0"</f>
        <v>140,0</v>
      </c>
      <c r="L62" s="25" t="str">
        <f>"96,8240"</f>
        <v>96,8240</v>
      </c>
      <c r="M62" s="24"/>
    </row>
    <row r="63" spans="1:13">
      <c r="A63" s="25" t="s">
        <v>471</v>
      </c>
      <c r="B63" s="24" t="s">
        <v>713</v>
      </c>
      <c r="C63" s="24" t="s">
        <v>714</v>
      </c>
      <c r="D63" s="24" t="s">
        <v>145</v>
      </c>
      <c r="E63" s="24" t="s">
        <v>1105</v>
      </c>
      <c r="F63" s="24" t="s">
        <v>1077</v>
      </c>
      <c r="G63" s="27" t="s">
        <v>19</v>
      </c>
      <c r="H63" s="26" t="s">
        <v>19</v>
      </c>
      <c r="I63" s="27" t="s">
        <v>28</v>
      </c>
      <c r="J63" s="25"/>
      <c r="K63" s="31" t="str">
        <f>"140,0"</f>
        <v>140,0</v>
      </c>
      <c r="L63" s="25" t="str">
        <f>"94,1360"</f>
        <v>94,1360</v>
      </c>
      <c r="M63" s="24" t="s">
        <v>715</v>
      </c>
    </row>
    <row r="64" spans="1:13">
      <c r="A64" s="25" t="s">
        <v>809</v>
      </c>
      <c r="B64" s="24" t="s">
        <v>716</v>
      </c>
      <c r="C64" s="24" t="s">
        <v>717</v>
      </c>
      <c r="D64" s="24" t="s">
        <v>650</v>
      </c>
      <c r="E64" s="24" t="s">
        <v>1105</v>
      </c>
      <c r="F64" s="24" t="s">
        <v>1047</v>
      </c>
      <c r="G64" s="26" t="s">
        <v>69</v>
      </c>
      <c r="H64" s="26" t="s">
        <v>17</v>
      </c>
      <c r="I64" s="27" t="s">
        <v>18</v>
      </c>
      <c r="J64" s="25"/>
      <c r="K64" s="31" t="str">
        <f>"130,0"</f>
        <v>130,0</v>
      </c>
      <c r="L64" s="25" t="str">
        <f>"87,6720"</f>
        <v>87,6720</v>
      </c>
      <c r="M64" s="24" t="s">
        <v>1041</v>
      </c>
    </row>
    <row r="65" spans="1:13">
      <c r="A65" s="25" t="s">
        <v>51</v>
      </c>
      <c r="B65" s="24" t="s">
        <v>718</v>
      </c>
      <c r="C65" s="24" t="s">
        <v>719</v>
      </c>
      <c r="D65" s="24" t="s">
        <v>650</v>
      </c>
      <c r="E65" s="24" t="s">
        <v>1106</v>
      </c>
      <c r="F65" s="24" t="s">
        <v>1047</v>
      </c>
      <c r="G65" s="26" t="s">
        <v>69</v>
      </c>
      <c r="H65" s="26" t="s">
        <v>61</v>
      </c>
      <c r="I65" s="26" t="s">
        <v>17</v>
      </c>
      <c r="J65" s="25"/>
      <c r="K65" s="31" t="str">
        <f>"130,0"</f>
        <v>130,0</v>
      </c>
      <c r="L65" s="25" t="str">
        <f>"90,1268"</f>
        <v>90,1268</v>
      </c>
      <c r="M65" s="24"/>
    </row>
    <row r="66" spans="1:13">
      <c r="A66" s="10" t="s">
        <v>237</v>
      </c>
      <c r="B66" s="9" t="s">
        <v>720</v>
      </c>
      <c r="C66" s="9" t="s">
        <v>721</v>
      </c>
      <c r="D66" s="9" t="s">
        <v>722</v>
      </c>
      <c r="E66" s="9" t="s">
        <v>1106</v>
      </c>
      <c r="F66" s="9" t="s">
        <v>1047</v>
      </c>
      <c r="G66" s="21" t="s">
        <v>114</v>
      </c>
      <c r="H66" s="21" t="s">
        <v>126</v>
      </c>
      <c r="I66" s="20" t="s">
        <v>288</v>
      </c>
      <c r="J66" s="10"/>
      <c r="K66" s="30" t="str">
        <f>"85,0"</f>
        <v>85,0</v>
      </c>
      <c r="L66" s="10" t="str">
        <f>"58,3851"</f>
        <v>58,3851</v>
      </c>
      <c r="M66" s="9" t="s">
        <v>1042</v>
      </c>
    </row>
    <row r="67" spans="1:13">
      <c r="B67" s="5" t="s">
        <v>52</v>
      </c>
    </row>
    <row r="68" spans="1:13" ht="16">
      <c r="A68" s="33" t="s">
        <v>151</v>
      </c>
      <c r="B68" s="33"/>
      <c r="C68" s="33"/>
      <c r="D68" s="33"/>
      <c r="E68" s="33"/>
      <c r="F68" s="33"/>
      <c r="G68" s="33"/>
      <c r="H68" s="33"/>
      <c r="I68" s="33"/>
      <c r="J68" s="33"/>
    </row>
    <row r="69" spans="1:13">
      <c r="A69" s="8" t="s">
        <v>51</v>
      </c>
      <c r="B69" s="7" t="s">
        <v>723</v>
      </c>
      <c r="C69" s="7" t="s">
        <v>724</v>
      </c>
      <c r="D69" s="7" t="s">
        <v>393</v>
      </c>
      <c r="E69" s="7" t="s">
        <v>1111</v>
      </c>
      <c r="F69" s="7" t="s">
        <v>1051</v>
      </c>
      <c r="G69" s="18" t="s">
        <v>18</v>
      </c>
      <c r="H69" s="18" t="s">
        <v>73</v>
      </c>
      <c r="I69" s="18" t="s">
        <v>120</v>
      </c>
      <c r="J69" s="8"/>
      <c r="K69" s="29" t="str">
        <f>"147,5"</f>
        <v>147,5</v>
      </c>
      <c r="L69" s="8" t="str">
        <f>"94,4295"</f>
        <v>94,4295</v>
      </c>
      <c r="M69" s="7" t="s">
        <v>617</v>
      </c>
    </row>
    <row r="70" spans="1:13">
      <c r="A70" s="25" t="s">
        <v>51</v>
      </c>
      <c r="B70" s="24" t="s">
        <v>725</v>
      </c>
      <c r="C70" s="24" t="s">
        <v>726</v>
      </c>
      <c r="D70" s="24" t="s">
        <v>727</v>
      </c>
      <c r="E70" s="24" t="s">
        <v>1105</v>
      </c>
      <c r="F70" s="24" t="s">
        <v>1078</v>
      </c>
      <c r="G70" s="26" t="s">
        <v>74</v>
      </c>
      <c r="H70" s="26" t="s">
        <v>210</v>
      </c>
      <c r="I70" s="26" t="s">
        <v>79</v>
      </c>
      <c r="J70" s="25"/>
      <c r="K70" s="31" t="str">
        <f>"170,0"</f>
        <v>170,0</v>
      </c>
      <c r="L70" s="25" t="str">
        <f>"111,4010"</f>
        <v>111,4010</v>
      </c>
      <c r="M70" s="24"/>
    </row>
    <row r="71" spans="1:13">
      <c r="A71" s="25" t="s">
        <v>237</v>
      </c>
      <c r="B71" s="24" t="s">
        <v>728</v>
      </c>
      <c r="C71" s="24" t="s">
        <v>729</v>
      </c>
      <c r="D71" s="24" t="s">
        <v>730</v>
      </c>
      <c r="E71" s="24" t="s">
        <v>1105</v>
      </c>
      <c r="F71" s="24" t="s">
        <v>1071</v>
      </c>
      <c r="G71" s="26" t="s">
        <v>19</v>
      </c>
      <c r="H71" s="26" t="s">
        <v>120</v>
      </c>
      <c r="I71" s="27" t="s">
        <v>279</v>
      </c>
      <c r="J71" s="25"/>
      <c r="K71" s="31" t="str">
        <f>"147,5"</f>
        <v>147,5</v>
      </c>
      <c r="L71" s="25" t="str">
        <f>"94,2673"</f>
        <v>94,2673</v>
      </c>
      <c r="M71" s="24" t="s">
        <v>651</v>
      </c>
    </row>
    <row r="72" spans="1:13">
      <c r="A72" s="25" t="s">
        <v>238</v>
      </c>
      <c r="B72" s="24" t="s">
        <v>731</v>
      </c>
      <c r="C72" s="24" t="s">
        <v>732</v>
      </c>
      <c r="D72" s="24" t="s">
        <v>733</v>
      </c>
      <c r="E72" s="24" t="s">
        <v>1105</v>
      </c>
      <c r="F72" s="24" t="s">
        <v>1047</v>
      </c>
      <c r="G72" s="26" t="s">
        <v>161</v>
      </c>
      <c r="H72" s="27" t="s">
        <v>73</v>
      </c>
      <c r="I72" s="26" t="s">
        <v>73</v>
      </c>
      <c r="J72" s="25"/>
      <c r="K72" s="31" t="str">
        <f>"142,5"</f>
        <v>142,5</v>
      </c>
      <c r="L72" s="25" t="str">
        <f>"91,3853"</f>
        <v>91,3853</v>
      </c>
      <c r="M72" s="24" t="s">
        <v>621</v>
      </c>
    </row>
    <row r="73" spans="1:13">
      <c r="A73" s="25" t="s">
        <v>239</v>
      </c>
      <c r="B73" s="24" t="s">
        <v>734</v>
      </c>
      <c r="C73" s="24" t="s">
        <v>735</v>
      </c>
      <c r="D73" s="24" t="s">
        <v>513</v>
      </c>
      <c r="E73" s="24" t="s">
        <v>1105</v>
      </c>
      <c r="F73" s="24" t="s">
        <v>1047</v>
      </c>
      <c r="G73" s="26" t="s">
        <v>161</v>
      </c>
      <c r="H73" s="27" t="s">
        <v>28</v>
      </c>
      <c r="I73" s="27" t="s">
        <v>28</v>
      </c>
      <c r="J73" s="25"/>
      <c r="K73" s="31" t="str">
        <f>"137,5"</f>
        <v>137,5</v>
      </c>
      <c r="L73" s="25" t="str">
        <f>"88,4400"</f>
        <v>88,4400</v>
      </c>
      <c r="M73" s="24" t="s">
        <v>736</v>
      </c>
    </row>
    <row r="74" spans="1:13">
      <c r="A74" s="25" t="s">
        <v>240</v>
      </c>
      <c r="B74" s="24" t="s">
        <v>737</v>
      </c>
      <c r="C74" s="24" t="s">
        <v>738</v>
      </c>
      <c r="D74" s="24" t="s">
        <v>393</v>
      </c>
      <c r="E74" s="24" t="s">
        <v>1105</v>
      </c>
      <c r="F74" s="24" t="s">
        <v>1079</v>
      </c>
      <c r="G74" s="26" t="s">
        <v>36</v>
      </c>
      <c r="H74" s="26" t="s">
        <v>107</v>
      </c>
      <c r="I74" s="27" t="s">
        <v>28</v>
      </c>
      <c r="J74" s="25"/>
      <c r="K74" s="31" t="str">
        <f>"132,5"</f>
        <v>132,5</v>
      </c>
      <c r="L74" s="25" t="str">
        <f>"84,8265"</f>
        <v>84,8265</v>
      </c>
      <c r="M74" s="24"/>
    </row>
    <row r="75" spans="1:13">
      <c r="A75" s="25" t="s">
        <v>241</v>
      </c>
      <c r="B75" s="24" t="s">
        <v>739</v>
      </c>
      <c r="C75" s="24" t="s">
        <v>740</v>
      </c>
      <c r="D75" s="24" t="s">
        <v>741</v>
      </c>
      <c r="E75" s="24" t="s">
        <v>1105</v>
      </c>
      <c r="F75" s="24" t="s">
        <v>1047</v>
      </c>
      <c r="G75" s="26" t="s">
        <v>69</v>
      </c>
      <c r="H75" s="27" t="s">
        <v>17</v>
      </c>
      <c r="I75" s="27" t="s">
        <v>17</v>
      </c>
      <c r="J75" s="25"/>
      <c r="K75" s="31" t="str">
        <f>"120,0"</f>
        <v>120,0</v>
      </c>
      <c r="L75" s="25" t="str">
        <f>"78,4800"</f>
        <v>78,4800</v>
      </c>
      <c r="M75" s="24"/>
    </row>
    <row r="76" spans="1:13">
      <c r="A76" s="25" t="s">
        <v>51</v>
      </c>
      <c r="B76" s="24" t="s">
        <v>742</v>
      </c>
      <c r="C76" s="24" t="s">
        <v>743</v>
      </c>
      <c r="D76" s="24" t="s">
        <v>385</v>
      </c>
      <c r="E76" s="24" t="s">
        <v>1106</v>
      </c>
      <c r="F76" s="24" t="s">
        <v>1047</v>
      </c>
      <c r="G76" s="26" t="s">
        <v>17</v>
      </c>
      <c r="H76" s="26" t="s">
        <v>18</v>
      </c>
      <c r="I76" s="27" t="s">
        <v>19</v>
      </c>
      <c r="J76" s="25"/>
      <c r="K76" s="31" t="str">
        <f>"135,0"</f>
        <v>135,0</v>
      </c>
      <c r="L76" s="25" t="str">
        <f>"86,6835"</f>
        <v>86,6835</v>
      </c>
      <c r="M76" s="24"/>
    </row>
    <row r="77" spans="1:13">
      <c r="A77" s="25" t="s">
        <v>237</v>
      </c>
      <c r="B77" s="24" t="s">
        <v>744</v>
      </c>
      <c r="C77" s="24" t="s">
        <v>745</v>
      </c>
      <c r="D77" s="24" t="s">
        <v>159</v>
      </c>
      <c r="E77" s="24" t="s">
        <v>1106</v>
      </c>
      <c r="F77" s="24" t="s">
        <v>1047</v>
      </c>
      <c r="G77" s="26" t="s">
        <v>36</v>
      </c>
      <c r="H77" s="26" t="s">
        <v>61</v>
      </c>
      <c r="I77" s="27" t="s">
        <v>17</v>
      </c>
      <c r="J77" s="25"/>
      <c r="K77" s="31" t="str">
        <f>"127,5"</f>
        <v>127,5</v>
      </c>
      <c r="L77" s="25" t="str">
        <f>"82,4033"</f>
        <v>82,4033</v>
      </c>
      <c r="M77" s="24" t="s">
        <v>746</v>
      </c>
    </row>
    <row r="78" spans="1:13">
      <c r="A78" s="25" t="s">
        <v>238</v>
      </c>
      <c r="B78" s="24" t="s">
        <v>747</v>
      </c>
      <c r="C78" s="24" t="s">
        <v>748</v>
      </c>
      <c r="D78" s="24" t="s">
        <v>749</v>
      </c>
      <c r="E78" s="24" t="s">
        <v>1106</v>
      </c>
      <c r="F78" s="24" t="s">
        <v>1050</v>
      </c>
      <c r="G78" s="26" t="s">
        <v>85</v>
      </c>
      <c r="H78" s="26" t="s">
        <v>67</v>
      </c>
      <c r="I78" s="26" t="s">
        <v>69</v>
      </c>
      <c r="J78" s="25"/>
      <c r="K78" s="31" t="str">
        <f>"120,0"</f>
        <v>120,0</v>
      </c>
      <c r="L78" s="25" t="str">
        <f>"79,7166"</f>
        <v>79,7166</v>
      </c>
      <c r="M78" s="24"/>
    </row>
    <row r="79" spans="1:13">
      <c r="A79" s="10" t="s">
        <v>239</v>
      </c>
      <c r="B79" s="9" t="s">
        <v>750</v>
      </c>
      <c r="C79" s="9" t="s">
        <v>751</v>
      </c>
      <c r="D79" s="9" t="s">
        <v>393</v>
      </c>
      <c r="E79" s="9" t="s">
        <v>1106</v>
      </c>
      <c r="F79" s="9" t="s">
        <v>1060</v>
      </c>
      <c r="G79" s="20" t="s">
        <v>76</v>
      </c>
      <c r="H79" s="21" t="s">
        <v>76</v>
      </c>
      <c r="I79" s="20" t="s">
        <v>77</v>
      </c>
      <c r="J79" s="10"/>
      <c r="K79" s="30" t="str">
        <f>"100,0"</f>
        <v>100,0</v>
      </c>
      <c r="L79" s="10" t="str">
        <f>"64,3401"</f>
        <v>64,3401</v>
      </c>
      <c r="M79" s="9" t="s">
        <v>423</v>
      </c>
    </row>
    <row r="80" spans="1:13">
      <c r="B80" s="5" t="s">
        <v>52</v>
      </c>
    </row>
    <row r="81" spans="1:13" ht="16">
      <c r="A81" s="33" t="s">
        <v>81</v>
      </c>
      <c r="B81" s="33"/>
      <c r="C81" s="33"/>
      <c r="D81" s="33"/>
      <c r="E81" s="33"/>
      <c r="F81" s="33"/>
      <c r="G81" s="33"/>
      <c r="H81" s="33"/>
      <c r="I81" s="33"/>
      <c r="J81" s="33"/>
    </row>
    <row r="82" spans="1:13">
      <c r="A82" s="8" t="s">
        <v>51</v>
      </c>
      <c r="B82" s="7" t="s">
        <v>752</v>
      </c>
      <c r="C82" s="7" t="s">
        <v>753</v>
      </c>
      <c r="D82" s="7" t="s">
        <v>754</v>
      </c>
      <c r="E82" s="7" t="s">
        <v>1105</v>
      </c>
      <c r="F82" s="7" t="s">
        <v>1078</v>
      </c>
      <c r="G82" s="18" t="s">
        <v>140</v>
      </c>
      <c r="H82" s="18" t="s">
        <v>38</v>
      </c>
      <c r="I82" s="18" t="s">
        <v>26</v>
      </c>
      <c r="J82" s="8"/>
      <c r="K82" s="29" t="str">
        <f>"210,0"</f>
        <v>210,0</v>
      </c>
      <c r="L82" s="8" t="str">
        <f>"128,6460"</f>
        <v>128,6460</v>
      </c>
      <c r="M82" s="7"/>
    </row>
    <row r="83" spans="1:13">
      <c r="A83" s="25" t="s">
        <v>237</v>
      </c>
      <c r="B83" s="24" t="s">
        <v>755</v>
      </c>
      <c r="C83" s="24" t="s">
        <v>756</v>
      </c>
      <c r="D83" s="24" t="s">
        <v>757</v>
      </c>
      <c r="E83" s="24" t="s">
        <v>1105</v>
      </c>
      <c r="F83" s="24" t="s">
        <v>1047</v>
      </c>
      <c r="G83" s="26" t="s">
        <v>155</v>
      </c>
      <c r="H83" s="26" t="s">
        <v>38</v>
      </c>
      <c r="I83" s="27" t="s">
        <v>26</v>
      </c>
      <c r="J83" s="25"/>
      <c r="K83" s="31" t="str">
        <f>"205,0"</f>
        <v>205,0</v>
      </c>
      <c r="L83" s="25" t="str">
        <f>"124,9065"</f>
        <v>124,9065</v>
      </c>
      <c r="M83" s="24" t="s">
        <v>758</v>
      </c>
    </row>
    <row r="84" spans="1:13">
      <c r="A84" s="25" t="s">
        <v>238</v>
      </c>
      <c r="B84" s="24" t="s">
        <v>759</v>
      </c>
      <c r="C84" s="24" t="s">
        <v>760</v>
      </c>
      <c r="D84" s="24" t="s">
        <v>761</v>
      </c>
      <c r="E84" s="24" t="s">
        <v>1105</v>
      </c>
      <c r="F84" s="24" t="s">
        <v>1047</v>
      </c>
      <c r="G84" s="26" t="s">
        <v>120</v>
      </c>
      <c r="H84" s="26" t="s">
        <v>279</v>
      </c>
      <c r="I84" s="26" t="s">
        <v>74</v>
      </c>
      <c r="J84" s="25"/>
      <c r="K84" s="31" t="str">
        <f>"155,0"</f>
        <v>155,0</v>
      </c>
      <c r="L84" s="25" t="str">
        <f>"98,5645"</f>
        <v>98,5645</v>
      </c>
      <c r="M84" s="24"/>
    </row>
    <row r="85" spans="1:13">
      <c r="A85" s="25" t="s">
        <v>239</v>
      </c>
      <c r="B85" s="24" t="s">
        <v>762</v>
      </c>
      <c r="C85" s="24" t="s">
        <v>763</v>
      </c>
      <c r="D85" s="24" t="s">
        <v>188</v>
      </c>
      <c r="E85" s="24" t="s">
        <v>1105</v>
      </c>
      <c r="F85" s="24" t="s">
        <v>1047</v>
      </c>
      <c r="G85" s="26" t="s">
        <v>69</v>
      </c>
      <c r="H85" s="26" t="s">
        <v>36</v>
      </c>
      <c r="I85" s="27" t="s">
        <v>17</v>
      </c>
      <c r="J85" s="25"/>
      <c r="K85" s="31" t="str">
        <f>"125,0"</f>
        <v>125,0</v>
      </c>
      <c r="L85" s="25" t="str">
        <f>"76,7375"</f>
        <v>76,7375</v>
      </c>
      <c r="M85" s="24" t="s">
        <v>334</v>
      </c>
    </row>
    <row r="86" spans="1:13">
      <c r="A86" s="25" t="s">
        <v>240</v>
      </c>
      <c r="B86" s="24" t="s">
        <v>764</v>
      </c>
      <c r="C86" s="24" t="s">
        <v>765</v>
      </c>
      <c r="D86" s="24" t="s">
        <v>766</v>
      </c>
      <c r="E86" s="24" t="s">
        <v>1105</v>
      </c>
      <c r="F86" s="24" t="s">
        <v>1047</v>
      </c>
      <c r="G86" s="26" t="s">
        <v>86</v>
      </c>
      <c r="H86" s="26" t="s">
        <v>114</v>
      </c>
      <c r="I86" s="26" t="s">
        <v>88</v>
      </c>
      <c r="J86" s="25"/>
      <c r="K86" s="31" t="str">
        <f>"90,0"</f>
        <v>90,0</v>
      </c>
      <c r="L86" s="25" t="str">
        <f>"55,1790"</f>
        <v>55,1790</v>
      </c>
      <c r="M86" s="24" t="s">
        <v>62</v>
      </c>
    </row>
    <row r="87" spans="1:13">
      <c r="A87" s="25" t="s">
        <v>51</v>
      </c>
      <c r="B87" s="24" t="s">
        <v>767</v>
      </c>
      <c r="C87" s="24" t="s">
        <v>768</v>
      </c>
      <c r="D87" s="24" t="s">
        <v>165</v>
      </c>
      <c r="E87" s="24" t="s">
        <v>1106</v>
      </c>
      <c r="F87" s="24" t="s">
        <v>1047</v>
      </c>
      <c r="G87" s="26" t="s">
        <v>28</v>
      </c>
      <c r="H87" s="27" t="s">
        <v>37</v>
      </c>
      <c r="I87" s="26" t="s">
        <v>37</v>
      </c>
      <c r="J87" s="25"/>
      <c r="K87" s="31" t="str">
        <f>"150,0"</f>
        <v>150,0</v>
      </c>
      <c r="L87" s="25" t="str">
        <f>"103,3742"</f>
        <v>103,3742</v>
      </c>
      <c r="M87" s="24"/>
    </row>
    <row r="88" spans="1:13">
      <c r="A88" s="25" t="s">
        <v>237</v>
      </c>
      <c r="B88" s="24" t="s">
        <v>769</v>
      </c>
      <c r="C88" s="24" t="s">
        <v>770</v>
      </c>
      <c r="D88" s="24" t="s">
        <v>771</v>
      </c>
      <c r="E88" s="24" t="s">
        <v>1106</v>
      </c>
      <c r="F88" s="24" t="s">
        <v>1047</v>
      </c>
      <c r="G88" s="26" t="s">
        <v>17</v>
      </c>
      <c r="H88" s="26" t="s">
        <v>19</v>
      </c>
      <c r="I88" s="27" t="s">
        <v>28</v>
      </c>
      <c r="J88" s="25"/>
      <c r="K88" s="31" t="str">
        <f>"140,0"</f>
        <v>140,0</v>
      </c>
      <c r="L88" s="25" t="str">
        <f>"86,8227"</f>
        <v>86,8227</v>
      </c>
      <c r="M88" s="24" t="s">
        <v>772</v>
      </c>
    </row>
    <row r="89" spans="1:13">
      <c r="A89" s="25" t="s">
        <v>470</v>
      </c>
      <c r="B89" s="24" t="s">
        <v>773</v>
      </c>
      <c r="C89" s="24" t="s">
        <v>774</v>
      </c>
      <c r="D89" s="24" t="s">
        <v>84</v>
      </c>
      <c r="E89" s="24" t="s">
        <v>1106</v>
      </c>
      <c r="F89" s="24" t="s">
        <v>1047</v>
      </c>
      <c r="G89" s="27" t="s">
        <v>19</v>
      </c>
      <c r="H89" s="27" t="s">
        <v>19</v>
      </c>
      <c r="I89" s="27" t="s">
        <v>19</v>
      </c>
      <c r="J89" s="25"/>
      <c r="K89" s="31">
        <v>0</v>
      </c>
      <c r="L89" s="25" t="str">
        <f>"0,0000"</f>
        <v>0,0000</v>
      </c>
      <c r="M89" s="24" t="s">
        <v>775</v>
      </c>
    </row>
    <row r="90" spans="1:13">
      <c r="A90" s="25" t="s">
        <v>51</v>
      </c>
      <c r="B90" s="24" t="s">
        <v>549</v>
      </c>
      <c r="C90" s="24" t="s">
        <v>550</v>
      </c>
      <c r="D90" s="24" t="s">
        <v>551</v>
      </c>
      <c r="E90" s="24" t="s">
        <v>1109</v>
      </c>
      <c r="F90" s="24" t="s">
        <v>1080</v>
      </c>
      <c r="G90" s="26" t="s">
        <v>140</v>
      </c>
      <c r="H90" s="26" t="s">
        <v>155</v>
      </c>
      <c r="I90" s="27" t="s">
        <v>38</v>
      </c>
      <c r="J90" s="25"/>
      <c r="K90" s="31" t="str">
        <f>"200,0"</f>
        <v>200,0</v>
      </c>
      <c r="L90" s="25" t="str">
        <f>"156,0443"</f>
        <v>156,0443</v>
      </c>
      <c r="M90" s="24"/>
    </row>
    <row r="91" spans="1:13">
      <c r="A91" s="10" t="s">
        <v>237</v>
      </c>
      <c r="B91" s="9" t="s">
        <v>776</v>
      </c>
      <c r="C91" s="9" t="s">
        <v>777</v>
      </c>
      <c r="D91" s="9" t="s">
        <v>778</v>
      </c>
      <c r="E91" s="9" t="s">
        <v>1109</v>
      </c>
      <c r="F91" s="9" t="s">
        <v>1078</v>
      </c>
      <c r="G91" s="21" t="s">
        <v>19</v>
      </c>
      <c r="H91" s="21" t="s">
        <v>37</v>
      </c>
      <c r="I91" s="21" t="s">
        <v>279</v>
      </c>
      <c r="J91" s="10"/>
      <c r="K91" s="30" t="str">
        <f>"152,5"</f>
        <v>152,5</v>
      </c>
      <c r="L91" s="10" t="str">
        <f>"123,6624"</f>
        <v>123,6624</v>
      </c>
      <c r="M91" s="9"/>
    </row>
    <row r="92" spans="1:13">
      <c r="B92" s="5" t="s">
        <v>52</v>
      </c>
    </row>
    <row r="93" spans="1:13" ht="16">
      <c r="A93" s="33" t="s">
        <v>30</v>
      </c>
      <c r="B93" s="33"/>
      <c r="C93" s="33"/>
      <c r="D93" s="33"/>
      <c r="E93" s="33"/>
      <c r="F93" s="33"/>
      <c r="G93" s="33"/>
      <c r="H93" s="33"/>
      <c r="I93" s="33"/>
      <c r="J93" s="33"/>
    </row>
    <row r="94" spans="1:13">
      <c r="A94" s="8" t="s">
        <v>51</v>
      </c>
      <c r="B94" s="7" t="s">
        <v>779</v>
      </c>
      <c r="C94" s="7" t="s">
        <v>780</v>
      </c>
      <c r="D94" s="7" t="s">
        <v>781</v>
      </c>
      <c r="E94" s="7" t="s">
        <v>1105</v>
      </c>
      <c r="F94" s="7" t="s">
        <v>1047</v>
      </c>
      <c r="G94" s="18" t="s">
        <v>78</v>
      </c>
      <c r="H94" s="18" t="s">
        <v>364</v>
      </c>
      <c r="I94" s="18" t="s">
        <v>79</v>
      </c>
      <c r="J94" s="8"/>
      <c r="K94" s="29" t="str">
        <f>"170,0"</f>
        <v>170,0</v>
      </c>
      <c r="L94" s="8" t="str">
        <f>"100,9630"</f>
        <v>100,9630</v>
      </c>
      <c r="M94" s="7"/>
    </row>
    <row r="95" spans="1:13">
      <c r="A95" s="25" t="s">
        <v>237</v>
      </c>
      <c r="B95" s="24" t="s">
        <v>782</v>
      </c>
      <c r="C95" s="24" t="s">
        <v>783</v>
      </c>
      <c r="D95" s="24" t="s">
        <v>784</v>
      </c>
      <c r="E95" s="24" t="s">
        <v>1105</v>
      </c>
      <c r="F95" s="24" t="s">
        <v>1081</v>
      </c>
      <c r="G95" s="26" t="s">
        <v>364</v>
      </c>
      <c r="H95" s="26" t="s">
        <v>79</v>
      </c>
      <c r="I95" s="27" t="s">
        <v>133</v>
      </c>
      <c r="J95" s="25"/>
      <c r="K95" s="31" t="str">
        <f>"170,0"</f>
        <v>170,0</v>
      </c>
      <c r="L95" s="25" t="str">
        <f>"100,4190"</f>
        <v>100,4190</v>
      </c>
      <c r="M95" s="24" t="s">
        <v>999</v>
      </c>
    </row>
    <row r="96" spans="1:13">
      <c r="A96" s="10" t="s">
        <v>238</v>
      </c>
      <c r="B96" s="9" t="s">
        <v>785</v>
      </c>
      <c r="C96" s="9" t="s">
        <v>786</v>
      </c>
      <c r="D96" s="9" t="s">
        <v>205</v>
      </c>
      <c r="E96" s="9" t="s">
        <v>1105</v>
      </c>
      <c r="F96" s="9" t="s">
        <v>1047</v>
      </c>
      <c r="G96" s="21" t="s">
        <v>18</v>
      </c>
      <c r="H96" s="21" t="s">
        <v>73</v>
      </c>
      <c r="I96" s="21" t="s">
        <v>120</v>
      </c>
      <c r="J96" s="10"/>
      <c r="K96" s="30" t="str">
        <f>"147,5"</f>
        <v>147,5</v>
      </c>
      <c r="L96" s="10" t="str">
        <f>"87,0987"</f>
        <v>87,0987</v>
      </c>
      <c r="M96" s="9" t="s">
        <v>334</v>
      </c>
    </row>
    <row r="97" spans="1:13">
      <c r="B97" s="5" t="s">
        <v>52</v>
      </c>
    </row>
    <row r="98" spans="1:13" ht="16">
      <c r="A98" s="33" t="s">
        <v>212</v>
      </c>
      <c r="B98" s="33"/>
      <c r="C98" s="33"/>
      <c r="D98" s="33"/>
      <c r="E98" s="33"/>
      <c r="F98" s="33"/>
      <c r="G98" s="33"/>
      <c r="H98" s="33"/>
      <c r="I98" s="33"/>
      <c r="J98" s="33"/>
    </row>
    <row r="99" spans="1:13">
      <c r="A99" s="8" t="s">
        <v>51</v>
      </c>
      <c r="B99" s="7" t="s">
        <v>787</v>
      </c>
      <c r="C99" s="7" t="s">
        <v>788</v>
      </c>
      <c r="D99" s="7" t="s">
        <v>789</v>
      </c>
      <c r="E99" s="7" t="s">
        <v>1107</v>
      </c>
      <c r="F99" s="7" t="s">
        <v>1082</v>
      </c>
      <c r="G99" s="18" t="s">
        <v>37</v>
      </c>
      <c r="H99" s="18" t="s">
        <v>210</v>
      </c>
      <c r="I99" s="18" t="s">
        <v>211</v>
      </c>
      <c r="J99" s="8"/>
      <c r="K99" s="29" t="str">
        <f>"167,5"</f>
        <v>167,5</v>
      </c>
      <c r="L99" s="8" t="str">
        <f>"95,9105"</f>
        <v>95,9105</v>
      </c>
      <c r="M99" s="7" t="s">
        <v>1000</v>
      </c>
    </row>
    <row r="100" spans="1:13">
      <c r="A100" s="25" t="s">
        <v>51</v>
      </c>
      <c r="B100" s="24" t="s">
        <v>448</v>
      </c>
      <c r="C100" s="24" t="s">
        <v>449</v>
      </c>
      <c r="D100" s="24" t="s">
        <v>450</v>
      </c>
      <c r="E100" s="24" t="s">
        <v>1105</v>
      </c>
      <c r="F100" s="24" t="s">
        <v>1047</v>
      </c>
      <c r="G100" s="26" t="s">
        <v>155</v>
      </c>
      <c r="H100" s="26" t="s">
        <v>193</v>
      </c>
      <c r="I100" s="26" t="s">
        <v>14</v>
      </c>
      <c r="J100" s="25"/>
      <c r="K100" s="31" t="str">
        <f>"220,0"</f>
        <v>220,0</v>
      </c>
      <c r="L100" s="25" t="str">
        <f>"125,5760"</f>
        <v>125,5760</v>
      </c>
      <c r="M100" s="24" t="s">
        <v>452</v>
      </c>
    </row>
    <row r="101" spans="1:13">
      <c r="A101" s="25" t="s">
        <v>237</v>
      </c>
      <c r="B101" s="24" t="s">
        <v>790</v>
      </c>
      <c r="C101" s="24" t="s">
        <v>791</v>
      </c>
      <c r="D101" s="24" t="s">
        <v>792</v>
      </c>
      <c r="E101" s="24" t="s">
        <v>1105</v>
      </c>
      <c r="F101" s="24" t="s">
        <v>1047</v>
      </c>
      <c r="G101" s="26" t="s">
        <v>134</v>
      </c>
      <c r="H101" s="26" t="s">
        <v>189</v>
      </c>
      <c r="I101" s="27" t="s">
        <v>150</v>
      </c>
      <c r="J101" s="25"/>
      <c r="K101" s="31" t="str">
        <f>"185,0"</f>
        <v>185,0</v>
      </c>
      <c r="L101" s="25" t="str">
        <f>"105,6535"</f>
        <v>105,6535</v>
      </c>
      <c r="M101" s="24" t="s">
        <v>123</v>
      </c>
    </row>
    <row r="102" spans="1:13">
      <c r="A102" s="25" t="s">
        <v>238</v>
      </c>
      <c r="B102" s="24" t="s">
        <v>793</v>
      </c>
      <c r="C102" s="24" t="s">
        <v>794</v>
      </c>
      <c r="D102" s="24" t="s">
        <v>795</v>
      </c>
      <c r="E102" s="24" t="s">
        <v>1105</v>
      </c>
      <c r="F102" s="24" t="s">
        <v>1047</v>
      </c>
      <c r="G102" s="26" t="s">
        <v>28</v>
      </c>
      <c r="H102" s="27" t="s">
        <v>279</v>
      </c>
      <c r="I102" s="27" t="s">
        <v>279</v>
      </c>
      <c r="J102" s="25"/>
      <c r="K102" s="31" t="str">
        <f>"145,0"</f>
        <v>145,0</v>
      </c>
      <c r="L102" s="25" t="str">
        <f>"82,9835"</f>
        <v>82,9835</v>
      </c>
      <c r="M102" s="24" t="s">
        <v>334</v>
      </c>
    </row>
    <row r="103" spans="1:13">
      <c r="A103" s="25" t="s">
        <v>51</v>
      </c>
      <c r="B103" s="24" t="s">
        <v>790</v>
      </c>
      <c r="C103" s="24" t="s">
        <v>796</v>
      </c>
      <c r="D103" s="24" t="s">
        <v>792</v>
      </c>
      <c r="E103" s="24" t="s">
        <v>1106</v>
      </c>
      <c r="F103" s="24" t="s">
        <v>1047</v>
      </c>
      <c r="G103" s="26" t="s">
        <v>134</v>
      </c>
      <c r="H103" s="26" t="s">
        <v>189</v>
      </c>
      <c r="I103" s="27" t="s">
        <v>150</v>
      </c>
      <c r="J103" s="25"/>
      <c r="K103" s="31" t="str">
        <f>"185,0"</f>
        <v>185,0</v>
      </c>
      <c r="L103" s="25" t="str">
        <f>"111,9927"</f>
        <v>111,9927</v>
      </c>
      <c r="M103" s="24" t="s">
        <v>123</v>
      </c>
    </row>
    <row r="104" spans="1:13">
      <c r="A104" s="10" t="s">
        <v>237</v>
      </c>
      <c r="B104" s="9" t="s">
        <v>797</v>
      </c>
      <c r="C104" s="9" t="s">
        <v>798</v>
      </c>
      <c r="D104" s="9" t="s">
        <v>799</v>
      </c>
      <c r="E104" s="9" t="s">
        <v>1106</v>
      </c>
      <c r="F104" s="9" t="s">
        <v>1083</v>
      </c>
      <c r="G104" s="21" t="s">
        <v>18</v>
      </c>
      <c r="H104" s="21" t="s">
        <v>19</v>
      </c>
      <c r="I104" s="21" t="s">
        <v>28</v>
      </c>
      <c r="J104" s="10"/>
      <c r="K104" s="30" t="str">
        <f>"145,0"</f>
        <v>145,0</v>
      </c>
      <c r="L104" s="10" t="str">
        <f>"89,4718"</f>
        <v>89,4718</v>
      </c>
      <c r="M104" s="9" t="s">
        <v>800</v>
      </c>
    </row>
    <row r="105" spans="1:13">
      <c r="B105" s="5" t="s">
        <v>52</v>
      </c>
    </row>
    <row r="108" spans="1:13" ht="18">
      <c r="B108" s="13" t="s">
        <v>39</v>
      </c>
      <c r="C108" s="13"/>
    </row>
    <row r="109" spans="1:13" ht="16">
      <c r="B109" s="14" t="s">
        <v>95</v>
      </c>
      <c r="C109" s="14"/>
    </row>
    <row r="110" spans="1:13" ht="14">
      <c r="B110" s="15"/>
      <c r="C110" s="16" t="s">
        <v>41</v>
      </c>
    </row>
    <row r="111" spans="1:13" ht="14">
      <c r="B111" s="17" t="s">
        <v>42</v>
      </c>
      <c r="C111" s="17" t="s">
        <v>43</v>
      </c>
      <c r="D111" s="17" t="s">
        <v>1008</v>
      </c>
      <c r="E111" s="17" t="s">
        <v>485</v>
      </c>
      <c r="F111" s="17" t="s">
        <v>46</v>
      </c>
    </row>
    <row r="112" spans="1:13">
      <c r="B112" s="5" t="s">
        <v>615</v>
      </c>
      <c r="C112" s="5" t="s">
        <v>41</v>
      </c>
      <c r="D112" s="6" t="s">
        <v>225</v>
      </c>
      <c r="E112" s="6" t="s">
        <v>86</v>
      </c>
      <c r="F112" s="6" t="s">
        <v>801</v>
      </c>
    </row>
    <row r="113" spans="2:6">
      <c r="B113" s="5" t="s">
        <v>612</v>
      </c>
      <c r="C113" s="5" t="s">
        <v>41</v>
      </c>
      <c r="D113" s="6" t="s">
        <v>225</v>
      </c>
      <c r="E113" s="6" t="s">
        <v>112</v>
      </c>
      <c r="F113" s="6" t="s">
        <v>802</v>
      </c>
    </row>
    <row r="114" spans="2:6">
      <c r="B114" s="5" t="s">
        <v>648</v>
      </c>
      <c r="C114" s="5" t="s">
        <v>41</v>
      </c>
      <c r="D114" s="6" t="s">
        <v>47</v>
      </c>
      <c r="E114" s="6" t="s">
        <v>126</v>
      </c>
      <c r="F114" s="6" t="s">
        <v>803</v>
      </c>
    </row>
    <row r="116" spans="2:6" ht="16">
      <c r="B116" s="14" t="s">
        <v>40</v>
      </c>
      <c r="C116" s="14"/>
    </row>
    <row r="117" spans="2:6" ht="14">
      <c r="B117" s="15"/>
      <c r="C117" s="16" t="s">
        <v>41</v>
      </c>
    </row>
    <row r="118" spans="2:6" ht="14">
      <c r="B118" s="17" t="s">
        <v>42</v>
      </c>
      <c r="C118" s="17" t="s">
        <v>43</v>
      </c>
      <c r="D118" s="17" t="s">
        <v>1008</v>
      </c>
      <c r="E118" s="17" t="s">
        <v>485</v>
      </c>
      <c r="F118" s="17" t="s">
        <v>46</v>
      </c>
    </row>
    <row r="119" spans="2:6">
      <c r="B119" s="5" t="s">
        <v>752</v>
      </c>
      <c r="C119" s="5" t="s">
        <v>41</v>
      </c>
      <c r="D119" s="6" t="s">
        <v>97</v>
      </c>
      <c r="E119" s="6" t="s">
        <v>26</v>
      </c>
      <c r="F119" s="6" t="s">
        <v>804</v>
      </c>
    </row>
    <row r="120" spans="2:6">
      <c r="B120" s="5" t="s">
        <v>448</v>
      </c>
      <c r="C120" s="5" t="s">
        <v>41</v>
      </c>
      <c r="D120" s="6" t="s">
        <v>233</v>
      </c>
      <c r="E120" s="6" t="s">
        <v>14</v>
      </c>
      <c r="F120" s="6" t="s">
        <v>805</v>
      </c>
    </row>
    <row r="121" spans="2:6">
      <c r="B121" s="5" t="s">
        <v>755</v>
      </c>
      <c r="C121" s="5" t="s">
        <v>41</v>
      </c>
      <c r="D121" s="6" t="s">
        <v>97</v>
      </c>
      <c r="E121" s="6" t="s">
        <v>38</v>
      </c>
      <c r="F121" s="6" t="s">
        <v>806</v>
      </c>
    </row>
    <row r="123" spans="2:6" ht="14">
      <c r="B123" s="15"/>
      <c r="C123" s="16" t="s">
        <v>49</v>
      </c>
    </row>
    <row r="124" spans="2:6" ht="14">
      <c r="B124" s="17" t="s">
        <v>42</v>
      </c>
      <c r="C124" s="17" t="s">
        <v>43</v>
      </c>
      <c r="D124" s="17" t="s">
        <v>1008</v>
      </c>
      <c r="E124" s="17" t="s">
        <v>485</v>
      </c>
      <c r="F124" s="17" t="s">
        <v>46</v>
      </c>
    </row>
    <row r="125" spans="2:6">
      <c r="B125" s="5" t="s">
        <v>549</v>
      </c>
      <c r="C125" s="5" t="s">
        <v>236</v>
      </c>
      <c r="D125" s="6" t="s">
        <v>97</v>
      </c>
      <c r="E125" s="6" t="s">
        <v>155</v>
      </c>
      <c r="F125" s="6" t="s">
        <v>597</v>
      </c>
    </row>
    <row r="126" spans="2:6">
      <c r="B126" s="5" t="s">
        <v>776</v>
      </c>
      <c r="C126" s="5" t="s">
        <v>236</v>
      </c>
      <c r="D126" s="6" t="s">
        <v>97</v>
      </c>
      <c r="E126" s="6" t="s">
        <v>279</v>
      </c>
      <c r="F126" s="6" t="s">
        <v>807</v>
      </c>
    </row>
    <row r="127" spans="2:6">
      <c r="B127" s="5" t="s">
        <v>790</v>
      </c>
      <c r="C127" s="5" t="s">
        <v>50</v>
      </c>
      <c r="D127" s="6" t="s">
        <v>233</v>
      </c>
      <c r="E127" s="6" t="s">
        <v>189</v>
      </c>
      <c r="F127" s="6" t="s">
        <v>808</v>
      </c>
    </row>
    <row r="128" spans="2:6">
      <c r="B128" s="5" t="s">
        <v>52</v>
      </c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8:J98"/>
    <mergeCell ref="B3:B4"/>
    <mergeCell ref="A39:J39"/>
    <mergeCell ref="A46:J46"/>
    <mergeCell ref="A55:J55"/>
    <mergeCell ref="A68:J68"/>
    <mergeCell ref="A81:J81"/>
    <mergeCell ref="A93:J93"/>
    <mergeCell ref="A11:J11"/>
    <mergeCell ref="A14:J14"/>
    <mergeCell ref="A20:J20"/>
    <mergeCell ref="A29:J29"/>
    <mergeCell ref="A32:J32"/>
    <mergeCell ref="A36:J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81"/>
  <sheetViews>
    <sheetView topLeftCell="A24" workbookViewId="0">
      <selection activeCell="E65" sqref="E65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7.5" style="5" bestFit="1" customWidth="1"/>
    <col min="14" max="16384" width="9.1640625" style="3"/>
  </cols>
  <sheetData>
    <row r="1" spans="1:13" s="2" customFormat="1" ht="29" customHeight="1">
      <c r="A1" s="44" t="s">
        <v>1016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108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2" t="s">
        <v>51</v>
      </c>
      <c r="B6" s="11" t="s">
        <v>488</v>
      </c>
      <c r="C6" s="11" t="s">
        <v>489</v>
      </c>
      <c r="D6" s="11" t="s">
        <v>490</v>
      </c>
      <c r="E6" s="11" t="s">
        <v>1105</v>
      </c>
      <c r="F6" s="11" t="s">
        <v>1046</v>
      </c>
      <c r="G6" s="22" t="s">
        <v>68</v>
      </c>
      <c r="H6" s="22" t="s">
        <v>113</v>
      </c>
      <c r="I6" s="23" t="s">
        <v>87</v>
      </c>
      <c r="J6" s="12"/>
      <c r="K6" s="12" t="str">
        <f>"77,5"</f>
        <v>77,5</v>
      </c>
      <c r="L6" s="12" t="str">
        <f>"91,6980"</f>
        <v>91,6980</v>
      </c>
      <c r="M6" s="11" t="s">
        <v>123</v>
      </c>
    </row>
    <row r="7" spans="1:13">
      <c r="B7" s="5" t="s">
        <v>52</v>
      </c>
    </row>
    <row r="8" spans="1:13" ht="16">
      <c r="A8" s="33" t="s">
        <v>116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51</v>
      </c>
      <c r="B9" s="7" t="s">
        <v>117</v>
      </c>
      <c r="C9" s="7" t="s">
        <v>118</v>
      </c>
      <c r="D9" s="7" t="s">
        <v>119</v>
      </c>
      <c r="E9" s="7" t="s">
        <v>1105</v>
      </c>
      <c r="F9" s="7" t="s">
        <v>1047</v>
      </c>
      <c r="G9" s="18" t="s">
        <v>76</v>
      </c>
      <c r="H9" s="18" t="s">
        <v>77</v>
      </c>
      <c r="I9" s="19" t="s">
        <v>122</v>
      </c>
      <c r="J9" s="8"/>
      <c r="K9" s="8" t="str">
        <f>"105,0"</f>
        <v>105,0</v>
      </c>
      <c r="L9" s="8" t="str">
        <f>"117,0645"</f>
        <v>117,0645</v>
      </c>
      <c r="M9" s="7" t="s">
        <v>123</v>
      </c>
    </row>
    <row r="10" spans="1:13">
      <c r="A10" s="10" t="s">
        <v>51</v>
      </c>
      <c r="B10" s="9" t="s">
        <v>117</v>
      </c>
      <c r="C10" s="9" t="s">
        <v>129</v>
      </c>
      <c r="D10" s="9" t="s">
        <v>119</v>
      </c>
      <c r="E10" s="9" t="s">
        <v>1106</v>
      </c>
      <c r="F10" s="9" t="s">
        <v>1047</v>
      </c>
      <c r="G10" s="21" t="s">
        <v>76</v>
      </c>
      <c r="H10" s="21" t="s">
        <v>77</v>
      </c>
      <c r="I10" s="20" t="s">
        <v>122</v>
      </c>
      <c r="J10" s="10"/>
      <c r="K10" s="10" t="str">
        <f>"105,0"</f>
        <v>105,0</v>
      </c>
      <c r="L10" s="10" t="str">
        <f>"117,6498"</f>
        <v>117,6498</v>
      </c>
      <c r="M10" s="9" t="s">
        <v>123</v>
      </c>
    </row>
    <row r="11" spans="1:13">
      <c r="B11" s="5" t="s">
        <v>52</v>
      </c>
    </row>
    <row r="12" spans="1:13" ht="16">
      <c r="A12" s="33" t="s">
        <v>63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12" t="s">
        <v>51</v>
      </c>
      <c r="B13" s="11" t="s">
        <v>491</v>
      </c>
      <c r="C13" s="11" t="s">
        <v>492</v>
      </c>
      <c r="D13" s="11" t="s">
        <v>66</v>
      </c>
      <c r="E13" s="11" t="s">
        <v>1112</v>
      </c>
      <c r="F13" s="11" t="s">
        <v>1047</v>
      </c>
      <c r="G13" s="22" t="s">
        <v>256</v>
      </c>
      <c r="H13" s="22" t="s">
        <v>58</v>
      </c>
      <c r="I13" s="22" t="s">
        <v>267</v>
      </c>
      <c r="J13" s="12"/>
      <c r="K13" s="12" t="str">
        <f>"62,5"</f>
        <v>62,5</v>
      </c>
      <c r="L13" s="12" t="str">
        <f>"85,1183"</f>
        <v>85,1183</v>
      </c>
      <c r="M13" s="11" t="s">
        <v>1003</v>
      </c>
    </row>
    <row r="14" spans="1:13">
      <c r="B14" s="5" t="s">
        <v>52</v>
      </c>
    </row>
    <row r="15" spans="1:13" ht="16">
      <c r="A15" s="33" t="s">
        <v>10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51</v>
      </c>
      <c r="B16" s="7" t="s">
        <v>493</v>
      </c>
      <c r="C16" s="7" t="s">
        <v>494</v>
      </c>
      <c r="D16" s="7" t="s">
        <v>495</v>
      </c>
      <c r="E16" s="7" t="s">
        <v>1105</v>
      </c>
      <c r="F16" s="7" t="s">
        <v>1047</v>
      </c>
      <c r="G16" s="18" t="s">
        <v>189</v>
      </c>
      <c r="H16" s="19" t="s">
        <v>370</v>
      </c>
      <c r="I16" s="19" t="s">
        <v>370</v>
      </c>
      <c r="J16" s="8"/>
      <c r="K16" s="8" t="str">
        <f>"185,0"</f>
        <v>185,0</v>
      </c>
      <c r="L16" s="8" t="str">
        <f>"127,9460"</f>
        <v>127,9460</v>
      </c>
      <c r="M16" s="7"/>
    </row>
    <row r="17" spans="1:13">
      <c r="A17" s="25" t="s">
        <v>237</v>
      </c>
      <c r="B17" s="24" t="s">
        <v>496</v>
      </c>
      <c r="C17" s="24" t="s">
        <v>497</v>
      </c>
      <c r="D17" s="24" t="s">
        <v>145</v>
      </c>
      <c r="E17" s="24" t="s">
        <v>1105</v>
      </c>
      <c r="F17" s="24" t="s">
        <v>1047</v>
      </c>
      <c r="G17" s="26" t="s">
        <v>279</v>
      </c>
      <c r="H17" s="26" t="s">
        <v>364</v>
      </c>
      <c r="I17" s="27" t="s">
        <v>79</v>
      </c>
      <c r="J17" s="25"/>
      <c r="K17" s="25" t="str">
        <f>"165,0"</f>
        <v>165,0</v>
      </c>
      <c r="L17" s="25" t="str">
        <f>"110,9460"</f>
        <v>110,9460</v>
      </c>
      <c r="M17" s="24"/>
    </row>
    <row r="18" spans="1:13">
      <c r="A18" s="25" t="s">
        <v>238</v>
      </c>
      <c r="B18" s="24" t="s">
        <v>498</v>
      </c>
      <c r="C18" s="24" t="s">
        <v>499</v>
      </c>
      <c r="D18" s="24" t="s">
        <v>500</v>
      </c>
      <c r="E18" s="24" t="s">
        <v>1105</v>
      </c>
      <c r="F18" s="24" t="s">
        <v>1047</v>
      </c>
      <c r="G18" s="26" t="s">
        <v>73</v>
      </c>
      <c r="H18" s="26" t="s">
        <v>120</v>
      </c>
      <c r="I18" s="26" t="s">
        <v>37</v>
      </c>
      <c r="J18" s="25"/>
      <c r="K18" s="25" t="str">
        <f>"150,0"</f>
        <v>150,0</v>
      </c>
      <c r="L18" s="25" t="str">
        <f>"101,3850"</f>
        <v>101,3850</v>
      </c>
      <c r="M18" s="24" t="s">
        <v>334</v>
      </c>
    </row>
    <row r="19" spans="1:13">
      <c r="A19" s="10" t="s">
        <v>239</v>
      </c>
      <c r="B19" s="9" t="s">
        <v>501</v>
      </c>
      <c r="C19" s="9" t="s">
        <v>502</v>
      </c>
      <c r="D19" s="9" t="s">
        <v>376</v>
      </c>
      <c r="E19" s="9" t="s">
        <v>1105</v>
      </c>
      <c r="F19" s="9" t="s">
        <v>1047</v>
      </c>
      <c r="G19" s="21" t="s">
        <v>19</v>
      </c>
      <c r="H19" s="21" t="s">
        <v>28</v>
      </c>
      <c r="I19" s="20" t="s">
        <v>37</v>
      </c>
      <c r="J19" s="10"/>
      <c r="K19" s="10" t="str">
        <f>"145,0"</f>
        <v>145,0</v>
      </c>
      <c r="L19" s="10" t="str">
        <f>"97,9330"</f>
        <v>97,9330</v>
      </c>
      <c r="M19" s="9"/>
    </row>
    <row r="20" spans="1:13">
      <c r="B20" s="5" t="s">
        <v>52</v>
      </c>
    </row>
    <row r="21" spans="1:13" ht="16">
      <c r="A21" s="33" t="s">
        <v>151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51</v>
      </c>
      <c r="B22" s="7" t="s">
        <v>152</v>
      </c>
      <c r="C22" s="7" t="s">
        <v>153</v>
      </c>
      <c r="D22" s="7" t="s">
        <v>154</v>
      </c>
      <c r="E22" s="7" t="s">
        <v>1105</v>
      </c>
      <c r="F22" s="7" t="s">
        <v>1047</v>
      </c>
      <c r="G22" s="18" t="s">
        <v>156</v>
      </c>
      <c r="H22" s="18" t="s">
        <v>141</v>
      </c>
      <c r="I22" s="19" t="s">
        <v>26</v>
      </c>
      <c r="J22" s="8"/>
      <c r="K22" s="8" t="str">
        <f>"207,5"</f>
        <v>207,5</v>
      </c>
      <c r="L22" s="8" t="str">
        <f>"132,6963"</f>
        <v>132,6963</v>
      </c>
      <c r="M22" s="7" t="s">
        <v>128</v>
      </c>
    </row>
    <row r="23" spans="1:13">
      <c r="A23" s="25" t="s">
        <v>237</v>
      </c>
      <c r="B23" s="24" t="s">
        <v>503</v>
      </c>
      <c r="C23" s="24" t="s">
        <v>504</v>
      </c>
      <c r="D23" s="24" t="s">
        <v>505</v>
      </c>
      <c r="E23" s="24" t="s">
        <v>1105</v>
      </c>
      <c r="F23" s="24" t="s">
        <v>1047</v>
      </c>
      <c r="G23" s="26" t="s">
        <v>189</v>
      </c>
      <c r="H23" s="26" t="s">
        <v>150</v>
      </c>
      <c r="I23" s="27" t="s">
        <v>140</v>
      </c>
      <c r="J23" s="25"/>
      <c r="K23" s="25" t="str">
        <f>"190,0"</f>
        <v>190,0</v>
      </c>
      <c r="L23" s="25" t="str">
        <f>"126,2930"</f>
        <v>126,2930</v>
      </c>
      <c r="M23" s="24"/>
    </row>
    <row r="24" spans="1:13">
      <c r="A24" s="25" t="s">
        <v>238</v>
      </c>
      <c r="B24" s="24" t="s">
        <v>506</v>
      </c>
      <c r="C24" s="24" t="s">
        <v>507</v>
      </c>
      <c r="D24" s="24" t="s">
        <v>406</v>
      </c>
      <c r="E24" s="24" t="s">
        <v>1105</v>
      </c>
      <c r="F24" s="24" t="s">
        <v>1059</v>
      </c>
      <c r="G24" s="26" t="s">
        <v>178</v>
      </c>
      <c r="H24" s="26" t="s">
        <v>179</v>
      </c>
      <c r="I24" s="26" t="s">
        <v>150</v>
      </c>
      <c r="J24" s="25"/>
      <c r="K24" s="25" t="str">
        <f>"190,0"</f>
        <v>190,0</v>
      </c>
      <c r="L24" s="25" t="str">
        <f>"121,2960"</f>
        <v>121,2960</v>
      </c>
      <c r="M24" s="24" t="s">
        <v>736</v>
      </c>
    </row>
    <row r="25" spans="1:13">
      <c r="A25" s="25" t="s">
        <v>239</v>
      </c>
      <c r="B25" s="24" t="s">
        <v>508</v>
      </c>
      <c r="C25" s="24" t="s">
        <v>509</v>
      </c>
      <c r="D25" s="24" t="s">
        <v>510</v>
      </c>
      <c r="E25" s="24" t="s">
        <v>1105</v>
      </c>
      <c r="F25" s="24" t="s">
        <v>1084</v>
      </c>
      <c r="G25" s="26" t="s">
        <v>79</v>
      </c>
      <c r="H25" s="26" t="s">
        <v>133</v>
      </c>
      <c r="I25" s="26" t="s">
        <v>189</v>
      </c>
      <c r="J25" s="25"/>
      <c r="K25" s="25" t="str">
        <f>"185,0"</f>
        <v>185,0</v>
      </c>
      <c r="L25" s="25" t="str">
        <f>"120,9160"</f>
        <v>120,9160</v>
      </c>
      <c r="M25" s="24"/>
    </row>
    <row r="26" spans="1:13">
      <c r="A26" s="25" t="s">
        <v>240</v>
      </c>
      <c r="B26" s="24" t="s">
        <v>511</v>
      </c>
      <c r="C26" s="24" t="s">
        <v>512</v>
      </c>
      <c r="D26" s="24" t="s">
        <v>513</v>
      </c>
      <c r="E26" s="24" t="s">
        <v>1105</v>
      </c>
      <c r="F26" s="24" t="s">
        <v>1047</v>
      </c>
      <c r="G26" s="26" t="s">
        <v>37</v>
      </c>
      <c r="H26" s="27" t="s">
        <v>78</v>
      </c>
      <c r="I26" s="26" t="s">
        <v>364</v>
      </c>
      <c r="J26" s="25"/>
      <c r="K26" s="25" t="str">
        <f>"165,0"</f>
        <v>165,0</v>
      </c>
      <c r="L26" s="25" t="str">
        <f>"106,1280"</f>
        <v>106,1280</v>
      </c>
      <c r="M26" s="24"/>
    </row>
    <row r="27" spans="1:13">
      <c r="A27" s="25" t="s">
        <v>51</v>
      </c>
      <c r="B27" s="24" t="s">
        <v>503</v>
      </c>
      <c r="C27" s="24" t="s">
        <v>514</v>
      </c>
      <c r="D27" s="24" t="s">
        <v>505</v>
      </c>
      <c r="E27" s="24" t="s">
        <v>1106</v>
      </c>
      <c r="F27" s="24" t="s">
        <v>1047</v>
      </c>
      <c r="G27" s="26" t="s">
        <v>189</v>
      </c>
      <c r="H27" s="26" t="s">
        <v>150</v>
      </c>
      <c r="I27" s="27" t="s">
        <v>140</v>
      </c>
      <c r="J27" s="25"/>
      <c r="K27" s="25" t="str">
        <f>"190,0"</f>
        <v>190,0</v>
      </c>
      <c r="L27" s="25" t="str">
        <f>"129,8292"</f>
        <v>129,8292</v>
      </c>
      <c r="M27" s="24"/>
    </row>
    <row r="28" spans="1:13">
      <c r="A28" s="25" t="s">
        <v>237</v>
      </c>
      <c r="B28" s="24" t="s">
        <v>508</v>
      </c>
      <c r="C28" s="24" t="s">
        <v>515</v>
      </c>
      <c r="D28" s="24" t="s">
        <v>510</v>
      </c>
      <c r="E28" s="24" t="s">
        <v>1106</v>
      </c>
      <c r="F28" s="24" t="s">
        <v>1084</v>
      </c>
      <c r="G28" s="26" t="s">
        <v>79</v>
      </c>
      <c r="H28" s="26" t="s">
        <v>133</v>
      </c>
      <c r="I28" s="26" t="s">
        <v>189</v>
      </c>
      <c r="J28" s="25"/>
      <c r="K28" s="25" t="str">
        <f>"185,0"</f>
        <v>185,0</v>
      </c>
      <c r="L28" s="25" t="str">
        <f>"126,2363"</f>
        <v>126,2363</v>
      </c>
      <c r="M28" s="24"/>
    </row>
    <row r="29" spans="1:13">
      <c r="A29" s="25" t="s">
        <v>238</v>
      </c>
      <c r="B29" s="24" t="s">
        <v>516</v>
      </c>
      <c r="C29" s="24" t="s">
        <v>517</v>
      </c>
      <c r="D29" s="24" t="s">
        <v>518</v>
      </c>
      <c r="E29" s="24" t="s">
        <v>1106</v>
      </c>
      <c r="F29" s="24" t="s">
        <v>1047</v>
      </c>
      <c r="G29" s="26" t="s">
        <v>28</v>
      </c>
      <c r="H29" s="26" t="s">
        <v>279</v>
      </c>
      <c r="I29" s="27" t="s">
        <v>74</v>
      </c>
      <c r="J29" s="25"/>
      <c r="K29" s="25" t="str">
        <f>"152,5"</f>
        <v>152,5</v>
      </c>
      <c r="L29" s="25" t="str">
        <f>"107,0699"</f>
        <v>107,0699</v>
      </c>
      <c r="M29" s="24" t="s">
        <v>62</v>
      </c>
    </row>
    <row r="30" spans="1:13">
      <c r="A30" s="10" t="s">
        <v>51</v>
      </c>
      <c r="B30" s="9" t="s">
        <v>519</v>
      </c>
      <c r="C30" s="9" t="s">
        <v>520</v>
      </c>
      <c r="D30" s="9" t="s">
        <v>518</v>
      </c>
      <c r="E30" s="9" t="s">
        <v>1108</v>
      </c>
      <c r="F30" s="9" t="s">
        <v>1085</v>
      </c>
      <c r="G30" s="21" t="s">
        <v>142</v>
      </c>
      <c r="H30" s="21" t="s">
        <v>67</v>
      </c>
      <c r="I30" s="21" t="s">
        <v>69</v>
      </c>
      <c r="J30" s="10"/>
      <c r="K30" s="10" t="str">
        <f>"120,0"</f>
        <v>120,0</v>
      </c>
      <c r="L30" s="10" t="str">
        <f>"122,7646"</f>
        <v>122,7646</v>
      </c>
      <c r="M30" s="9"/>
    </row>
    <row r="31" spans="1:13">
      <c r="B31" s="5" t="s">
        <v>52</v>
      </c>
    </row>
    <row r="32" spans="1:13" ht="16">
      <c r="A32" s="33" t="s">
        <v>81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8" t="s">
        <v>51</v>
      </c>
      <c r="B33" s="7" t="s">
        <v>521</v>
      </c>
      <c r="C33" s="7" t="s">
        <v>522</v>
      </c>
      <c r="D33" s="7" t="s">
        <v>523</v>
      </c>
      <c r="E33" s="7" t="s">
        <v>1107</v>
      </c>
      <c r="F33" s="7" t="s">
        <v>1086</v>
      </c>
      <c r="G33" s="18" t="s">
        <v>79</v>
      </c>
      <c r="H33" s="19" t="s">
        <v>133</v>
      </c>
      <c r="I33" s="18" t="s">
        <v>133</v>
      </c>
      <c r="J33" s="8"/>
      <c r="K33" s="8" t="str">
        <f>"175,0"</f>
        <v>175,0</v>
      </c>
      <c r="L33" s="8" t="str">
        <f>"107,1525"</f>
        <v>107,1525</v>
      </c>
      <c r="M33" s="7"/>
    </row>
    <row r="34" spans="1:13">
      <c r="A34" s="25" t="s">
        <v>51</v>
      </c>
      <c r="B34" s="24" t="s">
        <v>524</v>
      </c>
      <c r="C34" s="24" t="s">
        <v>525</v>
      </c>
      <c r="D34" s="24" t="s">
        <v>165</v>
      </c>
      <c r="E34" s="24" t="s">
        <v>1105</v>
      </c>
      <c r="F34" s="24" t="s">
        <v>1071</v>
      </c>
      <c r="G34" s="26" t="s">
        <v>155</v>
      </c>
      <c r="H34" s="26" t="s">
        <v>141</v>
      </c>
      <c r="I34" s="27" t="s">
        <v>20</v>
      </c>
      <c r="J34" s="25"/>
      <c r="K34" s="25" t="str">
        <f>"207,5"</f>
        <v>207,5</v>
      </c>
      <c r="L34" s="25" t="str">
        <f>"126,3260"</f>
        <v>126,3260</v>
      </c>
      <c r="M34" s="24"/>
    </row>
    <row r="35" spans="1:13">
      <c r="A35" s="25" t="s">
        <v>237</v>
      </c>
      <c r="B35" s="24" t="s">
        <v>526</v>
      </c>
      <c r="C35" s="24" t="s">
        <v>527</v>
      </c>
      <c r="D35" s="24" t="s">
        <v>528</v>
      </c>
      <c r="E35" s="24" t="s">
        <v>1105</v>
      </c>
      <c r="F35" s="24" t="s">
        <v>1047</v>
      </c>
      <c r="G35" s="26" t="s">
        <v>38</v>
      </c>
      <c r="H35" s="27" t="s">
        <v>20</v>
      </c>
      <c r="I35" s="27" t="s">
        <v>20</v>
      </c>
      <c r="J35" s="25"/>
      <c r="K35" s="25" t="str">
        <f>"205,0"</f>
        <v>205,0</v>
      </c>
      <c r="L35" s="25" t="str">
        <f>"126,3415"</f>
        <v>126,3415</v>
      </c>
      <c r="M35" s="24" t="s">
        <v>1002</v>
      </c>
    </row>
    <row r="36" spans="1:13">
      <c r="A36" s="25" t="s">
        <v>238</v>
      </c>
      <c r="B36" s="24" t="s">
        <v>529</v>
      </c>
      <c r="C36" s="24" t="s">
        <v>530</v>
      </c>
      <c r="D36" s="24" t="s">
        <v>531</v>
      </c>
      <c r="E36" s="24" t="s">
        <v>1105</v>
      </c>
      <c r="F36" s="24" t="s">
        <v>1047</v>
      </c>
      <c r="G36" s="26" t="s">
        <v>80</v>
      </c>
      <c r="H36" s="26" t="s">
        <v>179</v>
      </c>
      <c r="I36" s="26" t="s">
        <v>370</v>
      </c>
      <c r="J36" s="25"/>
      <c r="K36" s="25" t="str">
        <f>"192,5"</f>
        <v>192,5</v>
      </c>
      <c r="L36" s="25" t="str">
        <f>"118,8495"</f>
        <v>118,8495</v>
      </c>
      <c r="M36" s="24"/>
    </row>
    <row r="37" spans="1:13">
      <c r="A37" s="25" t="s">
        <v>239</v>
      </c>
      <c r="B37" s="24" t="s">
        <v>532</v>
      </c>
      <c r="C37" s="24" t="s">
        <v>533</v>
      </c>
      <c r="D37" s="24" t="s">
        <v>534</v>
      </c>
      <c r="E37" s="24" t="s">
        <v>1105</v>
      </c>
      <c r="F37" s="24" t="s">
        <v>1047</v>
      </c>
      <c r="G37" s="26" t="s">
        <v>150</v>
      </c>
      <c r="H37" s="27" t="s">
        <v>140</v>
      </c>
      <c r="I37" s="27" t="s">
        <v>140</v>
      </c>
      <c r="J37" s="25"/>
      <c r="K37" s="25" t="str">
        <f>"190,0"</f>
        <v>190,0</v>
      </c>
      <c r="L37" s="25" t="str">
        <f>"118,8260"</f>
        <v>118,8260</v>
      </c>
      <c r="M37" s="24"/>
    </row>
    <row r="38" spans="1:13">
      <c r="A38" s="25" t="s">
        <v>240</v>
      </c>
      <c r="B38" s="24" t="s">
        <v>535</v>
      </c>
      <c r="C38" s="24" t="s">
        <v>536</v>
      </c>
      <c r="D38" s="24" t="s">
        <v>537</v>
      </c>
      <c r="E38" s="24" t="s">
        <v>1105</v>
      </c>
      <c r="F38" s="24" t="s">
        <v>1047</v>
      </c>
      <c r="G38" s="26" t="s">
        <v>80</v>
      </c>
      <c r="H38" s="26" t="s">
        <v>189</v>
      </c>
      <c r="I38" s="26" t="s">
        <v>150</v>
      </c>
      <c r="J38" s="25"/>
      <c r="K38" s="25" t="str">
        <f>"190,0"</f>
        <v>190,0</v>
      </c>
      <c r="L38" s="25" t="str">
        <f>"118,6360"</f>
        <v>118,6360</v>
      </c>
      <c r="M38" s="24" t="s">
        <v>538</v>
      </c>
    </row>
    <row r="39" spans="1:13">
      <c r="A39" s="25" t="s">
        <v>241</v>
      </c>
      <c r="B39" s="24" t="s">
        <v>539</v>
      </c>
      <c r="C39" s="24" t="s">
        <v>540</v>
      </c>
      <c r="D39" s="24" t="s">
        <v>531</v>
      </c>
      <c r="E39" s="24" t="s">
        <v>1105</v>
      </c>
      <c r="F39" s="24" t="s">
        <v>1047</v>
      </c>
      <c r="G39" s="26" t="s">
        <v>80</v>
      </c>
      <c r="H39" s="26" t="s">
        <v>179</v>
      </c>
      <c r="I39" s="27" t="s">
        <v>370</v>
      </c>
      <c r="J39" s="25"/>
      <c r="K39" s="25" t="str">
        <f>"187,5"</f>
        <v>187,5</v>
      </c>
      <c r="L39" s="25" t="str">
        <f>"115,7625"</f>
        <v>115,7625</v>
      </c>
      <c r="M39" s="24"/>
    </row>
    <row r="40" spans="1:13">
      <c r="A40" s="25" t="s">
        <v>471</v>
      </c>
      <c r="B40" s="24" t="s">
        <v>186</v>
      </c>
      <c r="C40" s="24" t="s">
        <v>187</v>
      </c>
      <c r="D40" s="24" t="s">
        <v>188</v>
      </c>
      <c r="E40" s="24" t="s">
        <v>1105</v>
      </c>
      <c r="F40" s="24" t="s">
        <v>1047</v>
      </c>
      <c r="G40" s="26" t="s">
        <v>79</v>
      </c>
      <c r="H40" s="26" t="s">
        <v>189</v>
      </c>
      <c r="I40" s="25"/>
      <c r="J40" s="25"/>
      <c r="K40" s="25" t="str">
        <f>"185,0"</f>
        <v>185,0</v>
      </c>
      <c r="L40" s="25" t="str">
        <f>"113,5715"</f>
        <v>113,5715</v>
      </c>
      <c r="M40" s="24"/>
    </row>
    <row r="41" spans="1:13">
      <c r="A41" s="25" t="s">
        <v>51</v>
      </c>
      <c r="B41" s="24" t="s">
        <v>524</v>
      </c>
      <c r="C41" s="24" t="s">
        <v>541</v>
      </c>
      <c r="D41" s="24" t="s">
        <v>165</v>
      </c>
      <c r="E41" s="24" t="s">
        <v>1106</v>
      </c>
      <c r="F41" s="24" t="s">
        <v>1071</v>
      </c>
      <c r="G41" s="26" t="s">
        <v>155</v>
      </c>
      <c r="H41" s="26" t="s">
        <v>141</v>
      </c>
      <c r="I41" s="27" t="s">
        <v>20</v>
      </c>
      <c r="J41" s="25"/>
      <c r="K41" s="25" t="str">
        <f>"207,5"</f>
        <v>207,5</v>
      </c>
      <c r="L41" s="25" t="str">
        <f>"126,9576"</f>
        <v>126,9576</v>
      </c>
      <c r="M41" s="24"/>
    </row>
    <row r="42" spans="1:13">
      <c r="A42" s="25" t="s">
        <v>237</v>
      </c>
      <c r="B42" s="24" t="s">
        <v>542</v>
      </c>
      <c r="C42" s="24" t="s">
        <v>543</v>
      </c>
      <c r="D42" s="24" t="s">
        <v>544</v>
      </c>
      <c r="E42" s="24" t="s">
        <v>1106</v>
      </c>
      <c r="F42" s="24" t="s">
        <v>1047</v>
      </c>
      <c r="G42" s="26" t="s">
        <v>150</v>
      </c>
      <c r="H42" s="26" t="s">
        <v>155</v>
      </c>
      <c r="I42" s="26" t="s">
        <v>156</v>
      </c>
      <c r="J42" s="25"/>
      <c r="K42" s="25" t="str">
        <f>"202,5"</f>
        <v>202,5</v>
      </c>
      <c r="L42" s="25" t="str">
        <f>"126,4627"</f>
        <v>126,4627</v>
      </c>
      <c r="M42" s="24"/>
    </row>
    <row r="43" spans="1:13">
      <c r="A43" s="25" t="s">
        <v>238</v>
      </c>
      <c r="B43" s="24" t="s">
        <v>545</v>
      </c>
      <c r="C43" s="24" t="s">
        <v>546</v>
      </c>
      <c r="D43" s="24" t="s">
        <v>547</v>
      </c>
      <c r="E43" s="24" t="s">
        <v>1106</v>
      </c>
      <c r="F43" s="24" t="s">
        <v>1047</v>
      </c>
      <c r="G43" s="26" t="s">
        <v>28</v>
      </c>
      <c r="H43" s="26" t="s">
        <v>74</v>
      </c>
      <c r="I43" s="26" t="s">
        <v>78</v>
      </c>
      <c r="J43" s="25"/>
      <c r="K43" s="25" t="str">
        <f>"160,0"</f>
        <v>160,0</v>
      </c>
      <c r="L43" s="25" t="str">
        <f>"98,9242"</f>
        <v>98,9242</v>
      </c>
      <c r="M43" s="24" t="s">
        <v>548</v>
      </c>
    </row>
    <row r="44" spans="1:13">
      <c r="A44" s="10" t="s">
        <v>51</v>
      </c>
      <c r="B44" s="9" t="s">
        <v>549</v>
      </c>
      <c r="C44" s="9" t="s">
        <v>550</v>
      </c>
      <c r="D44" s="9" t="s">
        <v>551</v>
      </c>
      <c r="E44" s="9" t="s">
        <v>1109</v>
      </c>
      <c r="F44" s="9" t="s">
        <v>1080</v>
      </c>
      <c r="G44" s="21" t="s">
        <v>140</v>
      </c>
      <c r="H44" s="21" t="s">
        <v>155</v>
      </c>
      <c r="I44" s="20" t="s">
        <v>38</v>
      </c>
      <c r="J44" s="10"/>
      <c r="K44" s="10" t="str">
        <f>"200,0"</f>
        <v>200,0</v>
      </c>
      <c r="L44" s="10" t="str">
        <f>"156,0443"</f>
        <v>156,0443</v>
      </c>
      <c r="M44" s="9"/>
    </row>
    <row r="45" spans="1:13">
      <c r="B45" s="5" t="s">
        <v>52</v>
      </c>
    </row>
    <row r="46" spans="1:13" ht="16">
      <c r="A46" s="33" t="s">
        <v>30</v>
      </c>
      <c r="B46" s="33"/>
      <c r="C46" s="33"/>
      <c r="D46" s="33"/>
      <c r="E46" s="33"/>
      <c r="F46" s="33"/>
      <c r="G46" s="33"/>
      <c r="H46" s="33"/>
      <c r="I46" s="33"/>
      <c r="J46" s="33"/>
    </row>
    <row r="47" spans="1:13">
      <c r="A47" s="8" t="s">
        <v>51</v>
      </c>
      <c r="B47" s="7" t="s">
        <v>552</v>
      </c>
      <c r="C47" s="7" t="s">
        <v>553</v>
      </c>
      <c r="D47" s="7" t="s">
        <v>554</v>
      </c>
      <c r="E47" s="7" t="s">
        <v>1105</v>
      </c>
      <c r="F47" s="7" t="s">
        <v>1081</v>
      </c>
      <c r="G47" s="18" t="s">
        <v>155</v>
      </c>
      <c r="H47" s="18" t="s">
        <v>141</v>
      </c>
      <c r="I47" s="18" t="s">
        <v>193</v>
      </c>
      <c r="J47" s="8"/>
      <c r="K47" s="8" t="str">
        <f>"212,5"</f>
        <v>212,5</v>
      </c>
      <c r="L47" s="8" t="str">
        <f>"125,9700"</f>
        <v>125,9700</v>
      </c>
      <c r="M47" s="7" t="s">
        <v>555</v>
      </c>
    </row>
    <row r="48" spans="1:13">
      <c r="A48" s="25" t="s">
        <v>237</v>
      </c>
      <c r="B48" s="24" t="s">
        <v>556</v>
      </c>
      <c r="C48" s="24" t="s">
        <v>557</v>
      </c>
      <c r="D48" s="24" t="s">
        <v>558</v>
      </c>
      <c r="E48" s="24" t="s">
        <v>1105</v>
      </c>
      <c r="F48" s="24" t="s">
        <v>1047</v>
      </c>
      <c r="G48" s="26" t="s">
        <v>370</v>
      </c>
      <c r="H48" s="26" t="s">
        <v>156</v>
      </c>
      <c r="I48" s="27" t="s">
        <v>141</v>
      </c>
      <c r="J48" s="25"/>
      <c r="K48" s="25" t="str">
        <f>"202,5"</f>
        <v>202,5</v>
      </c>
      <c r="L48" s="25" t="str">
        <f>"120,1838"</f>
        <v>120,1838</v>
      </c>
      <c r="M48" s="24"/>
    </row>
    <row r="49" spans="1:13">
      <c r="A49" s="25" t="s">
        <v>238</v>
      </c>
      <c r="B49" s="24" t="s">
        <v>559</v>
      </c>
      <c r="C49" s="24" t="s">
        <v>560</v>
      </c>
      <c r="D49" s="24" t="s">
        <v>561</v>
      </c>
      <c r="E49" s="24" t="s">
        <v>1105</v>
      </c>
      <c r="F49" s="24" t="s">
        <v>1056</v>
      </c>
      <c r="G49" s="26" t="s">
        <v>189</v>
      </c>
      <c r="H49" s="26" t="s">
        <v>370</v>
      </c>
      <c r="I49" s="27" t="s">
        <v>140</v>
      </c>
      <c r="J49" s="25"/>
      <c r="K49" s="25" t="str">
        <f>"192,5"</f>
        <v>192,5</v>
      </c>
      <c r="L49" s="25" t="str">
        <f>"114,2102"</f>
        <v>114,2102</v>
      </c>
      <c r="M49" s="24"/>
    </row>
    <row r="50" spans="1:13">
      <c r="A50" s="25" t="s">
        <v>239</v>
      </c>
      <c r="B50" s="24" t="s">
        <v>562</v>
      </c>
      <c r="C50" s="24" t="s">
        <v>563</v>
      </c>
      <c r="D50" s="24" t="s">
        <v>564</v>
      </c>
      <c r="E50" s="24" t="s">
        <v>1105</v>
      </c>
      <c r="F50" s="24" t="s">
        <v>1087</v>
      </c>
      <c r="G50" s="26" t="s">
        <v>178</v>
      </c>
      <c r="H50" s="26" t="s">
        <v>150</v>
      </c>
      <c r="I50" s="25"/>
      <c r="J50" s="25"/>
      <c r="K50" s="25" t="str">
        <f>"190,0"</f>
        <v>190,0</v>
      </c>
      <c r="L50" s="25" t="str">
        <f>"113,2780"</f>
        <v>113,2780</v>
      </c>
      <c r="M50" s="24" t="s">
        <v>62</v>
      </c>
    </row>
    <row r="51" spans="1:13">
      <c r="A51" s="25" t="s">
        <v>240</v>
      </c>
      <c r="B51" s="24" t="s">
        <v>565</v>
      </c>
      <c r="C51" s="24" t="s">
        <v>566</v>
      </c>
      <c r="D51" s="24" t="s">
        <v>567</v>
      </c>
      <c r="E51" s="24" t="s">
        <v>1105</v>
      </c>
      <c r="F51" s="24" t="s">
        <v>1047</v>
      </c>
      <c r="G51" s="26" t="s">
        <v>211</v>
      </c>
      <c r="H51" s="26" t="s">
        <v>133</v>
      </c>
      <c r="I51" s="26" t="s">
        <v>178</v>
      </c>
      <c r="J51" s="25"/>
      <c r="K51" s="25" t="str">
        <f>"182,5"</f>
        <v>182,5</v>
      </c>
      <c r="L51" s="25" t="str">
        <f>"108,4597"</f>
        <v>108,4597</v>
      </c>
      <c r="M51" s="24"/>
    </row>
    <row r="52" spans="1:13">
      <c r="A52" s="25" t="s">
        <v>241</v>
      </c>
      <c r="B52" s="24" t="s">
        <v>568</v>
      </c>
      <c r="C52" s="24" t="s">
        <v>569</v>
      </c>
      <c r="D52" s="24" t="s">
        <v>570</v>
      </c>
      <c r="E52" s="24" t="s">
        <v>1105</v>
      </c>
      <c r="F52" s="24" t="s">
        <v>1047</v>
      </c>
      <c r="G52" s="26" t="s">
        <v>79</v>
      </c>
      <c r="H52" s="27" t="s">
        <v>133</v>
      </c>
      <c r="I52" s="27" t="s">
        <v>133</v>
      </c>
      <c r="J52" s="25"/>
      <c r="K52" s="25" t="str">
        <f>"170,0"</f>
        <v>170,0</v>
      </c>
      <c r="L52" s="25" t="str">
        <f>"102,8500"</f>
        <v>102,8500</v>
      </c>
      <c r="M52" s="24"/>
    </row>
    <row r="53" spans="1:13">
      <c r="A53" s="25" t="s">
        <v>51</v>
      </c>
      <c r="B53" s="24" t="s">
        <v>571</v>
      </c>
      <c r="C53" s="24" t="s">
        <v>572</v>
      </c>
      <c r="D53" s="24" t="s">
        <v>33</v>
      </c>
      <c r="E53" s="24" t="s">
        <v>1106</v>
      </c>
      <c r="F53" s="24" t="s">
        <v>1053</v>
      </c>
      <c r="G53" s="26" t="s">
        <v>28</v>
      </c>
      <c r="H53" s="26" t="s">
        <v>37</v>
      </c>
      <c r="I53" s="25"/>
      <c r="J53" s="25"/>
      <c r="K53" s="25" t="str">
        <f>"150,0"</f>
        <v>150,0</v>
      </c>
      <c r="L53" s="25" t="str">
        <f>"95,3364"</f>
        <v>95,3364</v>
      </c>
      <c r="M53" s="24"/>
    </row>
    <row r="54" spans="1:13">
      <c r="A54" s="10" t="s">
        <v>51</v>
      </c>
      <c r="B54" s="9" t="s">
        <v>573</v>
      </c>
      <c r="C54" s="9" t="s">
        <v>574</v>
      </c>
      <c r="D54" s="9" t="s">
        <v>91</v>
      </c>
      <c r="E54" s="9" t="s">
        <v>1108</v>
      </c>
      <c r="F54" s="9" t="s">
        <v>1047</v>
      </c>
      <c r="G54" s="21" t="s">
        <v>19</v>
      </c>
      <c r="H54" s="21" t="s">
        <v>37</v>
      </c>
      <c r="I54" s="21" t="s">
        <v>78</v>
      </c>
      <c r="J54" s="10"/>
      <c r="K54" s="10" t="str">
        <f>"160,0"</f>
        <v>160,0</v>
      </c>
      <c r="L54" s="10" t="str">
        <f>"139,1443"</f>
        <v>139,1443</v>
      </c>
      <c r="M54" s="9"/>
    </row>
    <row r="55" spans="1:13">
      <c r="B55" s="5" t="s">
        <v>52</v>
      </c>
    </row>
    <row r="56" spans="1:13" ht="16">
      <c r="A56" s="33" t="s">
        <v>212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3">
      <c r="A57" s="8" t="s">
        <v>51</v>
      </c>
      <c r="B57" s="7" t="s">
        <v>575</v>
      </c>
      <c r="C57" s="7" t="s">
        <v>576</v>
      </c>
      <c r="D57" s="7" t="s">
        <v>577</v>
      </c>
      <c r="E57" s="7" t="s">
        <v>1105</v>
      </c>
      <c r="F57" s="7" t="s">
        <v>1047</v>
      </c>
      <c r="G57" s="18" t="s">
        <v>370</v>
      </c>
      <c r="H57" s="18" t="s">
        <v>156</v>
      </c>
      <c r="I57" s="19" t="s">
        <v>141</v>
      </c>
      <c r="J57" s="8"/>
      <c r="K57" s="8" t="str">
        <f>"202,5"</f>
        <v>202,5</v>
      </c>
      <c r="L57" s="8" t="str">
        <f>"116,0325"</f>
        <v>116,0325</v>
      </c>
      <c r="M57" s="7" t="s">
        <v>62</v>
      </c>
    </row>
    <row r="58" spans="1:13">
      <c r="A58" s="25" t="s">
        <v>470</v>
      </c>
      <c r="B58" s="24" t="s">
        <v>578</v>
      </c>
      <c r="C58" s="24" t="s">
        <v>579</v>
      </c>
      <c r="D58" s="24" t="s">
        <v>580</v>
      </c>
      <c r="E58" s="24" t="s">
        <v>1105</v>
      </c>
      <c r="F58" s="24" t="s">
        <v>1047</v>
      </c>
      <c r="G58" s="27" t="s">
        <v>26</v>
      </c>
      <c r="H58" s="27" t="s">
        <v>26</v>
      </c>
      <c r="I58" s="27" t="s">
        <v>26</v>
      </c>
      <c r="J58" s="25"/>
      <c r="K58" s="25" t="str">
        <f>"0.00"</f>
        <v>0.00</v>
      </c>
      <c r="L58" s="25" t="str">
        <f>"0,0000"</f>
        <v>0,0000</v>
      </c>
      <c r="M58" s="24"/>
    </row>
    <row r="59" spans="1:13">
      <c r="A59" s="10" t="s">
        <v>51</v>
      </c>
      <c r="B59" s="9" t="s">
        <v>581</v>
      </c>
      <c r="C59" s="9" t="s">
        <v>582</v>
      </c>
      <c r="D59" s="9" t="s">
        <v>583</v>
      </c>
      <c r="E59" s="9" t="s">
        <v>1109</v>
      </c>
      <c r="F59" s="9" t="s">
        <v>1047</v>
      </c>
      <c r="G59" s="21" t="s">
        <v>150</v>
      </c>
      <c r="H59" s="21" t="s">
        <v>140</v>
      </c>
      <c r="I59" s="10"/>
      <c r="J59" s="10"/>
      <c r="K59" s="10" t="str">
        <f>"195,0"</f>
        <v>195,0</v>
      </c>
      <c r="L59" s="10" t="str">
        <f>"145,6285"</f>
        <v>145,6285</v>
      </c>
      <c r="M59" s="9" t="s">
        <v>162</v>
      </c>
    </row>
    <row r="60" spans="1:13">
      <c r="B60" s="5" t="s">
        <v>52</v>
      </c>
    </row>
    <row r="61" spans="1:13" ht="16">
      <c r="A61" s="33" t="s">
        <v>219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3">
      <c r="A62" s="8" t="s">
        <v>51</v>
      </c>
      <c r="B62" s="7" t="s">
        <v>584</v>
      </c>
      <c r="C62" s="7" t="s">
        <v>585</v>
      </c>
      <c r="D62" s="7" t="s">
        <v>586</v>
      </c>
      <c r="E62" s="7" t="s">
        <v>1105</v>
      </c>
      <c r="F62" s="7" t="s">
        <v>1047</v>
      </c>
      <c r="G62" s="19" t="s">
        <v>26</v>
      </c>
      <c r="H62" s="18" t="s">
        <v>26</v>
      </c>
      <c r="I62" s="18" t="s">
        <v>135</v>
      </c>
      <c r="J62" s="8"/>
      <c r="K62" s="8" t="str">
        <f>"217,5"</f>
        <v>217,5</v>
      </c>
      <c r="L62" s="8" t="str">
        <f>"120,3862"</f>
        <v>120,3862</v>
      </c>
      <c r="M62" s="7" t="s">
        <v>587</v>
      </c>
    </row>
    <row r="63" spans="1:13">
      <c r="A63" s="25" t="s">
        <v>51</v>
      </c>
      <c r="B63" s="24" t="s">
        <v>588</v>
      </c>
      <c r="C63" s="24" t="s">
        <v>589</v>
      </c>
      <c r="D63" s="24" t="s">
        <v>590</v>
      </c>
      <c r="E63" s="24" t="s">
        <v>1106</v>
      </c>
      <c r="F63" s="24" t="s">
        <v>1074</v>
      </c>
      <c r="G63" s="26" t="s">
        <v>133</v>
      </c>
      <c r="H63" s="26" t="s">
        <v>80</v>
      </c>
      <c r="I63" s="27" t="s">
        <v>189</v>
      </c>
      <c r="J63" s="25"/>
      <c r="K63" s="25" t="str">
        <f>"180,0"</f>
        <v>180,0</v>
      </c>
      <c r="L63" s="25" t="str">
        <f>"100,5660"</f>
        <v>100,5660</v>
      </c>
      <c r="M63" s="24"/>
    </row>
    <row r="64" spans="1:13">
      <c r="A64" s="10" t="s">
        <v>237</v>
      </c>
      <c r="B64" s="9" t="s">
        <v>591</v>
      </c>
      <c r="C64" s="9" t="s">
        <v>592</v>
      </c>
      <c r="D64" s="9" t="s">
        <v>593</v>
      </c>
      <c r="E64" s="9" t="s">
        <v>1106</v>
      </c>
      <c r="F64" s="9" t="s">
        <v>1047</v>
      </c>
      <c r="G64" s="21" t="s">
        <v>74</v>
      </c>
      <c r="H64" s="21" t="s">
        <v>210</v>
      </c>
      <c r="I64" s="21" t="s">
        <v>211</v>
      </c>
      <c r="J64" s="10"/>
      <c r="K64" s="10" t="str">
        <f>"167,5"</f>
        <v>167,5</v>
      </c>
      <c r="L64" s="10" t="str">
        <f>"98,9131"</f>
        <v>98,9131</v>
      </c>
      <c r="M64" s="9" t="s">
        <v>1001</v>
      </c>
    </row>
    <row r="65" spans="2:6">
      <c r="B65" s="5" t="s">
        <v>52</v>
      </c>
    </row>
    <row r="67" spans="2:6">
      <c r="B67" s="5" t="s">
        <v>52</v>
      </c>
    </row>
    <row r="68" spans="2:6" ht="18">
      <c r="B68" s="13" t="s">
        <v>39</v>
      </c>
      <c r="C68" s="13"/>
    </row>
    <row r="69" spans="2:6" ht="16">
      <c r="B69" s="14" t="s">
        <v>40</v>
      </c>
      <c r="C69" s="14"/>
    </row>
    <row r="70" spans="2:6" ht="14">
      <c r="B70" s="15"/>
      <c r="C70" s="16" t="s">
        <v>41</v>
      </c>
    </row>
    <row r="71" spans="2:6" ht="14">
      <c r="B71" s="17" t="s">
        <v>42</v>
      </c>
      <c r="C71" s="17" t="s">
        <v>43</v>
      </c>
      <c r="D71" s="17" t="s">
        <v>44</v>
      </c>
      <c r="E71" s="17" t="s">
        <v>485</v>
      </c>
      <c r="F71" s="17" t="s">
        <v>46</v>
      </c>
    </row>
    <row r="72" spans="2:6">
      <c r="B72" s="5" t="s">
        <v>152</v>
      </c>
      <c r="C72" s="5" t="s">
        <v>41</v>
      </c>
      <c r="D72" s="6" t="s">
        <v>235</v>
      </c>
      <c r="E72" s="6" t="s">
        <v>141</v>
      </c>
      <c r="F72" s="6" t="s">
        <v>594</v>
      </c>
    </row>
    <row r="73" spans="2:6">
      <c r="B73" s="5" t="s">
        <v>493</v>
      </c>
      <c r="C73" s="5" t="s">
        <v>41</v>
      </c>
      <c r="D73" s="6" t="s">
        <v>47</v>
      </c>
      <c r="E73" s="6" t="s">
        <v>189</v>
      </c>
      <c r="F73" s="6" t="s">
        <v>595</v>
      </c>
    </row>
    <row r="74" spans="2:6">
      <c r="B74" s="5" t="s">
        <v>526</v>
      </c>
      <c r="C74" s="5" t="s">
        <v>41</v>
      </c>
      <c r="D74" s="6" t="s">
        <v>97</v>
      </c>
      <c r="E74" s="6" t="s">
        <v>38</v>
      </c>
      <c r="F74" s="6" t="s">
        <v>596</v>
      </c>
    </row>
    <row r="76" spans="2:6" ht="14">
      <c r="B76" s="15"/>
      <c r="C76" s="16" t="s">
        <v>49</v>
      </c>
    </row>
    <row r="77" spans="2:6" ht="14">
      <c r="B77" s="17" t="s">
        <v>42</v>
      </c>
      <c r="C77" s="17" t="s">
        <v>43</v>
      </c>
      <c r="D77" s="17" t="s">
        <v>44</v>
      </c>
      <c r="E77" s="17" t="s">
        <v>485</v>
      </c>
      <c r="F77" s="17" t="s">
        <v>46</v>
      </c>
    </row>
    <row r="78" spans="2:6">
      <c r="B78" s="5" t="s">
        <v>549</v>
      </c>
      <c r="C78" s="5" t="s">
        <v>236</v>
      </c>
      <c r="D78" s="6" t="s">
        <v>97</v>
      </c>
      <c r="E78" s="6" t="s">
        <v>155</v>
      </c>
      <c r="F78" s="6" t="s">
        <v>597</v>
      </c>
    </row>
    <row r="79" spans="2:6">
      <c r="B79" s="5" t="s">
        <v>581</v>
      </c>
      <c r="C79" s="5" t="s">
        <v>236</v>
      </c>
      <c r="D79" s="6" t="s">
        <v>233</v>
      </c>
      <c r="E79" s="6" t="s">
        <v>140</v>
      </c>
      <c r="F79" s="6" t="s">
        <v>598</v>
      </c>
    </row>
    <row r="80" spans="2:6">
      <c r="B80" s="5" t="s">
        <v>573</v>
      </c>
      <c r="C80" s="5" t="s">
        <v>234</v>
      </c>
      <c r="D80" s="6" t="s">
        <v>48</v>
      </c>
      <c r="E80" s="6" t="s">
        <v>78</v>
      </c>
      <c r="F80" s="6" t="s">
        <v>599</v>
      </c>
    </row>
    <row r="81" spans="2:2">
      <c r="B81" s="5" t="s">
        <v>52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56:J56"/>
    <mergeCell ref="A61:J61"/>
    <mergeCell ref="B3:B4"/>
    <mergeCell ref="A8:J8"/>
    <mergeCell ref="A12:J12"/>
    <mergeCell ref="A15:J15"/>
    <mergeCell ref="A21:J21"/>
    <mergeCell ref="A32:J32"/>
    <mergeCell ref="A46:J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1640625" style="5" customWidth="1"/>
    <col min="14" max="16384" width="9.1640625" style="3"/>
  </cols>
  <sheetData>
    <row r="1" spans="1:13" s="2" customFormat="1" ht="29" customHeight="1">
      <c r="A1" s="44" t="s">
        <v>1017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1101</v>
      </c>
      <c r="B3" s="34" t="s">
        <v>0</v>
      </c>
      <c r="C3" s="54" t="s">
        <v>1102</v>
      </c>
      <c r="D3" s="54" t="s">
        <v>5</v>
      </c>
      <c r="E3" s="38" t="s">
        <v>1103</v>
      </c>
      <c r="F3" s="38" t="s">
        <v>6</v>
      </c>
      <c r="G3" s="38" t="s">
        <v>8</v>
      </c>
      <c r="H3" s="38"/>
      <c r="I3" s="38"/>
      <c r="J3" s="38"/>
      <c r="K3" s="38" t="s">
        <v>487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2" t="s">
        <v>51</v>
      </c>
      <c r="B6" s="11" t="s">
        <v>814</v>
      </c>
      <c r="C6" s="11" t="s">
        <v>815</v>
      </c>
      <c r="D6" s="11" t="s">
        <v>816</v>
      </c>
      <c r="E6" s="11" t="s">
        <v>1105</v>
      </c>
      <c r="F6" s="11" t="s">
        <v>1047</v>
      </c>
      <c r="G6" s="23" t="s">
        <v>185</v>
      </c>
      <c r="H6" s="22" t="s">
        <v>185</v>
      </c>
      <c r="I6" s="23" t="s">
        <v>80</v>
      </c>
      <c r="J6" s="12"/>
      <c r="K6" s="12" t="str">
        <f>"172,5"</f>
        <v>172,5</v>
      </c>
      <c r="L6" s="12" t="str">
        <f>"116,7653"</f>
        <v>116,7653</v>
      </c>
      <c r="M6" s="11" t="s">
        <v>62</v>
      </c>
    </row>
    <row r="7" spans="1:13">
      <c r="B7" s="5" t="s">
        <v>52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 ДК</vt:lpstr>
      <vt:lpstr>WEPF Жим софт однопетельная ДК</vt:lpstr>
      <vt:lpstr>WEPF Жим софт однопетельная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2021-10-30T18:27:06Z</dcterms:modified>
</cp:coreProperties>
</file>