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firstSheet="16" activeTab="24"/>
  </bookViews>
  <sheets>
    <sheet name="Лист1" sheetId="1" r:id="rId1"/>
    <sheet name="Лист2" sheetId="2" r:id="rId2"/>
    <sheet name="Лист3" sheetId="3" r:id="rId3"/>
    <sheet name="«Excalibur»" sheetId="4" r:id="rId4"/>
    <sheet name="«Rus bullet»" sheetId="5" r:id="rId5"/>
    <sheet name="«Rus brick»" sheetId="6" r:id="rId6"/>
    <sheet name="«Rus HUB»" sheetId="7" r:id="rId7"/>
    <sheet name="«Rus Axle»" sheetId="8" r:id="rId8"/>
    <sheet name="AWPC MP soft eq. BP" sheetId="10" r:id="rId9"/>
    <sheet name="«Russian Roullette»" sheetId="9" r:id="rId10"/>
    <sheet name="AWPC MP soft eq. BP (2)" sheetId="13" r:id="rId11"/>
    <sheet name="MR BP 1 bw. AWPC" sheetId="14" r:id="rId12"/>
    <sheet name="MR BP 1 bw. WPC" sheetId="15" r:id="rId13"/>
    <sheet name="Лист34" sheetId="16" r:id="rId14"/>
    <sheet name="WPA RAW PP" sheetId="32" r:id="rId15"/>
    <sheet name="AWPA RAW PP" sheetId="17" r:id="rId16"/>
    <sheet name="WPA SC" sheetId="18" r:id="rId17"/>
    <sheet name="AWPA SC" sheetId="19" r:id="rId18"/>
    <sheet name="WPA OB" sheetId="20" r:id="rId19"/>
    <sheet name="AWPA OB" sheetId="21" r:id="rId20"/>
    <sheet name="AWPA m.ply PL" sheetId="22" r:id="rId21"/>
    <sheet name="AWPA raw PL" sheetId="23" r:id="rId22"/>
    <sheet name="AWPA raw BP" sheetId="24" r:id="rId23"/>
    <sheet name="AWPA m.ply DL" sheetId="25" r:id="rId24"/>
    <sheet name="AWPA raw DL" sheetId="26" r:id="rId25"/>
    <sheet name="WPA raw PL" sheetId="27" r:id="rId26"/>
    <sheet name="WPA raw BP" sheetId="28" r:id="rId27"/>
    <sheet name="WPA m.ply DL" sheetId="29" r:id="rId28"/>
    <sheet name="WPA st.ply DL" sheetId="30" r:id="rId29"/>
    <sheet name="WPA raw DL" sheetId="31" r:id="rId30"/>
  </sheets>
  <definedNames>
    <definedName name="_xlnm._FilterDatabase" localSheetId="9" hidden="1">'«Russian Roullette»'!$A$1:$J$3</definedName>
    <definedName name="_xlnm._FilterDatabase" localSheetId="12" hidden="1">'MR BP 1 bw. WPC'!$A$1:$I$3</definedName>
    <definedName name="_xlnm._FilterDatabase" localSheetId="29" hidden="1">'WPA raw DL'!$A$1:$K$3</definedName>
    <definedName name="_xlnm._FilterDatabase" localSheetId="14" hidden="1">'WPA RAW PP'!$A$1:$O$3</definedName>
  </definedNames>
  <calcPr calcId="144525"/>
</workbook>
</file>

<file path=xl/sharedStrings.xml><?xml version="1.0" encoding="utf-8"?>
<sst xmlns="http://schemas.openxmlformats.org/spreadsheetml/2006/main" count="2580" uniqueCount="620">
  <si>
    <t>WORLD CHAMPIONS CUP WPA/AWPA/WAA-2021
«Excalibur»
Kursk 21 - 22 august 2021</t>
  </si>
  <si>
    <t>Name</t>
  </si>
  <si>
    <t>Age Categoty
Bith date/Age</t>
  </si>
  <si>
    <t>Body
weight</t>
  </si>
  <si>
    <t>Gloss</t>
  </si>
  <si>
    <t>Team</t>
  </si>
  <si>
    <t>Town/Region</t>
  </si>
  <si>
    <t>Armlift</t>
  </si>
  <si>
    <t>Result</t>
  </si>
  <si>
    <t>Body Weight Category  80</t>
  </si>
  <si>
    <t>1. Umerenkov Daniil</t>
  </si>
  <si>
    <t>Junior (01.03.2004)/17</t>
  </si>
  <si>
    <t>75,00</t>
  </si>
  <si>
    <t>lichno</t>
  </si>
  <si>
    <t>Kursk/Kurskaya oblast</t>
  </si>
  <si>
    <t>50,0</t>
  </si>
  <si>
    <t>75,0</t>
  </si>
  <si>
    <t>85,0</t>
  </si>
  <si>
    <t>="75,0"</t>
  </si>
  <si>
    <t>="51,6412"</t>
  </si>
  <si>
    <t>Open (01.03.2004)/17</t>
  </si>
  <si>
    <t>1. Krikunov Yuriy</t>
  </si>
  <si>
    <t>Master 40+ (25.05.1957)/64</t>
  </si>
  <si>
    <t>73,40</t>
  </si>
  <si>
    <t>Vladivostok/Primorskiy kray</t>
  </si>
  <si>
    <t>60,0</t>
  </si>
  <si>
    <t>65,0</t>
  </si>
  <si>
    <t>70,0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</si>
  <si>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</si>
  <si>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</si>
  <si>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</si>
  <si>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</si>
  <si>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</si>
  <si>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</si>
  <si>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List absolute winners</t>
  </si>
  <si>
    <t>Man</t>
  </si>
  <si>
    <t>Junior</t>
  </si>
  <si>
    <t>Age class</t>
  </si>
  <si>
    <t>WC</t>
  </si>
  <si>
    <t>Best</t>
  </si>
  <si>
    <t>Umerenkov Daniil</t>
  </si>
  <si>
    <t>80</t>
  </si>
  <si>
    <t>51,6412</t>
  </si>
  <si>
    <t>Open</t>
  </si>
  <si>
    <t>Master</t>
  </si>
  <si>
    <t>Krikunov Yuriy</t>
  </si>
  <si>
    <t>Master 40+</t>
  </si>
  <si>
    <t>76,0978</t>
  </si>
  <si>
    <t>WORLD CHAMPIONS CUP WPA/AWPA/WAA-2021
«Russian bullet»
Kursk 21 - 22 august 2021</t>
  </si>
  <si>
    <t>Deadlift</t>
  </si>
  <si>
    <t>WORLD CHAMPIONS CUP WPA/AWPA/WAA-2021
«Russian brick»
Kursk 21 - 22 august 2021</t>
  </si>
  <si>
    <t>29,0</t>
  </si>
  <si>
    <t>39,0</t>
  </si>
  <si>
    <t>49,0</t>
  </si>
  <si>
    <t>59,0</t>
  </si>
  <si>
    <t>="49,0"</t>
  </si>
  <si>
    <t>="33,7389"</t>
  </si>
  <si>
    <t>33,7389</t>
  </si>
  <si>
    <t>49,7172</t>
  </si>
  <si>
    <t>WORLD CHAMPIONS CUP WPA/AWPA/WAA-2021
«Russian HUB»
Kursk 21 - 22 august 2021</t>
  </si>
  <si>
    <t>12,5</t>
  </si>
  <si>
    <t>17,5</t>
  </si>
  <si>
    <t>="12,5"</t>
  </si>
  <si>
    <t>="8,6069"</t>
  </si>
  <si>
    <t>10,0</t>
  </si>
  <si>
    <t>15,0</t>
  </si>
  <si>
    <t>20,0</t>
  </si>
  <si>
    <t>8,6069</t>
  </si>
  <si>
    <t>15,2196</t>
  </si>
  <si>
    <t>WORLD CHAMPIONS CUP WPA/AWPA/WAA-2021
«Russian Axle»
Kursk 21 - 22 august 2021</t>
  </si>
  <si>
    <t>Body Weight Category  60</t>
  </si>
  <si>
    <t>1. Enina Elena</t>
  </si>
  <si>
    <t>Open (10.05.1989)/32</t>
  </si>
  <si>
    <t>52,00</t>
  </si>
  <si>
    <t>80,0</t>
  </si>
  <si>
    <t>="85,0"</t>
  </si>
  <si>
    <t>="94,1460"</t>
  </si>
  <si>
    <t>Body Weight Category  70</t>
  </si>
  <si>
    <t>1. Lapshina Inna</t>
  </si>
  <si>
    <t>Master 40+ (12.05.1981)/40</t>
  </si>
  <si>
    <t>64,90</t>
  </si>
  <si>
    <t>Belgorodskaya oblast</t>
  </si>
  <si>
    <t>Belgorod/Belgorodskaya oblast</t>
  </si>
  <si>
    <t>40,0</t>
  </si>
  <si>
    <t>1. Tolmacheva Olga</t>
  </si>
  <si>
    <t>Master 40+ (17.06.1980)/41</t>
  </si>
  <si>
    <t>72,80</t>
  </si>
  <si>
    <t>Nosorog</t>
  </si>
  <si>
    <t>115,0</t>
  </si>
  <si>
    <t>120,0</t>
  </si>
  <si>
    <t>125,0</t>
  </si>
  <si>
    <t>130,0</t>
  </si>
  <si>
    <t>Women</t>
  </si>
  <si>
    <t>Enina Elena</t>
  </si>
  <si>
    <t>60</t>
  </si>
  <si>
    <t>94,1460</t>
  </si>
  <si>
    <t>Tolmacheva Olga</t>
  </si>
  <si>
    <t>68,9264</t>
  </si>
  <si>
    <t>Lapshina Inna</t>
  </si>
  <si>
    <t>70</t>
  </si>
  <si>
    <t>64,9425</t>
  </si>
  <si>
    <t>126,8297</t>
  </si>
  <si>
    <t>WORLD CHAMPIONS CUP WPA/AWPA/WAA-2021
AWPC st. soft eq. benchpress
Kursk 20 - 22 august 2021</t>
  </si>
  <si>
    <t>Age Class
Bith date/Age</t>
  </si>
  <si>
    <t>Benchpress</t>
  </si>
  <si>
    <t>Pts</t>
  </si>
  <si>
    <t>Coach</t>
  </si>
  <si>
    <t>Rec</t>
  </si>
  <si>
    <t>Body Weight Category  75</t>
  </si>
  <si>
    <t>1. Volkova Ekaterina</t>
  </si>
  <si>
    <t>Open (10.10.1990)/30</t>
  </si>
  <si>
    <t>74,20</t>
  </si>
  <si>
    <t>Zheleznogorsk/Kurskaya oblast</t>
  </si>
  <si>
    <t>107,5</t>
  </si>
  <si>
    <t>112,5</t>
  </si>
  <si>
    <t>117,5</t>
  </si>
  <si>
    <t>Body Weight Category  110</t>
  </si>
  <si>
    <t>1. Nadzha Dmitriy</t>
  </si>
  <si>
    <t>Open (10.10.1975)/45</t>
  </si>
  <si>
    <t>106,60</t>
  </si>
  <si>
    <t>Krasnodar/Krasnodarskiy kray</t>
  </si>
  <si>
    <t>260,0</t>
  </si>
  <si>
    <t>285,0</t>
  </si>
  <si>
    <t>Masters 45-49 (10.10.1975)/45</t>
  </si>
  <si>
    <t>Volkova Ekaterina</t>
  </si>
  <si>
    <t>75</t>
  </si>
  <si>
    <t>98,9526</t>
  </si>
  <si>
    <t>Nadzha Dmitriy</t>
  </si>
  <si>
    <t>110</t>
  </si>
  <si>
    <t>161,8230</t>
  </si>
  <si>
    <t>Masters</t>
  </si>
  <si>
    <t>Masters 45-49</t>
  </si>
  <si>
    <t>170,7233</t>
  </si>
  <si>
    <t>WORLD CHAMPIONS CUP WPA/AWPA/WAA-2021
«Russian Roullette»
Kursk 21 - 22 august 2021</t>
  </si>
  <si>
    <t>40,5</t>
  </si>
  <si>
    <t>63,0</t>
  </si>
  <si>
    <t>73,0</t>
  </si>
  <si>
    <t>="63,0"</t>
  </si>
  <si>
    <t>="43,3786"</t>
  </si>
  <si>
    <t>45,5</t>
  </si>
  <si>
    <t>50,5</t>
  </si>
  <si>
    <t>55,5</t>
  </si>
  <si>
    <t>60,5</t>
  </si>
  <si>
    <t>Body Weight Category  125</t>
  </si>
  <si>
    <t>1. Vitkevich Nikolay</t>
  </si>
  <si>
    <t>Open (27.09.1965)/55</t>
  </si>
  <si>
    <t>117,90</t>
  </si>
  <si>
    <t>Bryansk/Bryanskaya oblast</t>
  </si>
  <si>
    <t>53,0</t>
  </si>
  <si>
    <t>58,0</t>
  </si>
  <si>
    <t>Master 40+ (27.09.1965)/55</t>
  </si>
  <si>
    <t>43,3786</t>
  </si>
  <si>
    <t>Vitkevich Nikolay</t>
  </si>
  <si>
    <t>125</t>
  </si>
  <si>
    <t>32,0827</t>
  </si>
  <si>
    <t>56,3124</t>
  </si>
  <si>
    <t>39,3013</t>
  </si>
  <si>
    <t>WORLD CHAMPIONS CUP
Multy-repeat BP 1 bw. AWPC
Kursk 20 - 22 august 2021</t>
  </si>
  <si>
    <t>Multi.rpt. benchpress</t>
  </si>
  <si>
    <t>Tonnage</t>
  </si>
  <si>
    <t>Weight</t>
  </si>
  <si>
    <t>Rpt</t>
  </si>
  <si>
    <t>Body Weight Category  100</t>
  </si>
  <si>
    <t>1. Apazhev Zaur</t>
  </si>
  <si>
    <t>Open (22.09.1984)/36</t>
  </si>
  <si>
    <t>96,60</t>
  </si>
  <si>
    <t>KBR</t>
  </si>
  <si>
    <t>Shalushka/Kabardino-Balkariya respublika</t>
  </si>
  <si>
    <t>97,5</t>
  </si>
  <si>
    <t>28,0</t>
  </si>
  <si>
    <t>Apazhev Zaur</t>
  </si>
  <si>
    <t>100</t>
  </si>
  <si>
    <t>2730,0</t>
  </si>
  <si>
    <t>1611,2460</t>
  </si>
  <si>
    <t>WORLD CHAMPIONS CUP
Multy-repeat BP 1 bw. WPC
Kursk 20 - 22 august 2021</t>
  </si>
  <si>
    <t>Masters 60+ (25.05.1957)/64</t>
  </si>
  <si>
    <t>14,0</t>
  </si>
  <si>
    <t>Body Weight Category  82.5</t>
  </si>
  <si>
    <t>1. Ukhanov Igor</t>
  </si>
  <si>
    <t>Masters 50-59 (16.09.1968)/52</t>
  </si>
  <si>
    <t>78,90</t>
  </si>
  <si>
    <t>Lipetsk/Lipetskaya oblast</t>
  </si>
  <si>
    <t>32,0</t>
  </si>
  <si>
    <t>Ukhanov Igor</t>
  </si>
  <si>
    <t>Masters 50-59</t>
  </si>
  <si>
    <t>82.5</t>
  </si>
  <si>
    <t>2560,0</t>
  </si>
  <si>
    <t>1980,6118</t>
  </si>
  <si>
    <t>Masters 60+</t>
  </si>
  <si>
    <t>1050,0</t>
  </si>
  <si>
    <t>1065,3694</t>
  </si>
  <si>
    <t>Coef</t>
  </si>
  <si>
    <t>Town</t>
  </si>
  <si>
    <t>Total</t>
  </si>
  <si>
    <t>WORLD CHAMPIONS CUP WPA/AWPA/WAA-2021
WPA PUSH &amp; PULL RAW
Kursk 21 - 22 august 2021</t>
  </si>
  <si>
    <t>Shv/Mel</t>
  </si>
  <si>
    <t>Body Weight Category  67.5</t>
  </si>
  <si>
    <t>1. Shevchenko Ekaterina</t>
  </si>
  <si>
    <t>Open (07.07.1995)/26</t>
  </si>
  <si>
    <t>65,10</t>
  </si>
  <si>
    <t>Kurchatov/Kurskaya oblast</t>
  </si>
  <si>
    <t>77,5</t>
  </si>
  <si>
    <t>82,5</t>
  </si>
  <si>
    <t>137,5</t>
  </si>
  <si>
    <t>142,5</t>
  </si>
  <si>
    <t>147,5</t>
  </si>
  <si>
    <t>Totall</t>
  </si>
  <si>
    <t>Shevchenko Ekaterina</t>
  </si>
  <si>
    <t>67.5</t>
  </si>
  <si>
    <t>230,0</t>
  </si>
  <si>
    <t>184,7130</t>
  </si>
  <si>
    <t>WORLD CHAMPIONS CUP WPA/AWPA/WAA-2021
AWPA PUSH &amp; PULL RAW
Kursk 21 - 22 august 2021</t>
  </si>
  <si>
    <t>1. Savin Maksim</t>
  </si>
  <si>
    <t>Teen 13-15 (27.12.2007)/13</t>
  </si>
  <si>
    <t>35,0</t>
  </si>
  <si>
    <t>42,5</t>
  </si>
  <si>
    <t>72,5</t>
  </si>
  <si>
    <t>87,5</t>
  </si>
  <si>
    <t>1. Usachev Igor</t>
  </si>
  <si>
    <t>Masters 55-59 (06.06.1965)/56</t>
  </si>
  <si>
    <t>98,10</t>
  </si>
  <si>
    <t>135,0</t>
  </si>
  <si>
    <t>140,0</t>
  </si>
  <si>
    <t>145,0</t>
  </si>
  <si>
    <t>220,0</t>
  </si>
  <si>
    <t>235,0</t>
  </si>
  <si>
    <t>242,5</t>
  </si>
  <si>
    <t>Teen</t>
  </si>
  <si>
    <t>Savin Maksim</t>
  </si>
  <si>
    <t>Teen 13-15</t>
  </si>
  <si>
    <t>127,5</t>
  </si>
  <si>
    <t>84,7237</t>
  </si>
  <si>
    <t>Usachev Igor</t>
  </si>
  <si>
    <t>Masters 55-59</t>
  </si>
  <si>
    <t>387,5</t>
  </si>
  <si>
    <t>309,7005</t>
  </si>
  <si>
    <t>WORLD CHAMPIONS CUP WPA/AWPA/WAA-2021
WPA Strict Curl
Kursk 21 - 22 august 2021</t>
  </si>
  <si>
    <t>Biceps curl</t>
  </si>
  <si>
    <t>Body Weight Category  90</t>
  </si>
  <si>
    <t>1. Zinchenko Igor</t>
  </si>
  <si>
    <t>Open (16.02.1991)/30</t>
  </si>
  <si>
    <t>88,40</t>
  </si>
  <si>
    <t>57,5</t>
  </si>
  <si>
    <t>1. Efremochkin Nikolay</t>
  </si>
  <si>
    <t>Open (08.09.1994)/26</t>
  </si>
  <si>
    <t>90,40</t>
  </si>
  <si>
    <t>Zinchenko Igor</t>
  </si>
  <si>
    <t>90</t>
  </si>
  <si>
    <t>38,4670</t>
  </si>
  <si>
    <t>Efremochkin Nikolay</t>
  </si>
  <si>
    <t>37,9470</t>
  </si>
  <si>
    <t>WORLD CHAMPIONS CUP WPA/AWPA/WAA-2021
AWPA Strict Curl
Kursk 21 - 22 august 2021</t>
  </si>
  <si>
    <t>1. Girchuk Igor</t>
  </si>
  <si>
    <t>Open (05.07.1988)/33</t>
  </si>
  <si>
    <t>80,80</t>
  </si>
  <si>
    <t>47,5</t>
  </si>
  <si>
    <t>52,5</t>
  </si>
  <si>
    <t>1. Aliev Sergey</t>
  </si>
  <si>
    <t>Open (14.12.1989)/31</t>
  </si>
  <si>
    <t>89,20</t>
  </si>
  <si>
    <t>1. Shaposhnik Dmitriy</t>
  </si>
  <si>
    <t>Masters 40-44 (28.01.1980)/41</t>
  </si>
  <si>
    <t>88,30</t>
  </si>
  <si>
    <t>Sverdlovsk/Luganskaya</t>
  </si>
  <si>
    <t>1. Belyaev Dmitriy</t>
  </si>
  <si>
    <t>Open (20.02.1983)/38</t>
  </si>
  <si>
    <t>116,60</t>
  </si>
  <si>
    <t>Oboyan/Kurskaya oblast</t>
  </si>
  <si>
    <t>42,2250</t>
  </si>
  <si>
    <t>Aliev Sergey</t>
  </si>
  <si>
    <t>38,2525</t>
  </si>
  <si>
    <t>Girchuk Igor</t>
  </si>
  <si>
    <t>30,3240</t>
  </si>
  <si>
    <t>Belyaev Dmitriy</t>
  </si>
  <si>
    <t>21,2000</t>
  </si>
  <si>
    <t>Shaposhnik Dmitriy</t>
  </si>
  <si>
    <t>Masters 40-44</t>
  </si>
  <si>
    <t>31,1838</t>
  </si>
  <si>
    <t>WORLD CHAMPIONS CUP WPA/AWPA/WAA-2021
WPA OVERHEAD BENCH
Kursk 21 - 22 august 2021</t>
  </si>
  <si>
    <t>Overhead press</t>
  </si>
  <si>
    <t>1. Hashpakov Musa</t>
  </si>
  <si>
    <t>Open (29.10.1994)/26</t>
  </si>
  <si>
    <t>82,30</t>
  </si>
  <si>
    <t>Baksan/Kabardino-Balkariya</t>
  </si>
  <si>
    <t>100,0</t>
  </si>
  <si>
    <t>110,0</t>
  </si>
  <si>
    <t>Hashpakov Musa</t>
  </si>
  <si>
    <t>74,4360</t>
  </si>
  <si>
    <t>WORLD CHAMPIONS CUP WPA/AWPA/WAA-2021
AWPA OVERHEAD BENCH
Kursk 21 - 22 august 2021</t>
  </si>
  <si>
    <t>1. Guketlov Marat</t>
  </si>
  <si>
    <t>Open (03.11.1990)/30</t>
  </si>
  <si>
    <t>88,50</t>
  </si>
  <si>
    <t>Khashpakov Musa</t>
  </si>
  <si>
    <t>Guketlov Marat</t>
  </si>
  <si>
    <t>47,3120</t>
  </si>
  <si>
    <t>WORLD CHAMPIONS CUP WPA/AWPA/WAA-2021
AWPA multi ply powerlifting
Kursk 21 - 22 august 2021</t>
  </si>
  <si>
    <t>Squat</t>
  </si>
  <si>
    <t>Masters 40-44 (17.06.1980)/41</t>
  </si>
  <si>
    <t>150,0</t>
  </si>
  <si>
    <t>160,0</t>
  </si>
  <si>
    <t>55,0</t>
  </si>
  <si>
    <t>170,0</t>
  </si>
  <si>
    <t>365,0</t>
  </si>
  <si>
    <t>269,8852</t>
  </si>
  <si>
    <t>WORLD CHAMPIONS CUP WPA/AWPA/WAA-2021
AWPA raw powerlifting
Kursk 21 - 22 august 2021</t>
  </si>
  <si>
    <t>Body Weight Category  48</t>
  </si>
  <si>
    <t>1. Pervomayskaya Alena</t>
  </si>
  <si>
    <t>Open (20.03.1991)/30</t>
  </si>
  <si>
    <t>48,00</t>
  </si>
  <si>
    <t>90,0</t>
  </si>
  <si>
    <t>95,0</t>
  </si>
  <si>
    <t>105,0</t>
  </si>
  <si>
    <t>Body Weight Category  56</t>
  </si>
  <si>
    <t>1. Tarasova Elena</t>
  </si>
  <si>
    <t>Juniors 20-23 (28.11.1998)/22</t>
  </si>
  <si>
    <t>55,00</t>
  </si>
  <si>
    <t>Livny/Orlovskaya oblast</t>
  </si>
  <si>
    <t>Mikhaylov Artur</t>
  </si>
  <si>
    <t>1. Fomina Victoriya</t>
  </si>
  <si>
    <t>Open (29.11.1996)/24</t>
  </si>
  <si>
    <t>62,40</t>
  </si>
  <si>
    <t>45,0</t>
  </si>
  <si>
    <t>Masters 40-44 (12.05.1981)/40</t>
  </si>
  <si>
    <t>67,5</t>
  </si>
  <si>
    <t>30,0</t>
  </si>
  <si>
    <t>37,5</t>
  </si>
  <si>
    <t>1. Zamytskaya Nadezhda</t>
  </si>
  <si>
    <t>Children 11-12 (16.09.2008)/12</t>
  </si>
  <si>
    <t>84,00</t>
  </si>
  <si>
    <t>Body Weight Category  100+</t>
  </si>
  <si>
    <t>1. Grushka Dariya</t>
  </si>
  <si>
    <t>Teen 13-15 (02.05.2008)/13</t>
  </si>
  <si>
    <t>101,20</t>
  </si>
  <si>
    <t>32,5</t>
  </si>
  <si>
    <t>Body Weight Category  52</t>
  </si>
  <si>
    <t>1. Balkarov Andemir</t>
  </si>
  <si>
    <t>Children 9 (28.08.2011)/9</t>
  </si>
  <si>
    <t>48,30</t>
  </si>
  <si>
    <t>25,0</t>
  </si>
  <si>
    <t>1. Zemlyanoy Nikita</t>
  </si>
  <si>
    <t>Teen 16-17 (03.09.2003)/17</t>
  </si>
  <si>
    <t>59,30</t>
  </si>
  <si>
    <t>1. Bondarenko Maksim</t>
  </si>
  <si>
    <t>Teen 16-17 (24.11.2004)/16</t>
  </si>
  <si>
    <t>74,00</t>
  </si>
  <si>
    <t>1. Lychev Artem</t>
  </si>
  <si>
    <t>Teen 13-15 (17.01.2007)/14</t>
  </si>
  <si>
    <t>78,60</t>
  </si>
  <si>
    <t>175,0</t>
  </si>
  <si>
    <t>185,0</t>
  </si>
  <si>
    <t>197,5</t>
  </si>
  <si>
    <t>200,0</t>
  </si>
  <si>
    <t>152,5</t>
  </si>
  <si>
    <t>1. Radzhabov David</t>
  </si>
  <si>
    <t>Teen 13-15 (18.05.2007)/14</t>
  </si>
  <si>
    <t>103,10</t>
  </si>
  <si>
    <t>102,5</t>
  </si>
  <si>
    <t>Children</t>
  </si>
  <si>
    <t>Zamytskaya Nadezhda</t>
  </si>
  <si>
    <t>Children 11-12</t>
  </si>
  <si>
    <t>217,5</t>
  </si>
  <si>
    <t>144,4635</t>
  </si>
  <si>
    <t>Grushka Dariya</t>
  </si>
  <si>
    <t>100+</t>
  </si>
  <si>
    <t>177,5</t>
  </si>
  <si>
    <t>89,6375</t>
  </si>
  <si>
    <t>Juniors</t>
  </si>
  <si>
    <t>Tarasova Elena</t>
  </si>
  <si>
    <t>Juniors 20-23</t>
  </si>
  <si>
    <t>56</t>
  </si>
  <si>
    <t>227,5</t>
  </si>
  <si>
    <t>210,4147</t>
  </si>
  <si>
    <t>Pervomayskaya Alena</t>
  </si>
  <si>
    <t>48</t>
  </si>
  <si>
    <t>247,5</t>
  </si>
  <si>
    <t>255,8160</t>
  </si>
  <si>
    <t>Fomina Victoriya</t>
  </si>
  <si>
    <t>195,6140</t>
  </si>
  <si>
    <t>190,0</t>
  </si>
  <si>
    <t>152,9880</t>
  </si>
  <si>
    <t>Balkarov Andemir</t>
  </si>
  <si>
    <t>Children 9</t>
  </si>
  <si>
    <t>52</t>
  </si>
  <si>
    <t>176,6300</t>
  </si>
  <si>
    <t>Zemlyanoy Nikita</t>
  </si>
  <si>
    <t>Teen 16-17</t>
  </si>
  <si>
    <t>262,5</t>
  </si>
  <si>
    <t>215,9850</t>
  </si>
  <si>
    <t>Bondarenko Maksim</t>
  </si>
  <si>
    <t>305,0</t>
  </si>
  <si>
    <t>204,8380</t>
  </si>
  <si>
    <t>Lychev Artem</t>
  </si>
  <si>
    <t>300,0</t>
  </si>
  <si>
    <t>192,3600</t>
  </si>
  <si>
    <t>Radzhabov David</t>
  </si>
  <si>
    <t>287,5</t>
  </si>
  <si>
    <t>157,3487</t>
  </si>
  <si>
    <t>567,5</t>
  </si>
  <si>
    <t>333,9738</t>
  </si>
  <si>
    <t>430,0</t>
  </si>
  <si>
    <t>274,5120</t>
  </si>
  <si>
    <t>WORLD CHAMPIONS CUP WPA/AWPA/WAA-2021
AWPA raw benchpress
Kursk 21 - 22 august 2021</t>
  </si>
  <si>
    <t>Body Weight Category  44</t>
  </si>
  <si>
    <t>1. Girchuk Anna</t>
  </si>
  <si>
    <t>Open (22.10.1989)/31</t>
  </si>
  <si>
    <t>43,70</t>
  </si>
  <si>
    <t>1. Gosteva Valentina</t>
  </si>
  <si>
    <t>Masters 65-69 (07.08.1955)/66</t>
  </si>
  <si>
    <t>51,40</t>
  </si>
  <si>
    <t>1. Teslenko Artem</t>
  </si>
  <si>
    <t>Teen 13-15 (12.04.2007)/14</t>
  </si>
  <si>
    <t>59,80</t>
  </si>
  <si>
    <t>Bogatyy Ivan Vladimirovich</t>
  </si>
  <si>
    <t>1. Manelishvili Ruslan</t>
  </si>
  <si>
    <t>Teen 16-17 (27.08.2003)/17</t>
  </si>
  <si>
    <t>71,80</t>
  </si>
  <si>
    <t>Masters 60-64 (25.05.1957)/64</t>
  </si>
  <si>
    <t>1. Motinov Aleksey</t>
  </si>
  <si>
    <t>Open (06.11.1989)/31</t>
  </si>
  <si>
    <t>105,40</t>
  </si>
  <si>
    <t>210,0</t>
  </si>
  <si>
    <t>2. Sergeev Aleksandr</t>
  </si>
  <si>
    <t>Open (14.05.1984)/37</t>
  </si>
  <si>
    <t>103,40</t>
  </si>
  <si>
    <t>Shchigry/Kurskaya oblast</t>
  </si>
  <si>
    <t>162,5</t>
  </si>
  <si>
    <t>167,5</t>
  </si>
  <si>
    <t>180,0</t>
  </si>
  <si>
    <t>Girchuk Anna</t>
  </si>
  <si>
    <t>44</t>
  </si>
  <si>
    <t>41,7712</t>
  </si>
  <si>
    <t>Gosteva Valentina</t>
  </si>
  <si>
    <t>Masters 65-69</t>
  </si>
  <si>
    <t>115,5760</t>
  </si>
  <si>
    <t>Manelishvili Ruslan</t>
  </si>
  <si>
    <t>72,2610</t>
  </si>
  <si>
    <t>Teslenko Artem</t>
  </si>
  <si>
    <t>70,9590</t>
  </si>
  <si>
    <t>Motinov Aleksey</t>
  </si>
  <si>
    <t>119,4820</t>
  </si>
  <si>
    <t>Sergeev Aleksandr</t>
  </si>
  <si>
    <t>92,9390</t>
  </si>
  <si>
    <t>89,7463</t>
  </si>
  <si>
    <t>84,8000</t>
  </si>
  <si>
    <t>115,8879</t>
  </si>
  <si>
    <t>Masters 60-64</t>
  </si>
  <si>
    <t>107,1629</t>
  </si>
  <si>
    <t>104,9085</t>
  </si>
  <si>
    <t>WORLD CHAMPIONS CUP WPA/AWPA/WAA-2021
AWPA multi ply deadlift
Kursk 21 - 22 august 2021</t>
  </si>
  <si>
    <t>157,3975</t>
  </si>
  <si>
    <t>WORLD CHAMPIONS CUP WPA/AWPA/WAA-2021
AWPA raw deadlift
Kursk 21 - 22 august 2021</t>
  </si>
  <si>
    <t>1. Gozova Zalina</t>
  </si>
  <si>
    <t>Open (23.03.1985)/36</t>
  </si>
  <si>
    <t>65,90</t>
  </si>
  <si>
    <t>1. Nikolaenko Vyacheslav</t>
  </si>
  <si>
    <t>Juniors 20-23 (11.10.1999)/21</t>
  </si>
  <si>
    <t>74,80</t>
  </si>
  <si>
    <t>Balashikha/Moskovskaya oblast</t>
  </si>
  <si>
    <t>265,0</t>
  </si>
  <si>
    <t>280,0</t>
  </si>
  <si>
    <t>1. Skokin Victor</t>
  </si>
  <si>
    <t>Masters 60-64 (20.06.1957)/64</t>
  </si>
  <si>
    <t>76,30</t>
  </si>
  <si>
    <t>Voskresensk/Moskovskaya oblast</t>
  </si>
  <si>
    <t>225,0</t>
  </si>
  <si>
    <t>290,0</t>
  </si>
  <si>
    <t>310,0</t>
  </si>
  <si>
    <t>Open (06.06.1965)/56</t>
  </si>
  <si>
    <t>1. Golovanov Evgeniy</t>
  </si>
  <si>
    <t>Sub Masters 33-39 (18.07.1987)/34</t>
  </si>
  <si>
    <t>90,90</t>
  </si>
  <si>
    <t>Moskva</t>
  </si>
  <si>
    <t>282,5</t>
  </si>
  <si>
    <t>Kopteva Tatyana Vyacheslavovna</t>
  </si>
  <si>
    <t>1. Kazakov Dmitriy</t>
  </si>
  <si>
    <t>Masters 40-44 (19.11.1976)/44</t>
  </si>
  <si>
    <t>98,80</t>
  </si>
  <si>
    <t>Khimki/Moskovskaya oblast</t>
  </si>
  <si>
    <t>245,0</t>
  </si>
  <si>
    <t>Gozova Zalina</t>
  </si>
  <si>
    <t>87,4280</t>
  </si>
  <si>
    <t>221,5206</t>
  </si>
  <si>
    <t>68,4420</t>
  </si>
  <si>
    <t>Nikolaenko Vyacheslav</t>
  </si>
  <si>
    <t>176,4635</t>
  </si>
  <si>
    <t>183,3340</t>
  </si>
  <si>
    <t>131,3415</t>
  </si>
  <si>
    <t>118,1040</t>
  </si>
  <si>
    <t>Sub</t>
  </si>
  <si>
    <t>Golovanov Evgeniy</t>
  </si>
  <si>
    <t>Sub Masters 33-39</t>
  </si>
  <si>
    <t>168,7510</t>
  </si>
  <si>
    <t>Skokin Victor</t>
  </si>
  <si>
    <t>275,1481</t>
  </si>
  <si>
    <t>187,8183</t>
  </si>
  <si>
    <t>176,5036</t>
  </si>
  <si>
    <t>Kazakov Dmitriy</t>
  </si>
  <si>
    <t>140,6954</t>
  </si>
  <si>
    <t>106,9158</t>
  </si>
  <si>
    <t>WORLD CHAMPIONS CUP WPA/AWPA/WAA-2021
WPA raw powerlifting
Kursk 21 - 22 august 2021</t>
  </si>
  <si>
    <t>1. Oguzova Larisa</t>
  </si>
  <si>
    <t>Open (02.02.1979)/42</t>
  </si>
  <si>
    <t>87,00</t>
  </si>
  <si>
    <t>Yessentuki/Stavropolskiy kray</t>
  </si>
  <si>
    <t>165,0</t>
  </si>
  <si>
    <t>Masters 40-44 (02.02.1979)/42</t>
  </si>
  <si>
    <t>240,0</t>
  </si>
  <si>
    <t>250,0</t>
  </si>
  <si>
    <t>-. Skripnik Roman</t>
  </si>
  <si>
    <t>Sub Masters 33-39 (24.08.1981)/39</t>
  </si>
  <si>
    <t>81,60</t>
  </si>
  <si>
    <t>Tver/Tverskaya oblast</t>
  </si>
  <si>
    <t>155,0</t>
  </si>
  <si>
    <t>1. Putivskiy Ruslan</t>
  </si>
  <si>
    <t>Masters 40-44 (03.06.1977)/44</t>
  </si>
  <si>
    <t>88,80</t>
  </si>
  <si>
    <t>252,5</t>
  </si>
  <si>
    <t>1. Grinev Dmitriy</t>
  </si>
  <si>
    <t>Masters 40-44 (16.05.1977)/44</t>
  </si>
  <si>
    <t>97,10</t>
  </si>
  <si>
    <t>1. Pagov Azamat</t>
  </si>
  <si>
    <t>Open (10.08.1991)/30</t>
  </si>
  <si>
    <t>111,20</t>
  </si>
  <si>
    <t>215,0</t>
  </si>
  <si>
    <t>232,5</t>
  </si>
  <si>
    <t>270,0</t>
  </si>
  <si>
    <t>1. Kislitsin Dmitriy</t>
  </si>
  <si>
    <t>Masters 40-44 (17.11.1980)/40</t>
  </si>
  <si>
    <t>116,90</t>
  </si>
  <si>
    <t>Novorossiysk/Krasnodarskiy kray</t>
  </si>
  <si>
    <t>Oguzova Larisa</t>
  </si>
  <si>
    <t>432,5</t>
  </si>
  <si>
    <t>279,8275</t>
  </si>
  <si>
    <t>282,3460</t>
  </si>
  <si>
    <t>670,0</t>
  </si>
  <si>
    <t>415,6010</t>
  </si>
  <si>
    <t>620,0</t>
  </si>
  <si>
    <t>361,9560</t>
  </si>
  <si>
    <t>Pagov Azamat</t>
  </si>
  <si>
    <t>640,0</t>
  </si>
  <si>
    <t>342,4640</t>
  </si>
  <si>
    <t>Putivskiy Ruslan</t>
  </si>
  <si>
    <t>377,2037</t>
  </si>
  <si>
    <t>Grinev Dmitriy</t>
  </si>
  <si>
    <t>650,0</t>
  </si>
  <si>
    <t>376,3563</t>
  </si>
  <si>
    <t>Kislitsin Dmitriy</t>
  </si>
  <si>
    <t>675,0</t>
  </si>
  <si>
    <t>357,5475</t>
  </si>
  <si>
    <t>WORLD CHAMPIONS CUP WPA/AWPA/WAA-2021
WPA raw benchpress
Kursk 21 - 22 august 2021</t>
  </si>
  <si>
    <t>1. Gnida Oksana</t>
  </si>
  <si>
    <t>Open (27.04.1988)/33</t>
  </si>
  <si>
    <t>1. Romanova Lubov</t>
  </si>
  <si>
    <t>Masters 60-64 (28.02.1961)/60</t>
  </si>
  <si>
    <t>2. Prygov Dmitriy</t>
  </si>
  <si>
    <t>Open (06.03.1985)/36</t>
  </si>
  <si>
    <t>Masters 50-54 (16.09.1968)/52</t>
  </si>
  <si>
    <t>1. Prikhodko Pavel</t>
  </si>
  <si>
    <t>Masters 40-44 (23.05.1980)/41</t>
  </si>
  <si>
    <t>101,50</t>
  </si>
  <si>
    <t>Blagoveshchensk/Amurskaya oblast</t>
  </si>
  <si>
    <t>1. Shishov Aleksey</t>
  </si>
  <si>
    <t>Masters 45-49 (21.03.1973)/48</t>
  </si>
  <si>
    <t>119,30</t>
  </si>
  <si>
    <t>Tula/Tulskaya oblast</t>
  </si>
  <si>
    <t>Gnida Oksana</t>
  </si>
  <si>
    <t>35,7660</t>
  </si>
  <si>
    <t>Romanova Lubov</t>
  </si>
  <si>
    <t>45,8955</t>
  </si>
  <si>
    <t>105,4510</t>
  </si>
  <si>
    <t>Prygov Dmitriy</t>
  </si>
  <si>
    <t>95,7600</t>
  </si>
  <si>
    <t>84,3315</t>
  </si>
  <si>
    <t>Prikhodko Pavel</t>
  </si>
  <si>
    <t>129,7792</t>
  </si>
  <si>
    <t>Masters 50-54</t>
  </si>
  <si>
    <t>118,8325</t>
  </si>
  <si>
    <t>Shishov Aleksey</t>
  </si>
  <si>
    <t>100,1860</t>
  </si>
  <si>
    <t>WORLD CHAMPIONS CUP WPA/AWPA/WAA-2021
WPA multi ply deadlift
Kursk 21 - 22 august 2021</t>
  </si>
  <si>
    <t>1. Poryadin Valeriy</t>
  </si>
  <si>
    <t>Open (20.05.1966)/55</t>
  </si>
  <si>
    <t>93,30</t>
  </si>
  <si>
    <t>205,0</t>
  </si>
  <si>
    <t>Masters 55-59 (20.05.1966)/55</t>
  </si>
  <si>
    <t>Poryadin Valeriy</t>
  </si>
  <si>
    <t>117,5470</t>
  </si>
  <si>
    <t>162,2149</t>
  </si>
  <si>
    <t>WORLD CHAMPIONS CUP WPA/AWPA/WAA-2021
WPA standart ply deadlift
Kursk 21 - 22 august 2021</t>
  </si>
  <si>
    <t>202,5</t>
  </si>
  <si>
    <t>116,1135</t>
  </si>
  <si>
    <t>160,2366</t>
  </si>
  <si>
    <t>WORLD CHAMPIONS CUP WPA/AWPA/WAA-2021
WPA raw deadlift
Kursk 21 - 22 august 2021</t>
  </si>
  <si>
    <t>1. Bazhenova Nataliya</t>
  </si>
  <si>
    <t>Open (18.03.1993)/28</t>
  </si>
  <si>
    <t>70,20</t>
  </si>
  <si>
    <t>1. Mendez-Sebsebe Pauline</t>
  </si>
  <si>
    <t>Masters 40-44 (05.12.1978)/42</t>
  </si>
  <si>
    <t>71,70</t>
  </si>
  <si>
    <t>182,5</t>
  </si>
  <si>
    <t>192,5</t>
  </si>
  <si>
    <t>1. Skripnik Roman</t>
  </si>
  <si>
    <t>195,0</t>
  </si>
  <si>
    <t>-. Motaylo Dmitriy</t>
  </si>
  <si>
    <t>Open (06.06.1985)/36</t>
  </si>
  <si>
    <t>98,70</t>
  </si>
  <si>
    <t>2. Vitkevich Nikolay</t>
  </si>
  <si>
    <t>Masters 55-59 (27.09.1965)/55</t>
  </si>
  <si>
    <t>Bazhenova Nataliya</t>
  </si>
  <si>
    <t>68,0850</t>
  </si>
  <si>
    <t>Mendez-Sebsebe Pauline</t>
  </si>
  <si>
    <t>137,2414</t>
  </si>
  <si>
    <t>144,4770</t>
  </si>
  <si>
    <t>111,8130</t>
  </si>
  <si>
    <t>111,0690</t>
  </si>
  <si>
    <t>Skripnik Roman</t>
  </si>
  <si>
    <t>112,3380</t>
  </si>
  <si>
    <t>158,9100</t>
  </si>
  <si>
    <t>154,3019</t>
  </si>
  <si>
    <t>153,2752</t>
  </si>
</sst>
</file>

<file path=xl/styles.xml><?xml version="1.0" encoding="utf-8"?>
<styleSheet xmlns="http://schemas.openxmlformats.org/spreadsheetml/2006/main">
  <numFmts count="6">
    <numFmt numFmtId="176" formatCode="0000"/>
    <numFmt numFmtId="41" formatCode="_-* #,##0_-;\-* #,##0_-;_-* &quot;-&quot;_-;_-@_-"/>
    <numFmt numFmtId="177" formatCode="_-* #,##0.00\ &quot;₽&quot;_-;\-* #,##0.00\ &quot;₽&quot;_-;_-* \-??\ &quot;₽&quot;_-;_-@_-"/>
    <numFmt numFmtId="178" formatCode="_-* #,##0\ &quot;₽&quot;_-;\-* #,##0\ &quot;₽&quot;_-;_-* \-\ &quot;₽&quot;_-;_-@_-"/>
    <numFmt numFmtId="43" formatCode="_-* #,##0.00_-;\-* #,##0.00_-;_-* &quot;-&quot;??_-;_-@_-"/>
    <numFmt numFmtId="179" formatCode="0.0"/>
  </numFmts>
  <fonts count="34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24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0" fontId="15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5" fillId="14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5" borderId="21" applyNumberFormat="0" applyAlignment="0" applyProtection="0">
      <alignment vertical="center"/>
    </xf>
    <xf numFmtId="0" fontId="18" fillId="9" borderId="19" applyNumberFormat="0" applyAlignment="0" applyProtection="0">
      <alignment vertical="center"/>
    </xf>
    <xf numFmtId="0" fontId="21" fillId="14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" fillId="0" borderId="0"/>
    <xf numFmtId="0" fontId="15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133">
    <xf numFmtId="0" fontId="0" fillId="0" borderId="0" xfId="0"/>
    <xf numFmtId="0" fontId="1" fillId="0" borderId="0" xfId="41" applyFont="1" applyFill="1" applyBorder="1" applyAlignment="1">
      <alignment horizontal="center"/>
    </xf>
    <xf numFmtId="49" fontId="2" fillId="0" borderId="0" xfId="41" applyNumberFormat="1" applyFont="1" applyFill="1" applyBorder="1" applyAlignment="1">
      <alignment horizontal="center" vertical="center"/>
    </xf>
    <xf numFmtId="49" fontId="3" fillId="0" borderId="0" xfId="41" applyNumberFormat="1" applyFont="1" applyFill="1" applyBorder="1" applyAlignment="1">
      <alignment horizontal="center"/>
    </xf>
    <xf numFmtId="49" fontId="3" fillId="0" borderId="0" xfId="41" applyNumberFormat="1" applyFont="1" applyFill="1" applyBorder="1" applyAlignment="1">
      <alignment horizontal="left"/>
    </xf>
    <xf numFmtId="49" fontId="1" fillId="0" borderId="0" xfId="41" applyNumberFormat="1" applyFont="1" applyFill="1" applyBorder="1" applyAlignment="1">
      <alignment horizontal="left"/>
    </xf>
    <xf numFmtId="49" fontId="1" fillId="0" borderId="0" xfId="41" applyNumberFormat="1" applyFont="1" applyFill="1" applyBorder="1" applyAlignment="1">
      <alignment horizontal="center"/>
    </xf>
    <xf numFmtId="0" fontId="3" fillId="0" borderId="0" xfId="41" applyFont="1" applyFill="1" applyBorder="1" applyAlignment="1">
      <alignment horizontal="center"/>
    </xf>
    <xf numFmtId="49" fontId="4" fillId="0" borderId="1" xfId="41" applyNumberFormat="1" applyFont="1" applyFill="1" applyBorder="1" applyAlignment="1">
      <alignment horizontal="center" vertical="center" wrapText="1"/>
    </xf>
    <xf numFmtId="49" fontId="4" fillId="0" borderId="2" xfId="41" applyNumberFormat="1" applyFont="1" applyFill="1" applyBorder="1" applyAlignment="1">
      <alignment horizontal="center" vertical="center"/>
    </xf>
    <xf numFmtId="49" fontId="4" fillId="0" borderId="3" xfId="41" applyNumberFormat="1" applyFont="1" applyFill="1" applyBorder="1" applyAlignment="1">
      <alignment horizontal="center" vertical="center"/>
    </xf>
    <xf numFmtId="49" fontId="4" fillId="0" borderId="4" xfId="41" applyNumberFormat="1" applyFont="1" applyFill="1" applyBorder="1" applyAlignment="1">
      <alignment horizontal="center" vertical="center"/>
    </xf>
    <xf numFmtId="49" fontId="2" fillId="0" borderId="5" xfId="41" applyNumberFormat="1" applyFont="1" applyFill="1" applyBorder="1" applyAlignment="1">
      <alignment horizontal="center" vertical="center"/>
    </xf>
    <xf numFmtId="49" fontId="2" fillId="0" borderId="6" xfId="41" applyNumberFormat="1" applyFont="1" applyFill="1" applyBorder="1" applyAlignment="1">
      <alignment horizontal="center" vertical="center" wrapText="1"/>
    </xf>
    <xf numFmtId="49" fontId="2" fillId="0" borderId="6" xfId="41" applyNumberFormat="1" applyFont="1" applyFill="1" applyBorder="1" applyAlignment="1">
      <alignment horizontal="center" vertical="center"/>
    </xf>
    <xf numFmtId="49" fontId="2" fillId="0" borderId="3" xfId="41" applyNumberFormat="1" applyFont="1" applyFill="1" applyBorder="1" applyAlignment="1">
      <alignment horizontal="center" vertical="center"/>
    </xf>
    <xf numFmtId="49" fontId="2" fillId="0" borderId="4" xfId="41" applyNumberFormat="1" applyFont="1" applyFill="1" applyBorder="1" applyAlignment="1">
      <alignment horizontal="center" vertical="center"/>
    </xf>
    <xf numFmtId="49" fontId="5" fillId="0" borderId="7" xfId="41" applyNumberFormat="1" applyFont="1" applyFill="1" applyBorder="1" applyAlignment="1">
      <alignment horizontal="center"/>
    </xf>
    <xf numFmtId="49" fontId="5" fillId="0" borderId="7" xfId="41" applyNumberFormat="1" applyFont="1" applyBorder="1" applyAlignment="1">
      <alignment horizontal="center"/>
    </xf>
    <xf numFmtId="49" fontId="3" fillId="0" borderId="8" xfId="41" applyNumberFormat="1" applyFont="1" applyFill="1" applyBorder="1" applyAlignment="1">
      <alignment horizontal="left"/>
    </xf>
    <xf numFmtId="49" fontId="3" fillId="0" borderId="8" xfId="41" applyNumberFormat="1" applyFont="1" applyFill="1" applyBorder="1" applyAlignment="1">
      <alignment horizontal="center"/>
    </xf>
    <xf numFmtId="49" fontId="3" fillId="0" borderId="6" xfId="41" applyNumberFormat="1" applyFont="1" applyFill="1" applyBorder="1" applyAlignment="1">
      <alignment horizontal="left"/>
    </xf>
    <xf numFmtId="49" fontId="3" fillId="0" borderId="6" xfId="41" applyNumberFormat="1" applyFont="1" applyFill="1" applyBorder="1" applyAlignment="1">
      <alignment horizontal="center"/>
    </xf>
    <xf numFmtId="49" fontId="5" fillId="0" borderId="0" xfId="41" applyNumberFormat="1" applyFont="1" applyFill="1" applyBorder="1" applyAlignment="1">
      <alignment horizontal="center"/>
    </xf>
    <xf numFmtId="49" fontId="5" fillId="0" borderId="0" xfId="41" applyNumberFormat="1" applyFont="1" applyAlignment="1">
      <alignment horizontal="center"/>
    </xf>
    <xf numFmtId="49" fontId="3" fillId="0" borderId="9" xfId="41" applyNumberFormat="1" applyFont="1" applyFill="1" applyBorder="1" applyAlignment="1">
      <alignment horizontal="left"/>
    </xf>
    <xf numFmtId="49" fontId="3" fillId="0" borderId="9" xfId="41" applyNumberFormat="1" applyFont="1" applyFill="1" applyBorder="1" applyAlignment="1">
      <alignment horizontal="center"/>
    </xf>
    <xf numFmtId="49" fontId="6" fillId="0" borderId="8" xfId="41" applyNumberFormat="1" applyFont="1" applyFill="1" applyBorder="1" applyAlignment="1">
      <alignment horizontal="center"/>
    </xf>
    <xf numFmtId="49" fontId="3" fillId="0" borderId="10" xfId="41" applyNumberFormat="1" applyFont="1" applyFill="1" applyBorder="1" applyAlignment="1">
      <alignment horizontal="left"/>
    </xf>
    <xf numFmtId="49" fontId="3" fillId="0" borderId="10" xfId="41" applyNumberFormat="1" applyFont="1" applyFill="1" applyBorder="1" applyAlignment="1">
      <alignment horizontal="center"/>
    </xf>
    <xf numFmtId="49" fontId="6" fillId="0" borderId="10" xfId="41" applyNumberFormat="1" applyFont="1" applyFill="1" applyBorder="1" applyAlignment="1">
      <alignment horizontal="center"/>
    </xf>
    <xf numFmtId="49" fontId="6" fillId="0" borderId="6" xfId="41" applyNumberFormat="1" applyFont="1" applyFill="1" applyBorder="1" applyAlignment="1">
      <alignment horizontal="center"/>
    </xf>
    <xf numFmtId="49" fontId="7" fillId="0" borderId="0" xfId="41" applyNumberFormat="1" applyFont="1" applyFill="1" applyBorder="1" applyAlignment="1">
      <alignment horizontal="left"/>
    </xf>
    <xf numFmtId="49" fontId="8" fillId="0" borderId="0" xfId="41" applyNumberFormat="1" applyFont="1" applyFill="1" applyBorder="1" applyAlignment="1">
      <alignment horizontal="left"/>
    </xf>
    <xf numFmtId="49" fontId="8" fillId="0" borderId="0" xfId="41" applyNumberFormat="1" applyFont="1" applyFill="1" applyBorder="1" applyAlignment="1">
      <alignment horizontal="center"/>
    </xf>
    <xf numFmtId="49" fontId="5" fillId="0" borderId="0" xfId="41" applyNumberFormat="1" applyFont="1" applyFill="1" applyBorder="1" applyAlignment="1">
      <alignment horizontal="left"/>
    </xf>
    <xf numFmtId="49" fontId="9" fillId="0" borderId="0" xfId="41" applyNumberFormat="1" applyFont="1" applyFill="1" applyBorder="1" applyAlignment="1">
      <alignment horizontal="left" indent="1"/>
    </xf>
    <xf numFmtId="49" fontId="9" fillId="0" borderId="0" xfId="41" applyNumberFormat="1" applyFont="1" applyFill="1" applyBorder="1" applyAlignment="1">
      <alignment horizontal="center"/>
    </xf>
    <xf numFmtId="49" fontId="2" fillId="0" borderId="9" xfId="41" applyNumberFormat="1" applyFont="1" applyFill="1" applyBorder="1" applyAlignment="1">
      <alignment horizontal="center" vertical="center"/>
    </xf>
    <xf numFmtId="49" fontId="3" fillId="0" borderId="0" xfId="41" applyNumberFormat="1" applyFont="1" applyFill="1" applyBorder="1" applyAlignment="1">
      <alignment horizontal="left" indent="1"/>
    </xf>
    <xf numFmtId="49" fontId="4" fillId="0" borderId="11" xfId="41" applyNumberFormat="1" applyFont="1" applyFill="1" applyBorder="1" applyAlignment="1">
      <alignment horizontal="center" vertical="center"/>
    </xf>
    <xf numFmtId="49" fontId="4" fillId="0" borderId="12" xfId="41" applyNumberFormat="1" applyFont="1" applyFill="1" applyBorder="1" applyAlignment="1">
      <alignment horizontal="center" vertical="center"/>
    </xf>
    <xf numFmtId="49" fontId="2" fillId="0" borderId="13" xfId="41" applyNumberFormat="1" applyFont="1" applyFill="1" applyBorder="1" applyAlignment="1">
      <alignment horizontal="center" vertical="center"/>
    </xf>
    <xf numFmtId="49" fontId="2" fillId="0" borderId="12" xfId="41" applyNumberFormat="1" applyFont="1" applyFill="1" applyBorder="1" applyAlignment="1">
      <alignment horizontal="center" vertical="center"/>
    </xf>
    <xf numFmtId="49" fontId="1" fillId="0" borderId="8" xfId="41" applyNumberFormat="1" applyFont="1" applyFill="1" applyBorder="1" applyAlignment="1">
      <alignment horizontal="left"/>
    </xf>
    <xf numFmtId="49" fontId="1" fillId="0" borderId="8" xfId="41" applyNumberFormat="1" applyFont="1" applyFill="1" applyBorder="1" applyAlignment="1">
      <alignment horizontal="center"/>
    </xf>
    <xf numFmtId="49" fontId="1" fillId="0" borderId="6" xfId="41" applyNumberFormat="1" applyFont="1" applyFill="1" applyBorder="1" applyAlignment="1">
      <alignment horizontal="left"/>
    </xf>
    <xf numFmtId="49" fontId="1" fillId="0" borderId="6" xfId="41" applyNumberFormat="1" applyFont="1" applyFill="1" applyBorder="1" applyAlignment="1">
      <alignment horizontal="center"/>
    </xf>
    <xf numFmtId="49" fontId="6" fillId="0" borderId="9" xfId="41" applyNumberFormat="1" applyFont="1" applyFill="1" applyBorder="1" applyAlignment="1">
      <alignment horizontal="center"/>
    </xf>
    <xf numFmtId="49" fontId="1" fillId="0" borderId="9" xfId="41" applyNumberFormat="1" applyFont="1" applyFill="1" applyBorder="1" applyAlignment="1">
      <alignment horizontal="left"/>
    </xf>
    <xf numFmtId="49" fontId="1" fillId="0" borderId="9" xfId="41" applyNumberFormat="1" applyFont="1" applyFill="1" applyBorder="1" applyAlignment="1">
      <alignment horizontal="center"/>
    </xf>
    <xf numFmtId="49" fontId="1" fillId="0" borderId="10" xfId="41" applyNumberFormat="1" applyFont="1" applyFill="1" applyBorder="1" applyAlignment="1">
      <alignment horizontal="left"/>
    </xf>
    <xf numFmtId="49" fontId="1" fillId="0" borderId="10" xfId="4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indent="1"/>
    </xf>
    <xf numFmtId="49" fontId="6" fillId="0" borderId="9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3" fillId="0" borderId="0" xfId="41" applyFont="1" applyFill="1" applyBorder="1" applyAlignment="1">
      <alignment horizontal="left"/>
    </xf>
    <xf numFmtId="176" fontId="3" fillId="0" borderId="0" xfId="41" applyNumberFormat="1" applyFont="1" applyFill="1" applyBorder="1" applyAlignment="1">
      <alignment horizontal="center"/>
    </xf>
    <xf numFmtId="0" fontId="3" fillId="0" borderId="0" xfId="41" applyNumberFormat="1" applyFont="1" applyFill="1" applyBorder="1" applyAlignment="1">
      <alignment horizontal="center"/>
    </xf>
    <xf numFmtId="179" fontId="3" fillId="0" borderId="0" xfId="41" applyNumberFormat="1" applyFont="1" applyFill="1" applyBorder="1" applyAlignment="1">
      <alignment horizontal="left"/>
    </xf>
    <xf numFmtId="179" fontId="3" fillId="0" borderId="0" xfId="41" applyNumberFormat="1" applyFont="1" applyFill="1" applyBorder="1" applyAlignment="1">
      <alignment horizontal="center"/>
    </xf>
    <xf numFmtId="0" fontId="1" fillId="0" borderId="0" xfId="41" applyNumberFormat="1" applyFont="1" applyFill="1" applyBorder="1" applyAlignment="1">
      <alignment horizontal="left"/>
    </xf>
    <xf numFmtId="0" fontId="1" fillId="0" borderId="0" xfId="41" applyNumberFormat="1" applyFont="1" applyFill="1" applyBorder="1" applyAlignment="1">
      <alignment horizontal="center"/>
    </xf>
    <xf numFmtId="0" fontId="4" fillId="0" borderId="1" xfId="41" applyFont="1" applyFill="1" applyBorder="1" applyAlignment="1">
      <alignment horizontal="center" vertical="center"/>
    </xf>
    <xf numFmtId="0" fontId="4" fillId="0" borderId="2" xfId="41" applyFont="1" applyFill="1" applyBorder="1" applyAlignment="1">
      <alignment horizontal="center" vertical="center"/>
    </xf>
    <xf numFmtId="0" fontId="4" fillId="0" borderId="3" xfId="41" applyFont="1" applyFill="1" applyBorder="1" applyAlignment="1">
      <alignment horizontal="center" vertical="center"/>
    </xf>
    <xf numFmtId="0" fontId="4" fillId="0" borderId="4" xfId="41" applyFont="1" applyFill="1" applyBorder="1" applyAlignment="1">
      <alignment horizontal="center" vertical="center"/>
    </xf>
    <xf numFmtId="0" fontId="2" fillId="0" borderId="6" xfId="41" applyNumberFormat="1" applyFont="1" applyFill="1" applyBorder="1" applyAlignment="1">
      <alignment horizontal="center" vertical="center"/>
    </xf>
    <xf numFmtId="0" fontId="2" fillId="0" borderId="4" xfId="41" applyNumberFormat="1" applyFont="1" applyFill="1" applyBorder="1" applyAlignment="1">
      <alignment horizontal="center" vertical="center"/>
    </xf>
    <xf numFmtId="0" fontId="4" fillId="0" borderId="11" xfId="41" applyFont="1" applyFill="1" applyBorder="1" applyAlignment="1">
      <alignment horizontal="center" vertical="center"/>
    </xf>
    <xf numFmtId="0" fontId="4" fillId="0" borderId="12" xfId="41" applyFont="1" applyFill="1" applyBorder="1" applyAlignment="1">
      <alignment horizontal="center" vertical="center"/>
    </xf>
    <xf numFmtId="49" fontId="3" fillId="0" borderId="0" xfId="41" applyNumberFormat="1" applyFill="1" applyBorder="1" applyAlignment="1">
      <alignment horizontal="center"/>
    </xf>
    <xf numFmtId="49" fontId="3" fillId="0" borderId="0" xfId="41" applyNumberFormat="1" applyFill="1" applyBorder="1" applyAlignment="1">
      <alignment horizontal="left"/>
    </xf>
    <xf numFmtId="0" fontId="3" fillId="0" borderId="0" xfId="41" applyFill="1" applyBorder="1" applyAlignment="1">
      <alignment horizontal="center"/>
    </xf>
    <xf numFmtId="49" fontId="10" fillId="0" borderId="1" xfId="41" applyNumberFormat="1" applyFont="1" applyFill="1" applyBorder="1" applyAlignment="1">
      <alignment horizontal="center" vertical="center" wrapText="1"/>
    </xf>
    <xf numFmtId="49" fontId="10" fillId="0" borderId="2" xfId="41" applyNumberFormat="1" applyFont="1" applyFill="1" applyBorder="1" applyAlignment="1">
      <alignment horizontal="center" vertical="center"/>
    </xf>
    <xf numFmtId="49" fontId="10" fillId="0" borderId="14" xfId="41" applyNumberFormat="1" applyFont="1" applyFill="1" applyBorder="1" applyAlignment="1">
      <alignment horizontal="center" vertical="center"/>
    </xf>
    <xf numFmtId="49" fontId="10" fillId="0" borderId="8" xfId="41" applyNumberFormat="1" applyFont="1" applyFill="1" applyBorder="1" applyAlignment="1">
      <alignment horizontal="center" vertical="center"/>
    </xf>
    <xf numFmtId="49" fontId="2" fillId="0" borderId="1" xfId="41" applyNumberFormat="1" applyFont="1" applyFill="1" applyBorder="1" applyAlignment="1">
      <alignment horizontal="center" vertical="center"/>
    </xf>
    <xf numFmtId="49" fontId="2" fillId="0" borderId="2" xfId="41" applyNumberFormat="1" applyFont="1" applyFill="1" applyBorder="1" applyAlignment="1">
      <alignment horizontal="center" vertical="center" wrapText="1"/>
    </xf>
    <xf numFmtId="49" fontId="2" fillId="0" borderId="2" xfId="41" applyNumberFormat="1" applyFont="1" applyFill="1" applyBorder="1" applyAlignment="1">
      <alignment horizontal="center" vertical="center"/>
    </xf>
    <xf numFmtId="49" fontId="2" fillId="0" borderId="15" xfId="41" applyNumberFormat="1" applyFont="1" applyFill="1" applyBorder="1" applyAlignment="1">
      <alignment horizontal="center" vertical="center"/>
    </xf>
    <xf numFmtId="49" fontId="2" fillId="0" borderId="16" xfId="41" applyNumberFormat="1" applyFont="1" applyFill="1" applyBorder="1" applyAlignment="1">
      <alignment horizontal="center" vertical="center"/>
    </xf>
    <xf numFmtId="49" fontId="2" fillId="0" borderId="17" xfId="41" applyNumberFormat="1" applyFont="1" applyFill="1" applyBorder="1" applyAlignment="1">
      <alignment horizontal="center" vertical="center"/>
    </xf>
    <xf numFmtId="49" fontId="2" fillId="0" borderId="18" xfId="41" applyNumberFormat="1" applyFont="1" applyFill="1" applyBorder="1" applyAlignment="1">
      <alignment horizontal="center" vertical="center"/>
    </xf>
    <xf numFmtId="49" fontId="11" fillId="0" borderId="3" xfId="41" applyNumberFormat="1" applyFont="1" applyFill="1" applyBorder="1" applyAlignment="1">
      <alignment horizontal="center" vertical="center"/>
    </xf>
    <xf numFmtId="49" fontId="3" fillId="0" borderId="8" xfId="41" applyNumberFormat="1" applyFill="1" applyBorder="1" applyAlignment="1">
      <alignment horizontal="center"/>
    </xf>
    <xf numFmtId="49" fontId="3" fillId="0" borderId="8" xfId="41" applyNumberFormat="1" applyFill="1" applyBorder="1" applyAlignment="1">
      <alignment horizontal="left"/>
    </xf>
    <xf numFmtId="49" fontId="3" fillId="0" borderId="10" xfId="41" applyNumberFormat="1" applyFill="1" applyBorder="1" applyAlignment="1">
      <alignment horizontal="center"/>
    </xf>
    <xf numFmtId="49" fontId="3" fillId="0" borderId="10" xfId="41" applyNumberFormat="1" applyFill="1" applyBorder="1" applyAlignment="1">
      <alignment horizontal="left"/>
    </xf>
    <xf numFmtId="49" fontId="3" fillId="0" borderId="6" xfId="41" applyNumberFormat="1" applyFill="1" applyBorder="1" applyAlignment="1">
      <alignment horizontal="center"/>
    </xf>
    <xf numFmtId="49" fontId="3" fillId="0" borderId="6" xfId="41" applyNumberFormat="1" applyFill="1" applyBorder="1" applyAlignment="1">
      <alignment horizontal="left"/>
    </xf>
    <xf numFmtId="49" fontId="12" fillId="0" borderId="0" xfId="41" applyNumberFormat="1" applyFont="1" applyFill="1" applyBorder="1" applyAlignment="1">
      <alignment horizontal="left"/>
    </xf>
    <xf numFmtId="49" fontId="13" fillId="0" borderId="0" xfId="41" applyNumberFormat="1" applyFont="1" applyFill="1" applyBorder="1" applyAlignment="1">
      <alignment horizontal="left"/>
    </xf>
    <xf numFmtId="49" fontId="14" fillId="0" borderId="0" xfId="41" applyNumberFormat="1" applyFont="1" applyFill="1" applyBorder="1" applyAlignment="1">
      <alignment horizontal="left" indent="1"/>
    </xf>
    <xf numFmtId="49" fontId="1" fillId="0" borderId="0" xfId="41" applyNumberFormat="1" applyFont="1" applyFill="1" applyBorder="1" applyAlignment="1">
      <alignment horizontal="left" indent="1"/>
    </xf>
    <xf numFmtId="0" fontId="3" fillId="0" borderId="6" xfId="41" applyFill="1" applyBorder="1" applyAlignment="1">
      <alignment horizontal="center"/>
    </xf>
    <xf numFmtId="0" fontId="3" fillId="0" borderId="8" xfId="41" applyFill="1" applyBorder="1" applyAlignment="1">
      <alignment horizontal="center"/>
    </xf>
    <xf numFmtId="49" fontId="3" fillId="0" borderId="9" xfId="41" applyNumberFormat="1" applyFill="1" applyBorder="1" applyAlignment="1">
      <alignment horizontal="center"/>
    </xf>
    <xf numFmtId="49" fontId="3" fillId="0" borderId="9" xfId="41" applyNumberFormat="1" applyFill="1" applyBorder="1" applyAlignment="1">
      <alignment horizontal="left"/>
    </xf>
    <xf numFmtId="0" fontId="3" fillId="0" borderId="9" xfId="41" applyFill="1" applyBorder="1" applyAlignment="1">
      <alignment horizontal="center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Обычный 2" xfId="41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workbookViewId="0">
      <selection activeCell="A1" sqref="A1:J2"/>
    </sheetView>
  </sheetViews>
  <sheetFormatPr defaultColWidth="9.1047619047619" defaultRowHeight="12.75"/>
  <cols>
    <col min="1" max="1" width="28.552380952381" style="5" customWidth="1"/>
    <col min="2" max="2" width="24" style="103" customWidth="1"/>
    <col min="3" max="3" width="7.55238095238095" style="103" customWidth="1"/>
    <col min="4" max="4" width="6.55238095238095" style="103" customWidth="1"/>
    <col min="5" max="5" width="17" style="104" customWidth="1"/>
    <col min="6" max="6" width="23.6666666666667" style="104" customWidth="1"/>
    <col min="7" max="10" width="4.55238095238095" style="103" customWidth="1"/>
    <col min="11" max="11" width="7" style="105" customWidth="1"/>
    <col min="12" max="12" width="10" style="105" customWidth="1"/>
    <col min="13" max="16384" width="9.1047619047619" style="105"/>
  </cols>
  <sheetData>
    <row r="1" ht="28.95" customHeight="1" spans="1:10">
      <c r="A1" s="106" t="s">
        <v>133</v>
      </c>
      <c r="B1" s="107"/>
      <c r="C1" s="107"/>
      <c r="D1" s="107"/>
      <c r="E1" s="107"/>
      <c r="F1" s="107"/>
      <c r="G1" s="107"/>
      <c r="H1" s="107"/>
      <c r="I1" s="107"/>
      <c r="J1" s="107"/>
    </row>
    <row r="2" ht="61.95" customHeight="1" spans="1:10">
      <c r="A2" s="108"/>
      <c r="B2" s="109"/>
      <c r="C2" s="109"/>
      <c r="D2" s="109"/>
      <c r="E2" s="109"/>
      <c r="F2" s="109"/>
      <c r="G2" s="109"/>
      <c r="H2" s="109"/>
      <c r="I2" s="109"/>
      <c r="J2" s="109"/>
    </row>
    <row r="3" s="2" customFormat="1" customHeight="1" spans="1:11">
      <c r="A3" s="110" t="s">
        <v>1</v>
      </c>
      <c r="B3" s="111" t="s">
        <v>2</v>
      </c>
      <c r="C3" s="111" t="s">
        <v>3</v>
      </c>
      <c r="D3" s="112" t="s">
        <v>4</v>
      </c>
      <c r="E3" s="112" t="s">
        <v>5</v>
      </c>
      <c r="F3" s="113" t="s">
        <v>6</v>
      </c>
      <c r="G3" s="114" t="s">
        <v>7</v>
      </c>
      <c r="H3" s="115"/>
      <c r="I3" s="115"/>
      <c r="J3" s="115"/>
      <c r="K3" s="2" t="s">
        <v>8</v>
      </c>
    </row>
    <row r="4" s="2" customFormat="1" ht="23.25" customHeight="1" spans="1:10">
      <c r="A4" s="15"/>
      <c r="B4" s="16"/>
      <c r="C4" s="16"/>
      <c r="D4" s="16"/>
      <c r="E4" s="16"/>
      <c r="F4" s="116"/>
      <c r="G4" s="117">
        <v>1</v>
      </c>
      <c r="H4" s="117">
        <v>2</v>
      </c>
      <c r="I4" s="117">
        <v>3</v>
      </c>
      <c r="J4" s="117">
        <v>4</v>
      </c>
    </row>
    <row r="5" s="103" customFormat="1" ht="15.75" spans="1:10">
      <c r="A5" s="17" t="s">
        <v>9</v>
      </c>
      <c r="B5" s="18"/>
      <c r="C5" s="18"/>
      <c r="D5" s="18"/>
      <c r="E5" s="18"/>
      <c r="F5" s="18"/>
      <c r="G5" s="18"/>
      <c r="H5" s="18"/>
      <c r="I5" s="18"/>
      <c r="J5" s="18"/>
    </row>
    <row r="6" s="103" customFormat="1" spans="1:13">
      <c r="A6" s="44" t="s">
        <v>10</v>
      </c>
      <c r="B6" s="118" t="s">
        <v>11</v>
      </c>
      <c r="C6" s="118" t="s">
        <v>12</v>
      </c>
      <c r="D6" s="118" t="str">
        <f>"0,6885"</f>
        <v>0,6885</v>
      </c>
      <c r="E6" s="119" t="s">
        <v>13</v>
      </c>
      <c r="F6" s="119" t="s">
        <v>14</v>
      </c>
      <c r="G6" s="118" t="s">
        <v>134</v>
      </c>
      <c r="H6" s="118" t="s">
        <v>135</v>
      </c>
      <c r="I6" s="27" t="s">
        <v>136</v>
      </c>
      <c r="J6" s="27"/>
      <c r="K6" s="118" t="s">
        <v>137</v>
      </c>
      <c r="L6" s="118" t="s">
        <v>138</v>
      </c>
      <c r="M6" s="118"/>
    </row>
    <row r="7" s="103" customFormat="1" spans="1:13">
      <c r="A7" s="51" t="s">
        <v>10</v>
      </c>
      <c r="B7" s="120" t="s">
        <v>20</v>
      </c>
      <c r="C7" s="120" t="s">
        <v>12</v>
      </c>
      <c r="D7" s="120" t="str">
        <f>"0,6885"</f>
        <v>0,6885</v>
      </c>
      <c r="E7" s="121" t="s">
        <v>13</v>
      </c>
      <c r="F7" s="121" t="s">
        <v>14</v>
      </c>
      <c r="G7" s="120" t="s">
        <v>134</v>
      </c>
      <c r="H7" s="120" t="s">
        <v>135</v>
      </c>
      <c r="I7" s="30" t="s">
        <v>136</v>
      </c>
      <c r="J7" s="30"/>
      <c r="K7" s="120" t="s">
        <v>137</v>
      </c>
      <c r="L7" s="120" t="s">
        <v>138</v>
      </c>
      <c r="M7" s="120"/>
    </row>
    <row r="8" spans="1:13">
      <c r="A8" s="46" t="s">
        <v>21</v>
      </c>
      <c r="B8" s="122" t="s">
        <v>22</v>
      </c>
      <c r="C8" s="122" t="s">
        <v>23</v>
      </c>
      <c r="D8" s="122" t="str">
        <f>"0,6998"</f>
        <v>0,6998</v>
      </c>
      <c r="E8" s="123" t="s">
        <v>13</v>
      </c>
      <c r="F8" s="123" t="s">
        <v>24</v>
      </c>
      <c r="G8" s="122" t="s">
        <v>139</v>
      </c>
      <c r="H8" s="122" t="s">
        <v>140</v>
      </c>
      <c r="I8" s="122" t="s">
        <v>141</v>
      </c>
      <c r="J8" s="31" t="s">
        <v>142</v>
      </c>
      <c r="K8" s="128" t="str">
        <f>"55,5"</f>
        <v>55,5</v>
      </c>
      <c r="L8" s="128" t="str">
        <f>"56,3124"</f>
        <v>56,3124</v>
      </c>
      <c r="M8" s="128"/>
    </row>
    <row r="10" ht="15.75" spans="1:10">
      <c r="A10" s="23" t="s">
        <v>143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3">
      <c r="A11" s="44" t="s">
        <v>144</v>
      </c>
      <c r="B11" s="118" t="s">
        <v>145</v>
      </c>
      <c r="C11" s="118" t="s">
        <v>146</v>
      </c>
      <c r="D11" s="118" t="str">
        <f>"0,5531"</f>
        <v>0,5531</v>
      </c>
      <c r="E11" s="119" t="s">
        <v>13</v>
      </c>
      <c r="F11" s="119" t="s">
        <v>147</v>
      </c>
      <c r="G11" s="118" t="s">
        <v>148</v>
      </c>
      <c r="H11" s="118" t="s">
        <v>149</v>
      </c>
      <c r="I11" s="27" t="s">
        <v>135</v>
      </c>
      <c r="J11" s="27"/>
      <c r="K11" s="129" t="str">
        <f>"58,0"</f>
        <v>58,0</v>
      </c>
      <c r="L11" s="129" t="str">
        <f>"32,0827"</f>
        <v>32,0827</v>
      </c>
      <c r="M11" s="129"/>
    </row>
    <row r="12" spans="1:13">
      <c r="A12" s="46" t="s">
        <v>144</v>
      </c>
      <c r="B12" s="122" t="s">
        <v>150</v>
      </c>
      <c r="C12" s="122" t="s">
        <v>146</v>
      </c>
      <c r="D12" s="122" t="str">
        <f>"0,5531"</f>
        <v>0,5531</v>
      </c>
      <c r="E12" s="123" t="s">
        <v>13</v>
      </c>
      <c r="F12" s="123" t="s">
        <v>147</v>
      </c>
      <c r="G12" s="122" t="s">
        <v>148</v>
      </c>
      <c r="H12" s="122" t="s">
        <v>149</v>
      </c>
      <c r="I12" s="31" t="s">
        <v>135</v>
      </c>
      <c r="J12" s="31"/>
      <c r="K12" s="128" t="str">
        <f>"58,0"</f>
        <v>58,0</v>
      </c>
      <c r="L12" s="128" t="str">
        <f>"39,3013"</f>
        <v>39,3013</v>
      </c>
      <c r="M12" s="128"/>
    </row>
    <row r="14" ht="15.75" spans="5:5">
      <c r="E14" s="32" t="s">
        <v>28</v>
      </c>
    </row>
    <row r="15" ht="15.75" spans="5:5">
      <c r="E15" s="32" t="s">
        <v>29</v>
      </c>
    </row>
    <row r="16" ht="15.75" spans="5:5">
      <c r="E16" s="32" t="s">
        <v>30</v>
      </c>
    </row>
    <row r="17" spans="5:5">
      <c r="E17" s="104" t="s">
        <v>31</v>
      </c>
    </row>
    <row r="18" spans="5:5">
      <c r="E18" s="104" t="s">
        <v>32</v>
      </c>
    </row>
    <row r="19" spans="5:5">
      <c r="E19" s="104" t="s">
        <v>33</v>
      </c>
    </row>
    <row r="22" ht="18.75" spans="1:2">
      <c r="A22" s="124" t="s">
        <v>34</v>
      </c>
      <c r="B22" s="34"/>
    </row>
    <row r="23" ht="15.75" spans="1:2">
      <c r="A23" s="125" t="s">
        <v>35</v>
      </c>
      <c r="B23" s="23"/>
    </row>
    <row r="24" ht="15" spans="1:2">
      <c r="A24" s="126"/>
      <c r="B24" s="37" t="s">
        <v>36</v>
      </c>
    </row>
    <row r="25" ht="14.25" spans="1:5">
      <c r="A25" s="38" t="s">
        <v>1</v>
      </c>
      <c r="B25" s="38" t="s">
        <v>37</v>
      </c>
      <c r="C25" s="38" t="s">
        <v>38</v>
      </c>
      <c r="D25" s="38" t="s">
        <v>39</v>
      </c>
      <c r="E25" s="38" t="s">
        <v>4</v>
      </c>
    </row>
    <row r="26" spans="1:5">
      <c r="A26" s="127" t="s">
        <v>40</v>
      </c>
      <c r="B26" s="103" t="s">
        <v>36</v>
      </c>
      <c r="C26" s="103" t="s">
        <v>41</v>
      </c>
      <c r="D26" s="103" t="s">
        <v>135</v>
      </c>
      <c r="E26" s="5" t="s">
        <v>151</v>
      </c>
    </row>
    <row r="28" ht="15" spans="1:2">
      <c r="A28" s="126"/>
      <c r="B28" s="37" t="s">
        <v>43</v>
      </c>
    </row>
    <row r="29" ht="14.25" spans="1:5">
      <c r="A29" s="38" t="s">
        <v>1</v>
      </c>
      <c r="B29" s="38" t="s">
        <v>37</v>
      </c>
      <c r="C29" s="38" t="s">
        <v>38</v>
      </c>
      <c r="D29" s="38" t="s">
        <v>39</v>
      </c>
      <c r="E29" s="38" t="s">
        <v>4</v>
      </c>
    </row>
    <row r="30" spans="1:5">
      <c r="A30" s="127" t="s">
        <v>40</v>
      </c>
      <c r="B30" s="103" t="s">
        <v>43</v>
      </c>
      <c r="C30" s="103" t="s">
        <v>41</v>
      </c>
      <c r="D30" s="103" t="s">
        <v>135</v>
      </c>
      <c r="E30" s="5" t="s">
        <v>151</v>
      </c>
    </row>
    <row r="31" spans="1:5">
      <c r="A31" s="127" t="s">
        <v>152</v>
      </c>
      <c r="B31" s="103" t="s">
        <v>43</v>
      </c>
      <c r="C31" s="103" t="s">
        <v>153</v>
      </c>
      <c r="D31" s="103" t="s">
        <v>149</v>
      </c>
      <c r="E31" s="5" t="s">
        <v>154</v>
      </c>
    </row>
    <row r="33" ht="15" spans="1:2">
      <c r="A33" s="126"/>
      <c r="B33" s="37" t="s">
        <v>44</v>
      </c>
    </row>
    <row r="34" ht="14.25" spans="1:5">
      <c r="A34" s="38" t="s">
        <v>1</v>
      </c>
      <c r="B34" s="38" t="s">
        <v>37</v>
      </c>
      <c r="C34" s="38" t="s">
        <v>38</v>
      </c>
      <c r="D34" s="38" t="s">
        <v>39</v>
      </c>
      <c r="E34" s="38" t="s">
        <v>4</v>
      </c>
    </row>
    <row r="35" spans="1:5">
      <c r="A35" s="127" t="s">
        <v>45</v>
      </c>
      <c r="B35" s="103" t="s">
        <v>46</v>
      </c>
      <c r="C35" s="103" t="s">
        <v>41</v>
      </c>
      <c r="D35" s="103" t="s">
        <v>141</v>
      </c>
      <c r="E35" s="5" t="s">
        <v>155</v>
      </c>
    </row>
    <row r="36" spans="1:5">
      <c r="A36" s="127" t="s">
        <v>152</v>
      </c>
      <c r="B36" s="103" t="s">
        <v>46</v>
      </c>
      <c r="C36" s="103" t="s">
        <v>153</v>
      </c>
      <c r="D36" s="103" t="s">
        <v>149</v>
      </c>
      <c r="E36" s="5" t="s">
        <v>156</v>
      </c>
    </row>
  </sheetData>
  <mergeCells count="10">
    <mergeCell ref="G3:J3"/>
    <mergeCell ref="A5:J5"/>
    <mergeCell ref="A10:J10"/>
    <mergeCell ref="A3:A4"/>
    <mergeCell ref="B3:B4"/>
    <mergeCell ref="C3:C4"/>
    <mergeCell ref="D3:D4"/>
    <mergeCell ref="E3:E4"/>
    <mergeCell ref="F3:F4"/>
    <mergeCell ref="A1:J2"/>
  </mergeCells>
  <pageMargins left="0.196850393700787" right="0.47244094488189" top="0.433070866141732" bottom="0.47244094488189" header="0.511811023622047" footer="0.511811023622047"/>
  <pageSetup paperSize="1" scale="65" fitToHeight="100" orientation="landscape" horizontalDpi="300" verticalDpi="300"/>
  <headerFooter alignWithMargins="0">
    <oddFooter>&amp;L&amp;G&amp;R&amp;D&amp;T&amp;P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A1" sqref="A1:Y2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6.55238095238095" style="3" customWidth="1"/>
    <col min="5" max="5" width="17" style="4" customWidth="1"/>
    <col min="6" max="6" width="26.552380952381" style="4" customWidth="1"/>
    <col min="7" max="9" width="5.55238095238095" style="3" customWidth="1"/>
    <col min="10" max="10" width="4.78095238095238" style="3" customWidth="1"/>
    <col min="11" max="11" width="5.78095238095238" style="5" customWidth="1"/>
    <col min="12" max="12" width="8.55238095238095" style="6" customWidth="1"/>
    <col min="13" max="13" width="7.1047619047619" style="4" customWidth="1"/>
    <col min="14" max="16384" width="9.1047619047619" style="7"/>
  </cols>
  <sheetData>
    <row r="1" s="1" customFormat="1" ht="28.95" customHeight="1" spans="1:13">
      <c r="A1" s="8" t="s">
        <v>102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104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108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109</v>
      </c>
      <c r="B6" s="26" t="s">
        <v>110</v>
      </c>
      <c r="C6" s="26" t="s">
        <v>111</v>
      </c>
      <c r="D6" s="26" t="str">
        <f>"0,8421"</f>
        <v>0,8421</v>
      </c>
      <c r="E6" s="25" t="s">
        <v>13</v>
      </c>
      <c r="F6" s="25" t="s">
        <v>112</v>
      </c>
      <c r="G6" s="26" t="s">
        <v>113</v>
      </c>
      <c r="H6" s="26" t="s">
        <v>114</v>
      </c>
      <c r="I6" s="26" t="s">
        <v>115</v>
      </c>
      <c r="J6" s="48"/>
      <c r="K6" s="49" t="str">
        <f>"117,5"</f>
        <v>117,5</v>
      </c>
      <c r="L6" s="50" t="str">
        <f>"98,9526"</f>
        <v>98,9526</v>
      </c>
      <c r="M6" s="25"/>
    </row>
    <row r="7" s="3" customFormat="1" spans="1:13">
      <c r="A7" s="4"/>
      <c r="E7" s="4"/>
      <c r="F7" s="4"/>
      <c r="K7" s="5"/>
      <c r="L7" s="6"/>
      <c r="M7" s="4"/>
    </row>
    <row r="8" ht="15.75" spans="1:10">
      <c r="A8" s="23" t="s">
        <v>116</v>
      </c>
      <c r="B8" s="24"/>
      <c r="C8" s="24"/>
      <c r="D8" s="24"/>
      <c r="E8" s="24"/>
      <c r="F8" s="24"/>
      <c r="G8" s="24"/>
      <c r="H8" s="24"/>
      <c r="I8" s="24"/>
      <c r="J8" s="24"/>
    </row>
    <row r="9" spans="1:13">
      <c r="A9" s="19" t="s">
        <v>117</v>
      </c>
      <c r="B9" s="20" t="s">
        <v>118</v>
      </c>
      <c r="C9" s="20" t="s">
        <v>119</v>
      </c>
      <c r="D9" s="20" t="str">
        <f>"0,5678"</f>
        <v>0,5678</v>
      </c>
      <c r="E9" s="19" t="s">
        <v>13</v>
      </c>
      <c r="F9" s="19" t="s">
        <v>120</v>
      </c>
      <c r="G9" s="27" t="s">
        <v>121</v>
      </c>
      <c r="H9" s="20" t="s">
        <v>121</v>
      </c>
      <c r="I9" s="20" t="s">
        <v>122</v>
      </c>
      <c r="J9" s="27"/>
      <c r="K9" s="44" t="str">
        <f>"285,0"</f>
        <v>285,0</v>
      </c>
      <c r="L9" s="45" t="str">
        <f>"161,8230"</f>
        <v>161,8230</v>
      </c>
      <c r="M9" s="19"/>
    </row>
    <row r="10" spans="1:13">
      <c r="A10" s="21" t="s">
        <v>117</v>
      </c>
      <c r="B10" s="22" t="s">
        <v>123</v>
      </c>
      <c r="C10" s="22" t="s">
        <v>119</v>
      </c>
      <c r="D10" s="22" t="str">
        <f>"0,5678"</f>
        <v>0,5678</v>
      </c>
      <c r="E10" s="21" t="s">
        <v>13</v>
      </c>
      <c r="F10" s="21" t="s">
        <v>120</v>
      </c>
      <c r="G10" s="31" t="s">
        <v>121</v>
      </c>
      <c r="H10" s="22" t="s">
        <v>121</v>
      </c>
      <c r="I10" s="22" t="s">
        <v>122</v>
      </c>
      <c r="J10" s="31"/>
      <c r="K10" s="46" t="str">
        <f>"285,0"</f>
        <v>285,0</v>
      </c>
      <c r="L10" s="47" t="str">
        <f>"170,7233"</f>
        <v>170,7233</v>
      </c>
      <c r="M10" s="21"/>
    </row>
    <row r="12" ht="15.75" spans="5:5">
      <c r="E12" s="32" t="s">
        <v>28</v>
      </c>
    </row>
    <row r="13" ht="15.75" spans="5:5">
      <c r="E13" s="32" t="s">
        <v>29</v>
      </c>
    </row>
    <row r="14" ht="15.75" spans="5:5">
      <c r="E14" s="32" t="s">
        <v>30</v>
      </c>
    </row>
    <row r="15" spans="5:5">
      <c r="E15" s="4" t="s">
        <v>31</v>
      </c>
    </row>
    <row r="16" spans="5:5">
      <c r="E16" s="4" t="s">
        <v>32</v>
      </c>
    </row>
    <row r="17" spans="5:5">
      <c r="E17" s="4" t="s">
        <v>33</v>
      </c>
    </row>
    <row r="20" ht="18.75" spans="1:2">
      <c r="A20" s="33" t="s">
        <v>34</v>
      </c>
      <c r="B20" s="34"/>
    </row>
    <row r="21" ht="15.75" spans="1:2">
      <c r="A21" s="35" t="s">
        <v>92</v>
      </c>
      <c r="B21" s="23"/>
    </row>
    <row r="22" ht="15" spans="1:2">
      <c r="A22" s="36"/>
      <c r="B22" s="37" t="s">
        <v>43</v>
      </c>
    </row>
    <row r="23" ht="14.25" spans="1:5">
      <c r="A23" s="38" t="s">
        <v>1</v>
      </c>
      <c r="B23" s="38" t="s">
        <v>37</v>
      </c>
      <c r="C23" s="38" t="s">
        <v>38</v>
      </c>
      <c r="D23" s="38" t="s">
        <v>39</v>
      </c>
      <c r="E23" s="38" t="s">
        <v>4</v>
      </c>
    </row>
    <row r="24" spans="1:5">
      <c r="A24" s="39" t="s">
        <v>124</v>
      </c>
      <c r="B24" s="3" t="s">
        <v>43</v>
      </c>
      <c r="C24" s="3" t="s">
        <v>125</v>
      </c>
      <c r="D24" s="3" t="s">
        <v>115</v>
      </c>
      <c r="E24" s="5" t="s">
        <v>126</v>
      </c>
    </row>
    <row r="27" ht="15.75" spans="1:2">
      <c r="A27" s="35" t="s">
        <v>35</v>
      </c>
      <c r="B27" s="23"/>
    </row>
    <row r="28" ht="15" spans="1:2">
      <c r="A28" s="36"/>
      <c r="B28" s="37" t="s">
        <v>43</v>
      </c>
    </row>
    <row r="29" ht="14.25" spans="1:5">
      <c r="A29" s="38" t="s">
        <v>1</v>
      </c>
      <c r="B29" s="38" t="s">
        <v>37</v>
      </c>
      <c r="C29" s="38" t="s">
        <v>38</v>
      </c>
      <c r="D29" s="38" t="s">
        <v>39</v>
      </c>
      <c r="E29" s="38" t="s">
        <v>4</v>
      </c>
    </row>
    <row r="30" spans="1:5">
      <c r="A30" s="39" t="s">
        <v>127</v>
      </c>
      <c r="B30" s="3" t="s">
        <v>43</v>
      </c>
      <c r="C30" s="3" t="s">
        <v>128</v>
      </c>
      <c r="D30" s="3" t="s">
        <v>122</v>
      </c>
      <c r="E30" s="5" t="s">
        <v>129</v>
      </c>
    </row>
    <row r="32" ht="15" spans="1:2">
      <c r="A32" s="36"/>
      <c r="B32" s="37" t="s">
        <v>130</v>
      </c>
    </row>
    <row r="33" ht="14.25" spans="1:5">
      <c r="A33" s="38" t="s">
        <v>1</v>
      </c>
      <c r="B33" s="38" t="s">
        <v>37</v>
      </c>
      <c r="C33" s="38" t="s">
        <v>38</v>
      </c>
      <c r="D33" s="38" t="s">
        <v>39</v>
      </c>
      <c r="E33" s="38" t="s">
        <v>4</v>
      </c>
    </row>
    <row r="34" spans="1:5">
      <c r="A34" s="39" t="s">
        <v>127</v>
      </c>
      <c r="B34" s="3" t="s">
        <v>131</v>
      </c>
      <c r="C34" s="3" t="s">
        <v>128</v>
      </c>
      <c r="D34" s="3" t="s">
        <v>122</v>
      </c>
      <c r="E34" s="5" t="s">
        <v>132</v>
      </c>
    </row>
  </sheetData>
  <mergeCells count="13">
    <mergeCell ref="G3:J3"/>
    <mergeCell ref="A5:J5"/>
    <mergeCell ref="A8:J8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1" sqref="A1:Y2"/>
    </sheetView>
  </sheetViews>
  <sheetFormatPr defaultColWidth="9.1047619047619" defaultRowHeight="12.75"/>
  <cols>
    <col min="1" max="1" width="24.8857142857143" style="4" customWidth="1"/>
    <col min="2" max="2" width="19.1047619047619" style="3" customWidth="1"/>
    <col min="3" max="3" width="7.55238095238095" style="3" customWidth="1"/>
    <col min="4" max="4" width="6.55238095238095" style="3" customWidth="1"/>
    <col min="5" max="5" width="17" style="4" customWidth="1"/>
    <col min="6" max="6" width="35.8857142857143" style="4" customWidth="1"/>
    <col min="7" max="7" width="7.78095238095238" style="3" customWidth="1"/>
    <col min="8" max="8" width="4.55238095238095" style="3" customWidth="1"/>
    <col min="9" max="9" width="6.55238095238095" style="5" customWidth="1"/>
    <col min="10" max="10" width="9.55238095238095" style="6" customWidth="1"/>
    <col min="11" max="11" width="7.1047619047619" style="4" customWidth="1"/>
    <col min="12" max="16384" width="9.1047619047619" style="7"/>
  </cols>
  <sheetData>
    <row r="1" s="1" customFormat="1" ht="28.95" customHeight="1" spans="1:11">
      <c r="A1" s="8" t="s">
        <v>157</v>
      </c>
      <c r="B1" s="9"/>
      <c r="C1" s="9"/>
      <c r="D1" s="9"/>
      <c r="E1" s="9"/>
      <c r="F1" s="9"/>
      <c r="G1" s="9"/>
      <c r="H1" s="9"/>
      <c r="I1" s="9"/>
      <c r="J1" s="9"/>
      <c r="K1" s="40"/>
    </row>
    <row r="2" s="1" customFormat="1" ht="61.95" customHeight="1" spans="1:11">
      <c r="A2" s="10"/>
      <c r="B2" s="11"/>
      <c r="C2" s="11"/>
      <c r="D2" s="11"/>
      <c r="E2" s="11"/>
      <c r="F2" s="11"/>
      <c r="G2" s="11"/>
      <c r="H2" s="11"/>
      <c r="I2" s="11"/>
      <c r="J2" s="11"/>
      <c r="K2" s="41"/>
    </row>
    <row r="3" s="2" customFormat="1" customHeight="1" spans="1:11">
      <c r="A3" s="12" t="s">
        <v>1</v>
      </c>
      <c r="B3" s="13" t="s">
        <v>103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158</v>
      </c>
      <c r="H3" s="14"/>
      <c r="I3" s="14" t="s">
        <v>159</v>
      </c>
      <c r="J3" s="14" t="s">
        <v>105</v>
      </c>
      <c r="K3" s="42" t="s">
        <v>106</v>
      </c>
    </row>
    <row r="4" s="2" customFormat="1" ht="23.25" customHeight="1" spans="1:11">
      <c r="A4" s="15"/>
      <c r="B4" s="16"/>
      <c r="C4" s="16"/>
      <c r="D4" s="16"/>
      <c r="E4" s="16"/>
      <c r="F4" s="16"/>
      <c r="G4" s="16" t="s">
        <v>160</v>
      </c>
      <c r="H4" s="16" t="s">
        <v>161</v>
      </c>
      <c r="I4" s="16"/>
      <c r="J4" s="16"/>
      <c r="K4" s="43"/>
    </row>
    <row r="5" s="3" customFormat="1" ht="15.75" spans="1:11">
      <c r="A5" s="17" t="s">
        <v>162</v>
      </c>
      <c r="B5" s="18"/>
      <c r="C5" s="18"/>
      <c r="D5" s="18"/>
      <c r="E5" s="18"/>
      <c r="F5" s="18"/>
      <c r="G5" s="18"/>
      <c r="H5" s="18"/>
      <c r="I5" s="5"/>
      <c r="J5" s="6"/>
      <c r="K5" s="4"/>
    </row>
    <row r="6" s="3" customFormat="1" spans="1:11">
      <c r="A6" s="25" t="s">
        <v>163</v>
      </c>
      <c r="B6" s="26" t="s">
        <v>164</v>
      </c>
      <c r="C6" s="26" t="s">
        <v>165</v>
      </c>
      <c r="D6" s="26" t="str">
        <f>"0,5902"</f>
        <v>0,5902</v>
      </c>
      <c r="E6" s="25" t="s">
        <v>166</v>
      </c>
      <c r="F6" s="25" t="s">
        <v>167</v>
      </c>
      <c r="G6" s="26" t="s">
        <v>168</v>
      </c>
      <c r="H6" s="26" t="s">
        <v>169</v>
      </c>
      <c r="I6" s="49" t="str">
        <f>"2730,0"</f>
        <v>2730,0</v>
      </c>
      <c r="J6" s="50" t="str">
        <f>"1611,2460"</f>
        <v>1611,2460</v>
      </c>
      <c r="K6" s="25"/>
    </row>
    <row r="7" s="3" customFormat="1" spans="1:11">
      <c r="A7" s="4"/>
      <c r="E7" s="4"/>
      <c r="F7" s="4"/>
      <c r="I7" s="5"/>
      <c r="J7" s="6"/>
      <c r="K7" s="4"/>
    </row>
    <row r="8" ht="15.75" spans="5:5">
      <c r="E8" s="32" t="s">
        <v>28</v>
      </c>
    </row>
    <row r="9" ht="15.75" spans="5:5">
      <c r="E9" s="32" t="s">
        <v>29</v>
      </c>
    </row>
    <row r="10" ht="15.75" spans="5:5">
      <c r="E10" s="32" t="s">
        <v>30</v>
      </c>
    </row>
    <row r="11" spans="5:5">
      <c r="E11" s="4" t="s">
        <v>31</v>
      </c>
    </row>
    <row r="12" spans="5:5">
      <c r="E12" s="4" t="s">
        <v>32</v>
      </c>
    </row>
    <row r="13" spans="5:5">
      <c r="E13" s="4" t="s">
        <v>33</v>
      </c>
    </row>
    <row r="16" ht="18.75" spans="1:2">
      <c r="A16" s="33" t="s">
        <v>34</v>
      </c>
      <c r="B16" s="34"/>
    </row>
    <row r="17" ht="15.75" spans="1:2">
      <c r="A17" s="35" t="s">
        <v>35</v>
      </c>
      <c r="B17" s="23"/>
    </row>
    <row r="18" ht="15" spans="1:2">
      <c r="A18" s="36"/>
      <c r="B18" s="37" t="s">
        <v>43</v>
      </c>
    </row>
    <row r="19" ht="14.25" spans="1:5">
      <c r="A19" s="38" t="s">
        <v>1</v>
      </c>
      <c r="B19" s="38" t="s">
        <v>37</v>
      </c>
      <c r="C19" s="38" t="s">
        <v>38</v>
      </c>
      <c r="D19" s="38" t="s">
        <v>39</v>
      </c>
      <c r="E19" s="38" t="s">
        <v>4</v>
      </c>
    </row>
    <row r="20" spans="1:5">
      <c r="A20" s="39" t="s">
        <v>170</v>
      </c>
      <c r="B20" s="3" t="s">
        <v>43</v>
      </c>
      <c r="C20" s="3" t="s">
        <v>171</v>
      </c>
      <c r="D20" s="3" t="s">
        <v>172</v>
      </c>
      <c r="E20" s="5" t="s">
        <v>173</v>
      </c>
    </row>
  </sheetData>
  <mergeCells count="12">
    <mergeCell ref="G3:H3"/>
    <mergeCell ref="A5:H5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A1:K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A1" sqref="A1:Y2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6.55238095238095" style="3" customWidth="1"/>
    <col min="5" max="5" width="17" style="4" customWidth="1"/>
    <col min="6" max="6" width="23.6666666666667" style="4" customWidth="1"/>
    <col min="7" max="7" width="7.78095238095238" style="3" customWidth="1"/>
    <col min="8" max="8" width="4.55238095238095" style="3" customWidth="1"/>
    <col min="9" max="9" width="6.55238095238095" style="5" customWidth="1"/>
    <col min="10" max="10" width="9.55238095238095" style="6" customWidth="1"/>
    <col min="11" max="11" width="7.1047619047619" style="4" customWidth="1"/>
    <col min="12" max="16384" width="9.1047619047619" style="7"/>
  </cols>
  <sheetData>
    <row r="1" s="1" customFormat="1" ht="28.95" customHeight="1" spans="1:11">
      <c r="A1" s="8" t="s">
        <v>174</v>
      </c>
      <c r="B1" s="9"/>
      <c r="C1" s="9"/>
      <c r="D1" s="9"/>
      <c r="E1" s="9"/>
      <c r="F1" s="9"/>
      <c r="G1" s="9"/>
      <c r="H1" s="9"/>
      <c r="I1" s="9"/>
      <c r="J1" s="9"/>
      <c r="K1" s="40"/>
    </row>
    <row r="2" s="1" customFormat="1" ht="61.95" customHeight="1" spans="1:11">
      <c r="A2" s="10"/>
      <c r="B2" s="11"/>
      <c r="C2" s="11"/>
      <c r="D2" s="11"/>
      <c r="E2" s="11"/>
      <c r="F2" s="11"/>
      <c r="G2" s="11"/>
      <c r="H2" s="11"/>
      <c r="I2" s="11"/>
      <c r="J2" s="11"/>
      <c r="K2" s="41"/>
    </row>
    <row r="3" s="2" customFormat="1" customHeight="1" spans="1:11">
      <c r="A3" s="12" t="s">
        <v>1</v>
      </c>
      <c r="B3" s="13" t="s">
        <v>103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158</v>
      </c>
      <c r="H3" s="14"/>
      <c r="I3" s="14" t="s">
        <v>159</v>
      </c>
      <c r="J3" s="14" t="s">
        <v>105</v>
      </c>
      <c r="K3" s="42" t="s">
        <v>106</v>
      </c>
    </row>
    <row r="4" s="2" customFormat="1" ht="23.25" customHeight="1" spans="1:11">
      <c r="A4" s="15"/>
      <c r="B4" s="16"/>
      <c r="C4" s="16"/>
      <c r="D4" s="16"/>
      <c r="E4" s="16"/>
      <c r="F4" s="16"/>
      <c r="G4" s="16" t="s">
        <v>160</v>
      </c>
      <c r="H4" s="16" t="s">
        <v>161</v>
      </c>
      <c r="I4" s="16"/>
      <c r="J4" s="16"/>
      <c r="K4" s="43"/>
    </row>
    <row r="5" s="3" customFormat="1" ht="15.75" spans="1:11">
      <c r="A5" s="17" t="s">
        <v>108</v>
      </c>
      <c r="B5" s="18"/>
      <c r="C5" s="18"/>
      <c r="D5" s="18"/>
      <c r="E5" s="18"/>
      <c r="F5" s="18"/>
      <c r="G5" s="18"/>
      <c r="H5" s="18"/>
      <c r="I5" s="5"/>
      <c r="J5" s="6"/>
      <c r="K5" s="4"/>
    </row>
    <row r="6" s="3" customFormat="1" spans="1:11">
      <c r="A6" s="25" t="s">
        <v>21</v>
      </c>
      <c r="B6" s="26" t="s">
        <v>175</v>
      </c>
      <c r="C6" s="26" t="s">
        <v>23</v>
      </c>
      <c r="D6" s="26" t="str">
        <f>"0,6998"</f>
        <v>0,6998</v>
      </c>
      <c r="E6" s="25" t="s">
        <v>13</v>
      </c>
      <c r="F6" s="25" t="s">
        <v>24</v>
      </c>
      <c r="G6" s="26" t="s">
        <v>16</v>
      </c>
      <c r="H6" s="26" t="s">
        <v>176</v>
      </c>
      <c r="I6" s="49" t="str">
        <f>"1050,0"</f>
        <v>1050,0</v>
      </c>
      <c r="J6" s="50" t="str">
        <f>"1065,3694"</f>
        <v>1065,3694</v>
      </c>
      <c r="K6" s="25"/>
    </row>
    <row r="7" s="3" customFormat="1" spans="1:11">
      <c r="A7" s="4"/>
      <c r="E7" s="4"/>
      <c r="F7" s="4"/>
      <c r="I7" s="5"/>
      <c r="J7" s="6"/>
      <c r="K7" s="4"/>
    </row>
    <row r="8" ht="15.75" spans="1:8">
      <c r="A8" s="23" t="s">
        <v>177</v>
      </c>
      <c r="B8" s="24"/>
      <c r="C8" s="24"/>
      <c r="D8" s="24"/>
      <c r="E8" s="24"/>
      <c r="F8" s="24"/>
      <c r="G8" s="24"/>
      <c r="H8" s="24"/>
    </row>
    <row r="9" spans="1:11">
      <c r="A9" s="25" t="s">
        <v>178</v>
      </c>
      <c r="B9" s="26" t="s">
        <v>179</v>
      </c>
      <c r="C9" s="26" t="s">
        <v>180</v>
      </c>
      <c r="D9" s="26" t="str">
        <f>"0,6641"</f>
        <v>0,6641</v>
      </c>
      <c r="E9" s="25" t="s">
        <v>13</v>
      </c>
      <c r="F9" s="25" t="s">
        <v>181</v>
      </c>
      <c r="G9" s="26" t="s">
        <v>74</v>
      </c>
      <c r="H9" s="26" t="s">
        <v>182</v>
      </c>
      <c r="I9" s="49" t="str">
        <f>"2560,0"</f>
        <v>2560,0</v>
      </c>
      <c r="J9" s="50" t="str">
        <f>"1980,6118"</f>
        <v>1980,6118</v>
      </c>
      <c r="K9" s="25"/>
    </row>
    <row r="11" ht="15.75" spans="5:5">
      <c r="E11" s="32" t="s">
        <v>28</v>
      </c>
    </row>
    <row r="12" ht="15.75" spans="5:5">
      <c r="E12" s="32" t="s">
        <v>29</v>
      </c>
    </row>
    <row r="13" ht="15.75" spans="5:5">
      <c r="E13" s="32" t="s">
        <v>30</v>
      </c>
    </row>
    <row r="14" spans="5:5">
      <c r="E14" s="4" t="s">
        <v>31</v>
      </c>
    </row>
    <row r="15" spans="5:5">
      <c r="E15" s="4" t="s">
        <v>32</v>
      </c>
    </row>
    <row r="16" spans="5:5">
      <c r="E16" s="4" t="s">
        <v>33</v>
      </c>
    </row>
    <row r="19" ht="18.75" spans="1:2">
      <c r="A19" s="33" t="s">
        <v>34</v>
      </c>
      <c r="B19" s="34"/>
    </row>
    <row r="20" ht="15.75" spans="1:2">
      <c r="A20" s="35" t="s">
        <v>35</v>
      </c>
      <c r="B20" s="23"/>
    </row>
    <row r="21" ht="15" spans="1:2">
      <c r="A21" s="36"/>
      <c r="B21" s="37" t="s">
        <v>130</v>
      </c>
    </row>
    <row r="22" ht="14.25" spans="1:5">
      <c r="A22" s="38" t="s">
        <v>1</v>
      </c>
      <c r="B22" s="38" t="s">
        <v>37</v>
      </c>
      <c r="C22" s="38" t="s">
        <v>38</v>
      </c>
      <c r="D22" s="38" t="s">
        <v>39</v>
      </c>
      <c r="E22" s="38" t="s">
        <v>4</v>
      </c>
    </row>
    <row r="23" spans="1:5">
      <c r="A23" s="39" t="s">
        <v>183</v>
      </c>
      <c r="B23" s="3" t="s">
        <v>184</v>
      </c>
      <c r="C23" s="3" t="s">
        <v>185</v>
      </c>
      <c r="D23" s="3" t="s">
        <v>186</v>
      </c>
      <c r="E23" s="5" t="s">
        <v>187</v>
      </c>
    </row>
    <row r="24" spans="1:5">
      <c r="A24" s="39" t="s">
        <v>45</v>
      </c>
      <c r="B24" s="3" t="s">
        <v>188</v>
      </c>
      <c r="C24" s="3" t="s">
        <v>125</v>
      </c>
      <c r="D24" s="3" t="s">
        <v>189</v>
      </c>
      <c r="E24" s="5" t="s">
        <v>190</v>
      </c>
    </row>
  </sheetData>
  <mergeCells count="13">
    <mergeCell ref="G3:H3"/>
    <mergeCell ref="A5:H5"/>
    <mergeCell ref="A8:H8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A1:K2"/>
  </mergeCells>
  <pageMargins left="0.196850393700787" right="0.47244094488189" top="0.433070866141732" bottom="0.47244094488189" header="0.511811023622047" footer="0.511811023622047"/>
  <pageSetup paperSize="1" scale="65" fitToHeight="100" orientation="landscape" horizontalDpi="300" verticalDpi="300"/>
  <headerFooter alignWithMargins="0">
    <oddFooter>&amp;L&amp;G&amp;R&amp;D&amp;T&amp;P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workbookViewId="0">
      <selection activeCell="A1" sqref="$A1:$XFD1048576"/>
    </sheetView>
  </sheetViews>
  <sheetFormatPr defaultColWidth="9.1047619047619" defaultRowHeight="12.75" outlineLevelRow="6"/>
  <cols>
    <col min="1" max="1" width="25" style="88" customWidth="1"/>
    <col min="2" max="2" width="19.552380952381" style="89" customWidth="1"/>
    <col min="3" max="3" width="8.1047619047619" style="3" customWidth="1"/>
    <col min="4" max="4" width="7.33333333333333" style="90" customWidth="1"/>
    <col min="5" max="6" width="12.1047619047619" style="91" customWidth="1"/>
    <col min="7" max="8" width="7" style="92" customWidth="1"/>
    <col min="9" max="10" width="6.55238095238095" style="92" customWidth="1"/>
    <col min="11" max="11" width="7.33333333333333" style="92" customWidth="1"/>
    <col min="12" max="12" width="6.55238095238095" style="92" customWidth="1"/>
    <col min="13" max="15" width="6.88571428571429" style="92" customWidth="1"/>
    <col min="16" max="16" width="6.55238095238095" style="92" customWidth="1"/>
    <col min="17" max="18" width="6.88571428571429" style="92" customWidth="1"/>
    <col min="19" max="19" width="8" style="92" customWidth="1"/>
    <col min="20" max="20" width="4.55238095238095" style="92" customWidth="1"/>
    <col min="21" max="21" width="8" style="92" customWidth="1"/>
    <col min="22" max="22" width="4.55238095238095" style="92" customWidth="1"/>
    <col min="23" max="23" width="8.43809523809524" style="93" customWidth="1"/>
    <col min="24" max="24" width="5.88571428571429" style="94" customWidth="1"/>
    <col min="25" max="25" width="14.1047619047619" style="88" customWidth="1"/>
    <col min="26" max="16384" width="9.1047619047619" style="7"/>
  </cols>
  <sheetData>
    <row r="1" s="1" customFormat="1" ht="15" customHeight="1" spans="1:25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101"/>
    </row>
    <row r="2" s="1" customFormat="1" ht="13.5" spans="1:25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102"/>
    </row>
    <row r="3" s="2" customFormat="1" customHeight="1" spans="1:25">
      <c r="A3" s="12" t="s">
        <v>1</v>
      </c>
      <c r="B3" s="13" t="s">
        <v>103</v>
      </c>
      <c r="C3" s="13" t="s">
        <v>3</v>
      </c>
      <c r="D3" s="99" t="s">
        <v>191</v>
      </c>
      <c r="E3" s="14" t="s">
        <v>5</v>
      </c>
      <c r="F3" s="14" t="s">
        <v>192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99" t="s">
        <v>193</v>
      </c>
      <c r="X3" s="99" t="s">
        <v>105</v>
      </c>
      <c r="Y3" s="42" t="s">
        <v>106</v>
      </c>
    </row>
    <row r="4" s="2" customFormat="1" ht="23.25" customHeight="1" spans="1:25">
      <c r="A4" s="15"/>
      <c r="B4" s="16"/>
      <c r="C4" s="16"/>
      <c r="D4" s="100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>
        <v>1</v>
      </c>
      <c r="L4" s="16">
        <v>2</v>
      </c>
      <c r="M4" s="16">
        <v>3</v>
      </c>
      <c r="N4" s="16" t="s">
        <v>107</v>
      </c>
      <c r="O4" s="16">
        <v>1</v>
      </c>
      <c r="P4" s="16">
        <v>2</v>
      </c>
      <c r="Q4" s="16">
        <v>3</v>
      </c>
      <c r="R4" s="16" t="s">
        <v>107</v>
      </c>
      <c r="S4" s="16" t="s">
        <v>160</v>
      </c>
      <c r="T4" s="16" t="s">
        <v>161</v>
      </c>
      <c r="U4" s="16" t="s">
        <v>160</v>
      </c>
      <c r="V4" s="16" t="s">
        <v>161</v>
      </c>
      <c r="W4" s="100"/>
      <c r="X4" s="100"/>
      <c r="Y4" s="43"/>
    </row>
    <row r="5" s="3" customFormat="1" spans="1:25">
      <c r="A5" s="4"/>
      <c r="D5" s="90"/>
      <c r="E5" s="4"/>
      <c r="F5" s="4"/>
      <c r="W5" s="93"/>
      <c r="X5" s="94"/>
      <c r="Y5" s="4"/>
    </row>
    <row r="6" s="3" customFormat="1" spans="1:25">
      <c r="A6" s="4"/>
      <c r="D6" s="90"/>
      <c r="E6" s="4"/>
      <c r="F6" s="4"/>
      <c r="W6" s="93"/>
      <c r="X6" s="94"/>
      <c r="Y6" s="4"/>
    </row>
    <row r="7" s="3" customFormat="1" spans="1:25">
      <c r="A7" s="4"/>
      <c r="D7" s="90"/>
      <c r="E7" s="4"/>
      <c r="F7" s="4"/>
      <c r="W7" s="93"/>
      <c r="X7" s="94"/>
      <c r="Y7" s="4"/>
    </row>
  </sheetData>
  <mergeCells count="15">
    <mergeCell ref="G3:J3"/>
    <mergeCell ref="K3:N3"/>
    <mergeCell ref="O3:R3"/>
    <mergeCell ref="S3:T3"/>
    <mergeCell ref="U3:V3"/>
    <mergeCell ref="A3:A4"/>
    <mergeCell ref="B3:B4"/>
    <mergeCell ref="C3:C4"/>
    <mergeCell ref="D3:D4"/>
    <mergeCell ref="E3:E4"/>
    <mergeCell ref="F3:F4"/>
    <mergeCell ref="W3:W4"/>
    <mergeCell ref="X3:X4"/>
    <mergeCell ref="Y3:Y4"/>
    <mergeCell ref="A1:Y2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workbookViewId="0">
      <selection activeCell="A1" sqref="A1:Q2"/>
    </sheetView>
  </sheetViews>
  <sheetFormatPr defaultColWidth="7.80952380952381" defaultRowHeight="12.75"/>
  <cols>
    <col min="1" max="1" width="21.3333333333333" style="56" customWidth="1"/>
    <col min="2" max="2" width="16.3809523809524" style="55" customWidth="1"/>
    <col min="3" max="3" width="6.47619047619048" style="55" customWidth="1"/>
    <col min="4" max="4" width="7.52380952380952" style="55" customWidth="1"/>
    <col min="5" max="5" width="14.5714285714286" style="56" customWidth="1"/>
    <col min="6" max="6" width="19.6190476190476" style="56" customWidth="1"/>
    <col min="7" max="9" width="3.9047619047619" style="55" customWidth="1"/>
    <col min="10" max="10" width="4.09523809523809" style="55" customWidth="1"/>
    <col min="11" max="13" width="4.76190476190476" style="55" customWidth="1"/>
    <col min="14" max="14" width="4.09523809523809" style="55" customWidth="1"/>
    <col min="15" max="15" width="4.95238095238095" style="57" customWidth="1"/>
    <col min="16" max="16" width="7.33333333333333" style="58" customWidth="1"/>
    <col min="17" max="17" width="6.09523809523809" style="56" customWidth="1"/>
    <col min="18" max="16384" width="7.80952380952381" style="59"/>
  </cols>
  <sheetData>
    <row r="1" s="53" customFormat="1" ht="28.95" customHeight="1" spans="1:17">
      <c r="A1" s="60" t="s">
        <v>194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84"/>
    </row>
    <row r="2" s="53" customFormat="1" ht="61.95" customHeight="1" spans="1:17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85"/>
    </row>
    <row r="3" s="54" customFormat="1" customHeight="1" spans="1:17">
      <c r="A3" s="64" t="s">
        <v>1</v>
      </c>
      <c r="B3" s="65" t="s">
        <v>103</v>
      </c>
      <c r="C3" s="65" t="s">
        <v>3</v>
      </c>
      <c r="D3" s="66" t="s">
        <v>195</v>
      </c>
      <c r="E3" s="66" t="s">
        <v>5</v>
      </c>
      <c r="F3" s="66" t="s">
        <v>6</v>
      </c>
      <c r="G3" s="66" t="s">
        <v>104</v>
      </c>
      <c r="H3" s="66"/>
      <c r="I3" s="66"/>
      <c r="J3" s="66"/>
      <c r="K3" s="66" t="s">
        <v>49</v>
      </c>
      <c r="L3" s="66"/>
      <c r="M3" s="66"/>
      <c r="N3" s="66"/>
      <c r="O3" s="66" t="s">
        <v>193</v>
      </c>
      <c r="P3" s="66" t="s">
        <v>105</v>
      </c>
      <c r="Q3" s="86" t="s">
        <v>106</v>
      </c>
    </row>
    <row r="4" s="54" customFormat="1" ht="23.25" customHeight="1" spans="1:17">
      <c r="A4" s="67"/>
      <c r="B4" s="68"/>
      <c r="C4" s="68"/>
      <c r="D4" s="68"/>
      <c r="E4" s="68"/>
      <c r="F4" s="68"/>
      <c r="G4" s="68">
        <v>1</v>
      </c>
      <c r="H4" s="68">
        <v>2</v>
      </c>
      <c r="I4" s="68">
        <v>3</v>
      </c>
      <c r="J4" s="68" t="s">
        <v>107</v>
      </c>
      <c r="K4" s="68">
        <v>1</v>
      </c>
      <c r="L4" s="68">
        <v>2</v>
      </c>
      <c r="M4" s="68">
        <v>3</v>
      </c>
      <c r="N4" s="68" t="s">
        <v>107</v>
      </c>
      <c r="O4" s="68"/>
      <c r="P4" s="68"/>
      <c r="Q4" s="87"/>
    </row>
    <row r="5" s="55" customFormat="1" ht="15.75" spans="1:17">
      <c r="A5" s="69" t="s">
        <v>196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57"/>
      <c r="P5" s="58"/>
      <c r="Q5" s="56"/>
    </row>
    <row r="6" s="55" customFormat="1" spans="1:17">
      <c r="A6" s="70" t="s">
        <v>197</v>
      </c>
      <c r="B6" s="71" t="s">
        <v>198</v>
      </c>
      <c r="C6" s="71" t="s">
        <v>199</v>
      </c>
      <c r="D6" s="71" t="str">
        <f>"0,8031"</f>
        <v>0,8031</v>
      </c>
      <c r="E6" s="70" t="s">
        <v>13</v>
      </c>
      <c r="F6" s="70" t="s">
        <v>200</v>
      </c>
      <c r="G6" s="71" t="s">
        <v>201</v>
      </c>
      <c r="H6" s="71" t="s">
        <v>74</v>
      </c>
      <c r="I6" s="71" t="s">
        <v>202</v>
      </c>
      <c r="J6" s="81"/>
      <c r="K6" s="71" t="s">
        <v>203</v>
      </c>
      <c r="L6" s="71" t="s">
        <v>204</v>
      </c>
      <c r="M6" s="71" t="s">
        <v>205</v>
      </c>
      <c r="N6" s="81"/>
      <c r="O6" s="82" t="str">
        <f>"230,0"</f>
        <v>230,0</v>
      </c>
      <c r="P6" s="83" t="str">
        <f>"184,7130"</f>
        <v>184,7130</v>
      </c>
      <c r="Q6" s="70"/>
    </row>
    <row r="7" s="55" customFormat="1" spans="1:17">
      <c r="A7" s="56"/>
      <c r="E7" s="56"/>
      <c r="F7" s="56"/>
      <c r="O7" s="57"/>
      <c r="P7" s="58"/>
      <c r="Q7" s="56"/>
    </row>
    <row r="8" ht="15.75" spans="5:5">
      <c r="E8" s="72" t="s">
        <v>28</v>
      </c>
    </row>
    <row r="9" ht="15.75" spans="5:5">
      <c r="E9" s="72" t="s">
        <v>29</v>
      </c>
    </row>
    <row r="10" ht="15.75" spans="5:5">
      <c r="E10" s="72" t="s">
        <v>30</v>
      </c>
    </row>
    <row r="11" spans="5:5">
      <c r="E11" s="56" t="s">
        <v>31</v>
      </c>
    </row>
    <row r="12" spans="5:5">
      <c r="E12" s="56" t="s">
        <v>32</v>
      </c>
    </row>
    <row r="13" spans="5:5">
      <c r="E13" s="56" t="s">
        <v>33</v>
      </c>
    </row>
    <row r="16" ht="18.75" spans="1:2">
      <c r="A16" s="73" t="s">
        <v>34</v>
      </c>
      <c r="B16" s="74"/>
    </row>
    <row r="17" ht="15.75" spans="1:2">
      <c r="A17" s="75" t="s">
        <v>92</v>
      </c>
      <c r="B17" s="76"/>
    </row>
    <row r="18" ht="15" spans="1:2">
      <c r="A18" s="77"/>
      <c r="B18" s="78" t="s">
        <v>43</v>
      </c>
    </row>
    <row r="19" ht="14.25" spans="1:5">
      <c r="A19" s="79" t="s">
        <v>1</v>
      </c>
      <c r="B19" s="79" t="s">
        <v>37</v>
      </c>
      <c r="C19" s="79" t="s">
        <v>38</v>
      </c>
      <c r="D19" s="79" t="s">
        <v>206</v>
      </c>
      <c r="E19" s="79" t="s">
        <v>195</v>
      </c>
    </row>
    <row r="20" spans="1:5">
      <c r="A20" s="80" t="s">
        <v>207</v>
      </c>
      <c r="B20" s="55" t="s">
        <v>43</v>
      </c>
      <c r="C20" s="55" t="s">
        <v>208</v>
      </c>
      <c r="D20" s="55" t="s">
        <v>209</v>
      </c>
      <c r="E20" s="57" t="s">
        <v>210</v>
      </c>
    </row>
  </sheetData>
  <mergeCells count="13">
    <mergeCell ref="G3:J3"/>
    <mergeCell ref="K3:N3"/>
    <mergeCell ref="A5:N5"/>
    <mergeCell ref="A3:A4"/>
    <mergeCell ref="B3:B4"/>
    <mergeCell ref="C3:C4"/>
    <mergeCell ref="D3:D4"/>
    <mergeCell ref="E3:E4"/>
    <mergeCell ref="F3:F4"/>
    <mergeCell ref="O3:O4"/>
    <mergeCell ref="P3:P4"/>
    <mergeCell ref="Q3:Q4"/>
    <mergeCell ref="A1:Q2"/>
  </mergeCells>
  <pageMargins left="0.196850393700787" right="0.47244094488189" top="0.433070866141732" bottom="0.47244094488189" header="0.511811023622047" footer="0.511811023622047"/>
  <pageSetup paperSize="1" scale="65" fitToHeight="100" orientation="landscape" horizontalDpi="300" verticalDpi="300"/>
  <headerFooter alignWithMargins="0">
    <oddFooter>&amp;L&amp;G&amp;R&amp;D&amp;T&amp;P</oddFooter>
  </headerFooter>
  <legacyDrawingHF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8.78095238095238" style="3" customWidth="1"/>
    <col min="5" max="5" width="17" style="4" customWidth="1"/>
    <col min="6" max="6" width="23.4380952380952" style="4" customWidth="1"/>
    <col min="7" max="9" width="5.55238095238095" style="3" customWidth="1"/>
    <col min="10" max="10" width="4.78095238095238" style="3" customWidth="1"/>
    <col min="11" max="13" width="5.55238095238095" style="3" customWidth="1"/>
    <col min="14" max="14" width="4.78095238095238" style="3" customWidth="1"/>
    <col min="15" max="15" width="5.78095238095238" style="5" customWidth="1"/>
    <col min="16" max="16" width="8.55238095238095" style="6" customWidth="1"/>
    <col min="17" max="17" width="7.1047619047619" style="4" customWidth="1"/>
    <col min="18" max="16384" width="9.1047619047619" style="7"/>
  </cols>
  <sheetData>
    <row r="1" s="1" customFormat="1" ht="28.95" customHeight="1" spans="1:17">
      <c r="A1" s="8" t="s">
        <v>211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40"/>
    </row>
    <row r="2" s="1" customFormat="1" ht="61.95" customHeight="1" spans="1:17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41"/>
    </row>
    <row r="3" s="2" customFormat="1" customHeight="1" spans="1:17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104</v>
      </c>
      <c r="H3" s="14"/>
      <c r="I3" s="14"/>
      <c r="J3" s="14"/>
      <c r="K3" s="14" t="s">
        <v>49</v>
      </c>
      <c r="L3" s="14"/>
      <c r="M3" s="14"/>
      <c r="N3" s="14"/>
      <c r="O3" s="14" t="s">
        <v>193</v>
      </c>
      <c r="P3" s="14" t="s">
        <v>105</v>
      </c>
      <c r="Q3" s="42" t="s">
        <v>106</v>
      </c>
    </row>
    <row r="4" s="2" customFormat="1" ht="23.25" customHeight="1" spans="1:17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>
        <v>1</v>
      </c>
      <c r="L4" s="16">
        <v>2</v>
      </c>
      <c r="M4" s="16">
        <v>3</v>
      </c>
      <c r="N4" s="16" t="s">
        <v>107</v>
      </c>
      <c r="O4" s="16"/>
      <c r="P4" s="16"/>
      <c r="Q4" s="43"/>
    </row>
    <row r="5" s="3" customFormat="1" ht="15.75" spans="1:17">
      <c r="A5" s="17" t="s">
        <v>108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"/>
      <c r="P5" s="6"/>
      <c r="Q5" s="4"/>
    </row>
    <row r="6" s="3" customFormat="1" spans="1:17">
      <c r="A6" s="25" t="s">
        <v>212</v>
      </c>
      <c r="B6" s="26" t="s">
        <v>213</v>
      </c>
      <c r="C6" s="26" t="s">
        <v>12</v>
      </c>
      <c r="D6" s="26" t="str">
        <f>"0,6645"</f>
        <v>0,6645</v>
      </c>
      <c r="E6" s="25" t="s">
        <v>87</v>
      </c>
      <c r="F6" s="25" t="s">
        <v>14</v>
      </c>
      <c r="G6" s="26" t="s">
        <v>214</v>
      </c>
      <c r="H6" s="26" t="s">
        <v>83</v>
      </c>
      <c r="I6" s="48" t="s">
        <v>215</v>
      </c>
      <c r="J6" s="48"/>
      <c r="K6" s="26" t="s">
        <v>216</v>
      </c>
      <c r="L6" s="26" t="s">
        <v>74</v>
      </c>
      <c r="M6" s="26" t="s">
        <v>217</v>
      </c>
      <c r="N6" s="48"/>
      <c r="O6" s="49" t="str">
        <f>"127,5"</f>
        <v>127,5</v>
      </c>
      <c r="P6" s="50" t="str">
        <f>"84,7237"</f>
        <v>84,7237</v>
      </c>
      <c r="Q6" s="25"/>
    </row>
    <row r="7" s="3" customFormat="1" spans="1:17">
      <c r="A7" s="4"/>
      <c r="E7" s="4"/>
      <c r="F7" s="4"/>
      <c r="O7" s="5"/>
      <c r="P7" s="6"/>
      <c r="Q7" s="4"/>
    </row>
    <row r="8" ht="15.75" spans="1:14">
      <c r="A8" s="23" t="s">
        <v>162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7">
      <c r="A9" s="25" t="s">
        <v>218</v>
      </c>
      <c r="B9" s="26" t="s">
        <v>219</v>
      </c>
      <c r="C9" s="26" t="s">
        <v>220</v>
      </c>
      <c r="D9" s="26" t="str">
        <f>"0,5589"</f>
        <v>0,5589</v>
      </c>
      <c r="E9" s="25" t="s">
        <v>13</v>
      </c>
      <c r="F9" s="25" t="s">
        <v>147</v>
      </c>
      <c r="G9" s="26" t="s">
        <v>221</v>
      </c>
      <c r="H9" s="26" t="s">
        <v>222</v>
      </c>
      <c r="I9" s="26" t="s">
        <v>223</v>
      </c>
      <c r="J9" s="48"/>
      <c r="K9" s="26" t="s">
        <v>224</v>
      </c>
      <c r="L9" s="26" t="s">
        <v>225</v>
      </c>
      <c r="M9" s="26" t="s">
        <v>226</v>
      </c>
      <c r="N9" s="48"/>
      <c r="O9" s="49" t="str">
        <f>"387,5"</f>
        <v>387,5</v>
      </c>
      <c r="P9" s="50" t="str">
        <f>"309,7005"</f>
        <v>309,7005</v>
      </c>
      <c r="Q9" s="25"/>
    </row>
    <row r="11" ht="15.75" spans="5:5">
      <c r="E11" s="32" t="s">
        <v>28</v>
      </c>
    </row>
    <row r="12" ht="15.75" spans="5:5">
      <c r="E12" s="32" t="s">
        <v>29</v>
      </c>
    </row>
    <row r="13" ht="15.75" spans="5:5">
      <c r="E13" s="32" t="s">
        <v>30</v>
      </c>
    </row>
    <row r="14" spans="5:5">
      <c r="E14" s="4" t="s">
        <v>31</v>
      </c>
    </row>
    <row r="15" spans="5:5">
      <c r="E15" s="4" t="s">
        <v>32</v>
      </c>
    </row>
    <row r="16" spans="5:5">
      <c r="E16" s="4" t="s">
        <v>33</v>
      </c>
    </row>
    <row r="19" ht="18.75" spans="1:2">
      <c r="A19" s="33" t="s">
        <v>34</v>
      </c>
      <c r="B19" s="34"/>
    </row>
    <row r="20" ht="15.75" spans="1:2">
      <c r="A20" s="35" t="s">
        <v>35</v>
      </c>
      <c r="B20" s="23"/>
    </row>
    <row r="21" ht="15" spans="1:2">
      <c r="A21" s="36"/>
      <c r="B21" s="37" t="s">
        <v>227</v>
      </c>
    </row>
    <row r="22" ht="14.25" spans="1:5">
      <c r="A22" s="38" t="s">
        <v>1</v>
      </c>
      <c r="B22" s="38" t="s">
        <v>37</v>
      </c>
      <c r="C22" s="38" t="s">
        <v>38</v>
      </c>
      <c r="D22" s="38" t="s">
        <v>206</v>
      </c>
      <c r="E22" s="38" t="s">
        <v>195</v>
      </c>
    </row>
    <row r="23" spans="1:5">
      <c r="A23" s="39" t="s">
        <v>228</v>
      </c>
      <c r="B23" s="3" t="s">
        <v>229</v>
      </c>
      <c r="C23" s="3" t="s">
        <v>125</v>
      </c>
      <c r="D23" s="3" t="s">
        <v>230</v>
      </c>
      <c r="E23" s="5" t="s">
        <v>231</v>
      </c>
    </row>
    <row r="25" ht="15" spans="1:2">
      <c r="A25" s="36"/>
      <c r="B25" s="37" t="s">
        <v>130</v>
      </c>
    </row>
    <row r="26" ht="14.25" spans="1:5">
      <c r="A26" s="38" t="s">
        <v>1</v>
      </c>
      <c r="B26" s="38" t="s">
        <v>37</v>
      </c>
      <c r="C26" s="38" t="s">
        <v>38</v>
      </c>
      <c r="D26" s="38" t="s">
        <v>206</v>
      </c>
      <c r="E26" s="38" t="s">
        <v>195</v>
      </c>
    </row>
    <row r="27" spans="1:5">
      <c r="A27" s="39" t="s">
        <v>232</v>
      </c>
      <c r="B27" s="3" t="s">
        <v>233</v>
      </c>
      <c r="C27" s="3" t="s">
        <v>171</v>
      </c>
      <c r="D27" s="3" t="s">
        <v>234</v>
      </c>
      <c r="E27" s="5" t="s">
        <v>235</v>
      </c>
    </row>
  </sheetData>
  <mergeCells count="14">
    <mergeCell ref="G3:J3"/>
    <mergeCell ref="K3:N3"/>
    <mergeCell ref="A5:N5"/>
    <mergeCell ref="A8:N8"/>
    <mergeCell ref="A3:A4"/>
    <mergeCell ref="B3:B4"/>
    <mergeCell ref="C3:C4"/>
    <mergeCell ref="D3:D4"/>
    <mergeCell ref="E3:E4"/>
    <mergeCell ref="F3:F4"/>
    <mergeCell ref="O3:O4"/>
    <mergeCell ref="P3:P4"/>
    <mergeCell ref="Q3:Q4"/>
    <mergeCell ref="A1:Q2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19.1047619047619" style="3" customWidth="1"/>
    <col min="3" max="3" width="7.55238095238095" style="3" customWidth="1"/>
    <col min="4" max="4" width="8.78095238095238" style="3" customWidth="1"/>
    <col min="5" max="5" width="18.4380952380952" style="4" customWidth="1"/>
    <col min="6" max="6" width="26.4380952380952" style="4" customWidth="1"/>
    <col min="7" max="9" width="4.55238095238095" style="3" customWidth="1"/>
    <col min="10" max="10" width="4.78095238095238" style="3" customWidth="1"/>
    <col min="11" max="11" width="5.78095238095238" style="5" customWidth="1"/>
    <col min="12" max="12" width="7.55238095238095" style="6" customWidth="1"/>
    <col min="13" max="13" width="7.1047619047619" style="4" customWidth="1"/>
    <col min="14" max="16384" width="9.1047619047619" style="7"/>
  </cols>
  <sheetData>
    <row r="1" s="1" customFormat="1" ht="28.95" customHeight="1" spans="1:13">
      <c r="A1" s="8" t="s">
        <v>236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237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238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239</v>
      </c>
      <c r="B6" s="26" t="s">
        <v>240</v>
      </c>
      <c r="C6" s="26" t="s">
        <v>241</v>
      </c>
      <c r="D6" s="26" t="str">
        <f>"0,5918"</f>
        <v>0,5918</v>
      </c>
      <c r="E6" s="25" t="s">
        <v>81</v>
      </c>
      <c r="F6" s="25" t="s">
        <v>82</v>
      </c>
      <c r="G6" s="26" t="s">
        <v>242</v>
      </c>
      <c r="H6" s="26" t="s">
        <v>26</v>
      </c>
      <c r="I6" s="48" t="s">
        <v>16</v>
      </c>
      <c r="J6" s="48"/>
      <c r="K6" s="49" t="str">
        <f>"65,0"</f>
        <v>65,0</v>
      </c>
      <c r="L6" s="50" t="str">
        <f>"38,4670"</f>
        <v>38,4670</v>
      </c>
      <c r="M6" s="25"/>
    </row>
    <row r="7" s="3" customFormat="1" spans="1:13">
      <c r="A7" s="4"/>
      <c r="E7" s="4"/>
      <c r="F7" s="4"/>
      <c r="K7" s="5"/>
      <c r="L7" s="6"/>
      <c r="M7" s="4"/>
    </row>
    <row r="8" ht="15.75" spans="1:10">
      <c r="A8" s="23" t="s">
        <v>162</v>
      </c>
      <c r="B8" s="24"/>
      <c r="C8" s="24"/>
      <c r="D8" s="24"/>
      <c r="E8" s="24"/>
      <c r="F8" s="24"/>
      <c r="G8" s="24"/>
      <c r="H8" s="24"/>
      <c r="I8" s="24"/>
      <c r="J8" s="24"/>
    </row>
    <row r="9" spans="1:13">
      <c r="A9" s="25" t="s">
        <v>243</v>
      </c>
      <c r="B9" s="26" t="s">
        <v>244</v>
      </c>
      <c r="C9" s="26" t="s">
        <v>245</v>
      </c>
      <c r="D9" s="26" t="str">
        <f>"0,5838"</f>
        <v>0,5838</v>
      </c>
      <c r="E9" s="25" t="s">
        <v>13</v>
      </c>
      <c r="F9" s="25" t="s">
        <v>147</v>
      </c>
      <c r="G9" s="26" t="s">
        <v>15</v>
      </c>
      <c r="H9" s="26" t="s">
        <v>25</v>
      </c>
      <c r="I9" s="26" t="s">
        <v>26</v>
      </c>
      <c r="J9" s="48"/>
      <c r="K9" s="49" t="str">
        <f>"65,0"</f>
        <v>65,0</v>
      </c>
      <c r="L9" s="50" t="str">
        <f>"37,9470"</f>
        <v>37,9470</v>
      </c>
      <c r="M9" s="25"/>
    </row>
    <row r="11" ht="15.75" spans="5:5">
      <c r="E11" s="32" t="s">
        <v>28</v>
      </c>
    </row>
    <row r="12" ht="15.75" spans="5:5">
      <c r="E12" s="32" t="s">
        <v>29</v>
      </c>
    </row>
    <row r="13" ht="15.75" spans="5:5">
      <c r="E13" s="32" t="s">
        <v>30</v>
      </c>
    </row>
    <row r="14" spans="5:5">
      <c r="E14" s="4" t="s">
        <v>31</v>
      </c>
    </row>
    <row r="15" spans="5:5">
      <c r="E15" s="4" t="s">
        <v>32</v>
      </c>
    </row>
    <row r="16" spans="5:5">
      <c r="E16" s="4" t="s">
        <v>33</v>
      </c>
    </row>
    <row r="19" ht="18.75" spans="1:2">
      <c r="A19" s="33" t="s">
        <v>34</v>
      </c>
      <c r="B19" s="34"/>
    </row>
    <row r="20" ht="15.75" spans="1:2">
      <c r="A20" s="35" t="s">
        <v>35</v>
      </c>
      <c r="B20" s="23"/>
    </row>
    <row r="21" ht="15" spans="1:2">
      <c r="A21" s="36"/>
      <c r="B21" s="37" t="s">
        <v>43</v>
      </c>
    </row>
    <row r="22" ht="14.25" spans="1:5">
      <c r="A22" s="38" t="s">
        <v>1</v>
      </c>
      <c r="B22" s="38" t="s">
        <v>37</v>
      </c>
      <c r="C22" s="38" t="s">
        <v>38</v>
      </c>
      <c r="D22" s="38" t="s">
        <v>39</v>
      </c>
      <c r="E22" s="38" t="s">
        <v>195</v>
      </c>
    </row>
    <row r="23" spans="1:5">
      <c r="A23" s="39" t="s">
        <v>246</v>
      </c>
      <c r="B23" s="3" t="s">
        <v>43</v>
      </c>
      <c r="C23" s="3" t="s">
        <v>247</v>
      </c>
      <c r="D23" s="3" t="s">
        <v>26</v>
      </c>
      <c r="E23" s="5" t="s">
        <v>248</v>
      </c>
    </row>
    <row r="24" spans="1:5">
      <c r="A24" s="39" t="s">
        <v>249</v>
      </c>
      <c r="B24" s="3" t="s">
        <v>43</v>
      </c>
      <c r="C24" s="3" t="s">
        <v>171</v>
      </c>
      <c r="D24" s="3" t="s">
        <v>26</v>
      </c>
      <c r="E24" s="5" t="s">
        <v>250</v>
      </c>
    </row>
  </sheetData>
  <mergeCells count="13">
    <mergeCell ref="G3:J3"/>
    <mergeCell ref="A5:J5"/>
    <mergeCell ref="A8:J8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8.78095238095238" style="3" customWidth="1"/>
    <col min="5" max="5" width="18.4380952380952" style="4" customWidth="1"/>
    <col min="6" max="6" width="35.8857142857143" style="4" customWidth="1"/>
    <col min="7" max="9" width="4.55238095238095" style="3" customWidth="1"/>
    <col min="10" max="10" width="4.78095238095238" style="3" customWidth="1"/>
    <col min="11" max="11" width="5.78095238095238" style="5" customWidth="1"/>
    <col min="12" max="12" width="7.55238095238095" style="6" customWidth="1"/>
    <col min="13" max="13" width="7.1047619047619" style="4" customWidth="1"/>
    <col min="14" max="16384" width="9.1047619047619" style="7"/>
  </cols>
  <sheetData>
    <row r="1" s="1" customFormat="1" ht="28.95" customHeight="1" spans="1:13">
      <c r="A1" s="8" t="s">
        <v>251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237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177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252</v>
      </c>
      <c r="B6" s="26" t="s">
        <v>253</v>
      </c>
      <c r="C6" s="26" t="s">
        <v>254</v>
      </c>
      <c r="D6" s="26" t="str">
        <f>"0,6384"</f>
        <v>0,6384</v>
      </c>
      <c r="E6" s="25" t="s">
        <v>81</v>
      </c>
      <c r="F6" s="25" t="s">
        <v>82</v>
      </c>
      <c r="G6" s="26" t="s">
        <v>215</v>
      </c>
      <c r="H6" s="26" t="s">
        <v>255</v>
      </c>
      <c r="I6" s="48" t="s">
        <v>256</v>
      </c>
      <c r="J6" s="48"/>
      <c r="K6" s="49" t="str">
        <f>"47,5"</f>
        <v>47,5</v>
      </c>
      <c r="L6" s="50" t="str">
        <f>"30,3240"</f>
        <v>30,3240</v>
      </c>
      <c r="M6" s="25"/>
    </row>
    <row r="7" s="3" customFormat="1" spans="1:13">
      <c r="A7" s="4"/>
      <c r="E7" s="4"/>
      <c r="F7" s="4"/>
      <c r="K7" s="5"/>
      <c r="L7" s="6"/>
      <c r="M7" s="4"/>
    </row>
    <row r="8" ht="15.75" spans="1:10">
      <c r="A8" s="23" t="s">
        <v>238</v>
      </c>
      <c r="B8" s="24"/>
      <c r="C8" s="24"/>
      <c r="D8" s="24"/>
      <c r="E8" s="24"/>
      <c r="F8" s="24"/>
      <c r="G8" s="24"/>
      <c r="H8" s="24"/>
      <c r="I8" s="24"/>
      <c r="J8" s="24"/>
    </row>
    <row r="9" spans="1:13">
      <c r="A9" s="19" t="s">
        <v>257</v>
      </c>
      <c r="B9" s="20" t="s">
        <v>258</v>
      </c>
      <c r="C9" s="20" t="s">
        <v>259</v>
      </c>
      <c r="D9" s="20" t="str">
        <f>"0,5885"</f>
        <v>0,5885</v>
      </c>
      <c r="E9" s="19" t="s">
        <v>81</v>
      </c>
      <c r="F9" s="19" t="s">
        <v>82</v>
      </c>
      <c r="G9" s="20" t="s">
        <v>242</v>
      </c>
      <c r="H9" s="20" t="s">
        <v>26</v>
      </c>
      <c r="I9" s="27" t="s">
        <v>27</v>
      </c>
      <c r="J9" s="27"/>
      <c r="K9" s="44" t="str">
        <f>"65,0"</f>
        <v>65,0</v>
      </c>
      <c r="L9" s="45" t="str">
        <f>"38,2525"</f>
        <v>38,2525</v>
      </c>
      <c r="M9" s="19"/>
    </row>
    <row r="10" spans="1:13">
      <c r="A10" s="21" t="s">
        <v>260</v>
      </c>
      <c r="B10" s="22" t="s">
        <v>261</v>
      </c>
      <c r="C10" s="22" t="s">
        <v>262</v>
      </c>
      <c r="D10" s="22" t="str">
        <f>"0,5922"</f>
        <v>0,5922</v>
      </c>
      <c r="E10" s="21" t="s">
        <v>13</v>
      </c>
      <c r="F10" s="21" t="s">
        <v>263</v>
      </c>
      <c r="G10" s="22" t="s">
        <v>15</v>
      </c>
      <c r="H10" s="31" t="s">
        <v>256</v>
      </c>
      <c r="I10" s="22" t="s">
        <v>256</v>
      </c>
      <c r="J10" s="31"/>
      <c r="K10" s="46" t="str">
        <f>"52,5"</f>
        <v>52,5</v>
      </c>
      <c r="L10" s="47" t="str">
        <f>"31,1838"</f>
        <v>31,1838</v>
      </c>
      <c r="M10" s="21"/>
    </row>
    <row r="12" ht="15.75" spans="1:10">
      <c r="A12" s="23" t="s">
        <v>162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3">
      <c r="A13" s="25" t="s">
        <v>163</v>
      </c>
      <c r="B13" s="26" t="s">
        <v>164</v>
      </c>
      <c r="C13" s="26" t="s">
        <v>165</v>
      </c>
      <c r="D13" s="26" t="str">
        <f>"0,5630"</f>
        <v>0,5630</v>
      </c>
      <c r="E13" s="25" t="s">
        <v>166</v>
      </c>
      <c r="F13" s="25" t="s">
        <v>167</v>
      </c>
      <c r="G13" s="26" t="s">
        <v>25</v>
      </c>
      <c r="H13" s="26" t="s">
        <v>27</v>
      </c>
      <c r="I13" s="26" t="s">
        <v>16</v>
      </c>
      <c r="J13" s="48"/>
      <c r="K13" s="49" t="str">
        <f>"75,0"</f>
        <v>75,0</v>
      </c>
      <c r="L13" s="50" t="str">
        <f>"42,2250"</f>
        <v>42,2250</v>
      </c>
      <c r="M13" s="25"/>
    </row>
    <row r="15" ht="15.75" spans="1:10">
      <c r="A15" s="23" t="s">
        <v>143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3">
      <c r="A16" s="25" t="s">
        <v>264</v>
      </c>
      <c r="B16" s="26" t="s">
        <v>265</v>
      </c>
      <c r="C16" s="26" t="s">
        <v>266</v>
      </c>
      <c r="D16" s="26" t="str">
        <f>"0,5300"</f>
        <v>0,5300</v>
      </c>
      <c r="E16" s="25" t="s">
        <v>13</v>
      </c>
      <c r="F16" s="25" t="s">
        <v>267</v>
      </c>
      <c r="G16" s="26" t="s">
        <v>83</v>
      </c>
      <c r="H16" s="48" t="s">
        <v>25</v>
      </c>
      <c r="I16" s="48"/>
      <c r="J16" s="48"/>
      <c r="K16" s="49" t="str">
        <f>"40,0"</f>
        <v>40,0</v>
      </c>
      <c r="L16" s="50" t="str">
        <f>"21,2000"</f>
        <v>21,2000</v>
      </c>
      <c r="M16" s="25"/>
    </row>
    <row r="18" ht="15.75" spans="5:5">
      <c r="E18" s="32" t="s">
        <v>28</v>
      </c>
    </row>
    <row r="19" ht="15.75" spans="5:5">
      <c r="E19" s="32" t="s">
        <v>29</v>
      </c>
    </row>
    <row r="20" ht="15.75" spans="5:5">
      <c r="E20" s="32" t="s">
        <v>30</v>
      </c>
    </row>
    <row r="21" spans="5:5">
      <c r="E21" s="4" t="s">
        <v>31</v>
      </c>
    </row>
    <row r="22" spans="5:5">
      <c r="E22" s="4" t="s">
        <v>32</v>
      </c>
    </row>
    <row r="23" spans="5:5">
      <c r="E23" s="4" t="s">
        <v>33</v>
      </c>
    </row>
    <row r="26" ht="18.75" spans="1:2">
      <c r="A26" s="33" t="s">
        <v>34</v>
      </c>
      <c r="B26" s="34"/>
    </row>
    <row r="27" ht="15.75" spans="1:2">
      <c r="A27" s="35" t="s">
        <v>35</v>
      </c>
      <c r="B27" s="23"/>
    </row>
    <row r="28" ht="15" spans="1:2">
      <c r="A28" s="36"/>
      <c r="B28" s="37" t="s">
        <v>43</v>
      </c>
    </row>
    <row r="29" ht="14.25" spans="1:5">
      <c r="A29" s="38" t="s">
        <v>1</v>
      </c>
      <c r="B29" s="38" t="s">
        <v>37</v>
      </c>
      <c r="C29" s="38" t="s">
        <v>38</v>
      </c>
      <c r="D29" s="38" t="s">
        <v>39</v>
      </c>
      <c r="E29" s="38" t="s">
        <v>195</v>
      </c>
    </row>
    <row r="30" spans="1:5">
      <c r="A30" s="39" t="s">
        <v>170</v>
      </c>
      <c r="B30" s="3" t="s">
        <v>43</v>
      </c>
      <c r="C30" s="3" t="s">
        <v>171</v>
      </c>
      <c r="D30" s="3" t="s">
        <v>16</v>
      </c>
      <c r="E30" s="5" t="s">
        <v>268</v>
      </c>
    </row>
    <row r="31" spans="1:5">
      <c r="A31" s="39" t="s">
        <v>269</v>
      </c>
      <c r="B31" s="3" t="s">
        <v>43</v>
      </c>
      <c r="C31" s="3" t="s">
        <v>247</v>
      </c>
      <c r="D31" s="3" t="s">
        <v>26</v>
      </c>
      <c r="E31" s="5" t="s">
        <v>270</v>
      </c>
    </row>
    <row r="32" spans="1:5">
      <c r="A32" s="39" t="s">
        <v>271</v>
      </c>
      <c r="B32" s="3" t="s">
        <v>43</v>
      </c>
      <c r="C32" s="3" t="s">
        <v>185</v>
      </c>
      <c r="D32" s="3" t="s">
        <v>255</v>
      </c>
      <c r="E32" s="5" t="s">
        <v>272</v>
      </c>
    </row>
    <row r="33" spans="1:5">
      <c r="A33" s="39" t="s">
        <v>273</v>
      </c>
      <c r="B33" s="3" t="s">
        <v>43</v>
      </c>
      <c r="C33" s="3" t="s">
        <v>153</v>
      </c>
      <c r="D33" s="3" t="s">
        <v>83</v>
      </c>
      <c r="E33" s="5" t="s">
        <v>274</v>
      </c>
    </row>
    <row r="35" ht="15" spans="1:2">
      <c r="A35" s="36"/>
      <c r="B35" s="37" t="s">
        <v>130</v>
      </c>
    </row>
    <row r="36" ht="14.25" spans="1:5">
      <c r="A36" s="38" t="s">
        <v>1</v>
      </c>
      <c r="B36" s="38" t="s">
        <v>37</v>
      </c>
      <c r="C36" s="38" t="s">
        <v>38</v>
      </c>
      <c r="D36" s="38" t="s">
        <v>39</v>
      </c>
      <c r="E36" s="38" t="s">
        <v>195</v>
      </c>
    </row>
    <row r="37" spans="1:5">
      <c r="A37" s="39" t="s">
        <v>275</v>
      </c>
      <c r="B37" s="3" t="s">
        <v>276</v>
      </c>
      <c r="C37" s="3" t="s">
        <v>247</v>
      </c>
      <c r="D37" s="3" t="s">
        <v>256</v>
      </c>
      <c r="E37" s="5" t="s">
        <v>277</v>
      </c>
    </row>
  </sheetData>
  <mergeCells count="15">
    <mergeCell ref="G3:J3"/>
    <mergeCell ref="A5:J5"/>
    <mergeCell ref="A8:J8"/>
    <mergeCell ref="A12:J12"/>
    <mergeCell ref="A15:J15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19.1047619047619" style="3" customWidth="1"/>
    <col min="3" max="3" width="7.55238095238095" style="3" customWidth="1"/>
    <col min="4" max="4" width="8.78095238095238" style="3" customWidth="1"/>
    <col min="5" max="5" width="17" style="4" customWidth="1"/>
    <col min="6" max="6" width="24.4380952380952" style="4" customWidth="1"/>
    <col min="7" max="9" width="5.55238095238095" style="3" customWidth="1"/>
    <col min="10" max="10" width="4.78095238095238" style="3" customWidth="1"/>
    <col min="11" max="11" width="5.78095238095238" style="5" customWidth="1"/>
    <col min="12" max="12" width="7.55238095238095" style="6" customWidth="1"/>
    <col min="13" max="13" width="7.1047619047619" style="4" customWidth="1"/>
    <col min="14" max="16384" width="9.1047619047619" style="7"/>
  </cols>
  <sheetData>
    <row r="1" s="1" customFormat="1" ht="28.95" customHeight="1" spans="1:13">
      <c r="A1" s="8" t="s">
        <v>278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279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177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280</v>
      </c>
      <c r="B6" s="26" t="s">
        <v>281</v>
      </c>
      <c r="C6" s="26" t="s">
        <v>282</v>
      </c>
      <c r="D6" s="26" t="str">
        <f>"0,6203"</f>
        <v>0,6203</v>
      </c>
      <c r="E6" s="25" t="s">
        <v>166</v>
      </c>
      <c r="F6" s="25" t="s">
        <v>283</v>
      </c>
      <c r="G6" s="26" t="s">
        <v>284</v>
      </c>
      <c r="H6" s="26" t="s">
        <v>285</v>
      </c>
      <c r="I6" s="26" t="s">
        <v>89</v>
      </c>
      <c r="J6" s="48"/>
      <c r="K6" s="49" t="str">
        <f>"120,0"</f>
        <v>120,0</v>
      </c>
      <c r="L6" s="50" t="str">
        <f>"74,4360"</f>
        <v>74,4360</v>
      </c>
      <c r="M6" s="25"/>
    </row>
    <row r="7" s="3" customFormat="1" spans="1:13">
      <c r="A7" s="4"/>
      <c r="E7" s="4"/>
      <c r="F7" s="4"/>
      <c r="K7" s="5"/>
      <c r="L7" s="6"/>
      <c r="M7" s="4"/>
    </row>
    <row r="8" ht="15.75" spans="5:5">
      <c r="E8" s="32" t="s">
        <v>28</v>
      </c>
    </row>
    <row r="9" ht="15.75" spans="5:5">
      <c r="E9" s="32" t="s">
        <v>29</v>
      </c>
    </row>
    <row r="10" ht="15.75" spans="5:5">
      <c r="E10" s="32" t="s">
        <v>30</v>
      </c>
    </row>
    <row r="11" spans="5:5">
      <c r="E11" s="4" t="s">
        <v>31</v>
      </c>
    </row>
    <row r="12" spans="5:5">
      <c r="E12" s="4" t="s">
        <v>32</v>
      </c>
    </row>
    <row r="13" spans="5:5">
      <c r="E13" s="4" t="s">
        <v>33</v>
      </c>
    </row>
    <row r="16" ht="18.75" spans="1:2">
      <c r="A16" s="33" t="s">
        <v>34</v>
      </c>
      <c r="B16" s="34"/>
    </row>
    <row r="17" ht="15.75" spans="1:2">
      <c r="A17" s="35" t="s">
        <v>35</v>
      </c>
      <c r="B17" s="23"/>
    </row>
    <row r="18" ht="15" spans="1:2">
      <c r="A18" s="36"/>
      <c r="B18" s="37" t="s">
        <v>43</v>
      </c>
    </row>
    <row r="19" ht="14.25" spans="1:5">
      <c r="A19" s="38" t="s">
        <v>1</v>
      </c>
      <c r="B19" s="38" t="s">
        <v>37</v>
      </c>
      <c r="C19" s="38" t="s">
        <v>38</v>
      </c>
      <c r="D19" s="38" t="s">
        <v>39</v>
      </c>
      <c r="E19" s="38" t="s">
        <v>195</v>
      </c>
    </row>
    <row r="20" spans="1:5">
      <c r="A20" s="39" t="s">
        <v>286</v>
      </c>
      <c r="B20" s="3" t="s">
        <v>43</v>
      </c>
      <c r="C20" s="3" t="s">
        <v>185</v>
      </c>
      <c r="D20" s="3" t="s">
        <v>89</v>
      </c>
      <c r="E20" s="5" t="s">
        <v>287</v>
      </c>
    </row>
  </sheetData>
  <mergeCells count="12">
    <mergeCell ref="G3:J3"/>
    <mergeCell ref="A5:J5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19.1047619047619" style="3" customWidth="1"/>
    <col min="3" max="3" width="7.55238095238095" style="3" customWidth="1"/>
    <col min="4" max="4" width="8.78095238095238" style="3" customWidth="1"/>
    <col min="5" max="5" width="17" style="4" customWidth="1"/>
    <col min="6" max="6" width="24.4380952380952" style="4" customWidth="1"/>
    <col min="7" max="8" width="4.55238095238095" style="3" customWidth="1"/>
    <col min="9" max="9" width="2.1047619047619" style="3" customWidth="1"/>
    <col min="10" max="10" width="4.78095238095238" style="3" customWidth="1"/>
    <col min="11" max="11" width="5.78095238095238" style="5" customWidth="1"/>
    <col min="12" max="12" width="7.55238095238095" style="6" customWidth="1"/>
    <col min="13" max="13" width="15.7809523809524" style="4" customWidth="1"/>
    <col min="14" max="16384" width="9.1047619047619" style="7"/>
  </cols>
  <sheetData>
    <row r="1" s="1" customFormat="1" ht="28.95" customHeight="1" spans="1:13">
      <c r="A1" s="8" t="s">
        <v>288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279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238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289</v>
      </c>
      <c r="B6" s="26" t="s">
        <v>290</v>
      </c>
      <c r="C6" s="26" t="s">
        <v>291</v>
      </c>
      <c r="D6" s="26" t="str">
        <f>"0,5914"</f>
        <v>0,5914</v>
      </c>
      <c r="E6" s="25" t="s">
        <v>166</v>
      </c>
      <c r="F6" s="25" t="s">
        <v>283</v>
      </c>
      <c r="G6" s="48" t="s">
        <v>74</v>
      </c>
      <c r="H6" s="26" t="s">
        <v>74</v>
      </c>
      <c r="I6" s="48"/>
      <c r="J6" s="48"/>
      <c r="K6" s="49" t="str">
        <f>"80,0"</f>
        <v>80,0</v>
      </c>
      <c r="L6" s="50" t="str">
        <f>"47,3120"</f>
        <v>47,3120</v>
      </c>
      <c r="M6" s="25" t="s">
        <v>292</v>
      </c>
    </row>
    <row r="7" s="3" customFormat="1" spans="1:13">
      <c r="A7" s="4"/>
      <c r="E7" s="4"/>
      <c r="F7" s="4"/>
      <c r="K7" s="5"/>
      <c r="L7" s="6"/>
      <c r="M7" s="4"/>
    </row>
    <row r="8" ht="15.75" spans="5:5">
      <c r="E8" s="32" t="s">
        <v>28</v>
      </c>
    </row>
    <row r="9" ht="15.75" spans="5:5">
      <c r="E9" s="32" t="s">
        <v>29</v>
      </c>
    </row>
    <row r="10" ht="15.75" spans="5:5">
      <c r="E10" s="32" t="s">
        <v>30</v>
      </c>
    </row>
    <row r="11" spans="5:5">
      <c r="E11" s="4" t="s">
        <v>31</v>
      </c>
    </row>
    <row r="12" spans="5:5">
      <c r="E12" s="4" t="s">
        <v>32</v>
      </c>
    </row>
    <row r="13" spans="5:5">
      <c r="E13" s="4" t="s">
        <v>33</v>
      </c>
    </row>
    <row r="16" ht="18.75" spans="1:2">
      <c r="A16" s="33" t="s">
        <v>34</v>
      </c>
      <c r="B16" s="34"/>
    </row>
    <row r="17" ht="15.75" spans="1:2">
      <c r="A17" s="35" t="s">
        <v>35</v>
      </c>
      <c r="B17" s="23"/>
    </row>
    <row r="18" ht="15" spans="1:2">
      <c r="A18" s="36"/>
      <c r="B18" s="37" t="s">
        <v>43</v>
      </c>
    </row>
    <row r="19" ht="14.25" spans="1:5">
      <c r="A19" s="38" t="s">
        <v>1</v>
      </c>
      <c r="B19" s="38" t="s">
        <v>37</v>
      </c>
      <c r="C19" s="38" t="s">
        <v>38</v>
      </c>
      <c r="D19" s="38" t="s">
        <v>39</v>
      </c>
      <c r="E19" s="38" t="s">
        <v>195</v>
      </c>
    </row>
    <row r="20" spans="1:5">
      <c r="A20" s="39" t="s">
        <v>293</v>
      </c>
      <c r="B20" s="3" t="s">
        <v>43</v>
      </c>
      <c r="C20" s="3" t="s">
        <v>247</v>
      </c>
      <c r="D20" s="3" t="s">
        <v>74</v>
      </c>
      <c r="E20" s="5" t="s">
        <v>294</v>
      </c>
    </row>
  </sheetData>
  <mergeCells count="12">
    <mergeCell ref="G3:J3"/>
    <mergeCell ref="A5:J5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8.78095238095238" style="3" customWidth="1"/>
    <col min="5" max="5" width="17" style="4" customWidth="1"/>
    <col min="6" max="6" width="19.3333333333333" style="4" customWidth="1"/>
    <col min="7" max="10" width="5.55238095238095" style="3" customWidth="1"/>
    <col min="11" max="12" width="4.55238095238095" style="3" customWidth="1"/>
    <col min="13" max="13" width="2.1047619047619" style="3" customWidth="1"/>
    <col min="14" max="14" width="4.78095238095238" style="3" customWidth="1"/>
    <col min="15" max="17" width="5.55238095238095" style="3" customWidth="1"/>
    <col min="18" max="18" width="4.78095238095238" style="3" customWidth="1"/>
    <col min="19" max="19" width="5.78095238095238" style="5" customWidth="1"/>
    <col min="20" max="20" width="8.55238095238095" style="6" customWidth="1"/>
    <col min="21" max="21" width="7.1047619047619" style="4" customWidth="1"/>
    <col min="22" max="16384" width="9.1047619047619" style="7"/>
  </cols>
  <sheetData>
    <row r="1" s="1" customFormat="1" ht="28.95" customHeight="1" spans="1:21">
      <c r="A1" s="8" t="s">
        <v>295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40"/>
    </row>
    <row r="2" s="1" customFormat="1" ht="61.95" customHeight="1" spans="1:2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41"/>
    </row>
    <row r="3" s="2" customFormat="1" customHeight="1" spans="1:21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296</v>
      </c>
      <c r="H3" s="14"/>
      <c r="I3" s="14"/>
      <c r="J3" s="14"/>
      <c r="K3" s="14" t="s">
        <v>104</v>
      </c>
      <c r="L3" s="14"/>
      <c r="M3" s="14"/>
      <c r="N3" s="14"/>
      <c r="O3" s="14" t="s">
        <v>49</v>
      </c>
      <c r="P3" s="14"/>
      <c r="Q3" s="14"/>
      <c r="R3" s="14"/>
      <c r="S3" s="14" t="s">
        <v>193</v>
      </c>
      <c r="T3" s="14" t="s">
        <v>105</v>
      </c>
      <c r="U3" s="42" t="s">
        <v>106</v>
      </c>
    </row>
    <row r="4" s="2" customFormat="1" ht="23.25" customHeight="1" spans="1:21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>
        <v>1</v>
      </c>
      <c r="L4" s="16">
        <v>2</v>
      </c>
      <c r="M4" s="16">
        <v>3</v>
      </c>
      <c r="N4" s="16" t="s">
        <v>107</v>
      </c>
      <c r="O4" s="16">
        <v>1</v>
      </c>
      <c r="P4" s="16">
        <v>2</v>
      </c>
      <c r="Q4" s="16">
        <v>3</v>
      </c>
      <c r="R4" s="16" t="s">
        <v>107</v>
      </c>
      <c r="S4" s="16"/>
      <c r="T4" s="16"/>
      <c r="U4" s="43"/>
    </row>
    <row r="5" s="3" customFormat="1" ht="15.75" spans="1:21">
      <c r="A5" s="17" t="s">
        <v>108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5"/>
      <c r="T5" s="6"/>
      <c r="U5" s="4"/>
    </row>
    <row r="6" s="3" customFormat="1" spans="1:21">
      <c r="A6" s="25" t="s">
        <v>84</v>
      </c>
      <c r="B6" s="26" t="s">
        <v>297</v>
      </c>
      <c r="C6" s="26" t="s">
        <v>86</v>
      </c>
      <c r="D6" s="26" t="str">
        <f>"0,7372"</f>
        <v>0,7372</v>
      </c>
      <c r="E6" s="25" t="s">
        <v>87</v>
      </c>
      <c r="F6" s="25" t="s">
        <v>14</v>
      </c>
      <c r="G6" s="48" t="s">
        <v>222</v>
      </c>
      <c r="H6" s="26" t="s">
        <v>222</v>
      </c>
      <c r="I6" s="26" t="s">
        <v>298</v>
      </c>
      <c r="J6" s="48" t="s">
        <v>299</v>
      </c>
      <c r="K6" s="26" t="s">
        <v>300</v>
      </c>
      <c r="L6" s="48" t="s">
        <v>16</v>
      </c>
      <c r="M6" s="48"/>
      <c r="N6" s="48"/>
      <c r="O6" s="26" t="s">
        <v>298</v>
      </c>
      <c r="P6" s="26" t="s">
        <v>299</v>
      </c>
      <c r="Q6" s="48" t="s">
        <v>301</v>
      </c>
      <c r="R6" s="48"/>
      <c r="S6" s="49" t="str">
        <f>"365,0"</f>
        <v>365,0</v>
      </c>
      <c r="T6" s="50" t="str">
        <f>"269,8852"</f>
        <v>269,8852</v>
      </c>
      <c r="U6" s="25"/>
    </row>
    <row r="7" s="3" customFormat="1" spans="1:21">
      <c r="A7" s="4"/>
      <c r="E7" s="4"/>
      <c r="F7" s="4"/>
      <c r="S7" s="5"/>
      <c r="T7" s="6"/>
      <c r="U7" s="4"/>
    </row>
    <row r="8" ht="15.75" spans="5:5">
      <c r="E8" s="32" t="s">
        <v>28</v>
      </c>
    </row>
    <row r="9" ht="15.75" spans="5:5">
      <c r="E9" s="32" t="s">
        <v>29</v>
      </c>
    </row>
    <row r="10" ht="15.75" spans="5:5">
      <c r="E10" s="32" t="s">
        <v>30</v>
      </c>
    </row>
    <row r="11" spans="5:5">
      <c r="E11" s="4" t="s">
        <v>31</v>
      </c>
    </row>
    <row r="12" spans="5:5">
      <c r="E12" s="4" t="s">
        <v>32</v>
      </c>
    </row>
    <row r="13" spans="5:5">
      <c r="E13" s="4" t="s">
        <v>33</v>
      </c>
    </row>
    <row r="16" ht="18.75" spans="1:2">
      <c r="A16" s="33" t="s">
        <v>34</v>
      </c>
      <c r="B16" s="34"/>
    </row>
    <row r="17" ht="15.75" spans="1:2">
      <c r="A17" s="35" t="s">
        <v>92</v>
      </c>
      <c r="B17" s="23"/>
    </row>
    <row r="18" ht="15" spans="1:2">
      <c r="A18" s="36"/>
      <c r="B18" s="37" t="s">
        <v>130</v>
      </c>
    </row>
    <row r="19" ht="14.25" spans="1:5">
      <c r="A19" s="38" t="s">
        <v>1</v>
      </c>
      <c r="B19" s="38" t="s">
        <v>37</v>
      </c>
      <c r="C19" s="38" t="s">
        <v>38</v>
      </c>
      <c r="D19" s="38" t="s">
        <v>206</v>
      </c>
      <c r="E19" s="38" t="s">
        <v>195</v>
      </c>
    </row>
    <row r="20" spans="1:5">
      <c r="A20" s="39" t="s">
        <v>96</v>
      </c>
      <c r="B20" s="3" t="s">
        <v>276</v>
      </c>
      <c r="C20" s="3" t="s">
        <v>125</v>
      </c>
      <c r="D20" s="3" t="s">
        <v>302</v>
      </c>
      <c r="E20" s="5" t="s">
        <v>303</v>
      </c>
    </row>
  </sheetData>
  <mergeCells count="14">
    <mergeCell ref="G3:J3"/>
    <mergeCell ref="K3:N3"/>
    <mergeCell ref="O3:R3"/>
    <mergeCell ref="A5:R5"/>
    <mergeCell ref="A3:A4"/>
    <mergeCell ref="B3:B4"/>
    <mergeCell ref="C3:C4"/>
    <mergeCell ref="D3:D4"/>
    <mergeCell ref="E3:E4"/>
    <mergeCell ref="F3:F4"/>
    <mergeCell ref="S3:S4"/>
    <mergeCell ref="T3:T4"/>
    <mergeCell ref="U3:U4"/>
    <mergeCell ref="A1:U2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7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27" style="3" customWidth="1"/>
    <col min="3" max="3" width="7.55238095238095" style="3" customWidth="1"/>
    <col min="4" max="4" width="8.78095238095238" style="3" customWidth="1"/>
    <col min="5" max="5" width="18.4380952380952" style="4" customWidth="1"/>
    <col min="6" max="6" width="26.4380952380952" style="4" customWidth="1"/>
    <col min="7" max="9" width="5.55238095238095" style="3" customWidth="1"/>
    <col min="10" max="10" width="4.78095238095238" style="3" customWidth="1"/>
    <col min="11" max="13" width="5.55238095238095" style="3" customWidth="1"/>
    <col min="14" max="14" width="4.78095238095238" style="3" customWidth="1"/>
    <col min="15" max="17" width="5.55238095238095" style="3" customWidth="1"/>
    <col min="18" max="18" width="4.78095238095238" style="3" customWidth="1"/>
    <col min="19" max="19" width="5.78095238095238" style="5" customWidth="1"/>
    <col min="20" max="20" width="8.55238095238095" style="6" customWidth="1"/>
    <col min="21" max="21" width="13.552380952381" style="4" customWidth="1"/>
    <col min="22" max="16384" width="9.1047619047619" style="7"/>
  </cols>
  <sheetData>
    <row r="1" s="1" customFormat="1" ht="28.95" customHeight="1" spans="1:21">
      <c r="A1" s="8" t="s">
        <v>304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40"/>
    </row>
    <row r="2" s="1" customFormat="1" ht="61.95" customHeight="1" spans="1:2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41"/>
    </row>
    <row r="3" s="2" customFormat="1" customHeight="1" spans="1:21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296</v>
      </c>
      <c r="H3" s="14"/>
      <c r="I3" s="14"/>
      <c r="J3" s="14"/>
      <c r="K3" s="14" t="s">
        <v>104</v>
      </c>
      <c r="L3" s="14"/>
      <c r="M3" s="14"/>
      <c r="N3" s="14"/>
      <c r="O3" s="14" t="s">
        <v>49</v>
      </c>
      <c r="P3" s="14"/>
      <c r="Q3" s="14"/>
      <c r="R3" s="14"/>
      <c r="S3" s="14" t="s">
        <v>193</v>
      </c>
      <c r="T3" s="14" t="s">
        <v>105</v>
      </c>
      <c r="U3" s="42" t="s">
        <v>106</v>
      </c>
    </row>
    <row r="4" s="2" customFormat="1" ht="23.25" customHeight="1" spans="1:21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>
        <v>1</v>
      </c>
      <c r="L4" s="16">
        <v>2</v>
      </c>
      <c r="M4" s="16">
        <v>3</v>
      </c>
      <c r="N4" s="16" t="s">
        <v>107</v>
      </c>
      <c r="O4" s="16">
        <v>1</v>
      </c>
      <c r="P4" s="16">
        <v>2</v>
      </c>
      <c r="Q4" s="16">
        <v>3</v>
      </c>
      <c r="R4" s="16" t="s">
        <v>107</v>
      </c>
      <c r="S4" s="16"/>
      <c r="T4" s="16"/>
      <c r="U4" s="43"/>
    </row>
    <row r="5" s="3" customFormat="1" ht="15.75" spans="1:21">
      <c r="A5" s="17" t="s">
        <v>305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5"/>
      <c r="T5" s="6"/>
      <c r="U5" s="4"/>
    </row>
    <row r="6" s="3" customFormat="1" spans="1:21">
      <c r="A6" s="25" t="s">
        <v>306</v>
      </c>
      <c r="B6" s="26" t="s">
        <v>307</v>
      </c>
      <c r="C6" s="26" t="s">
        <v>308</v>
      </c>
      <c r="D6" s="26" t="str">
        <f>"1,0336"</f>
        <v>1,0336</v>
      </c>
      <c r="E6" s="25" t="s">
        <v>13</v>
      </c>
      <c r="F6" s="25" t="s">
        <v>82</v>
      </c>
      <c r="G6" s="26" t="s">
        <v>17</v>
      </c>
      <c r="H6" s="48" t="s">
        <v>309</v>
      </c>
      <c r="I6" s="48" t="s">
        <v>310</v>
      </c>
      <c r="J6" s="48"/>
      <c r="K6" s="26" t="s">
        <v>15</v>
      </c>
      <c r="L6" s="26" t="s">
        <v>242</v>
      </c>
      <c r="M6" s="48" t="s">
        <v>25</v>
      </c>
      <c r="N6" s="48"/>
      <c r="O6" s="26" t="s">
        <v>284</v>
      </c>
      <c r="P6" s="26" t="s">
        <v>311</v>
      </c>
      <c r="Q6" s="48" t="s">
        <v>285</v>
      </c>
      <c r="R6" s="48"/>
      <c r="S6" s="49" t="str">
        <f>"247,5"</f>
        <v>247,5</v>
      </c>
      <c r="T6" s="50" t="str">
        <f>"255,8160"</f>
        <v>255,8160</v>
      </c>
      <c r="U6" s="25"/>
    </row>
    <row r="7" s="3" customFormat="1" spans="1:21">
      <c r="A7" s="4"/>
      <c r="E7" s="4"/>
      <c r="F7" s="4"/>
      <c r="S7" s="5"/>
      <c r="T7" s="6"/>
      <c r="U7" s="4"/>
    </row>
    <row r="8" ht="15.75" spans="1:18">
      <c r="A8" s="23" t="s">
        <v>312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21">
      <c r="A9" s="25" t="s">
        <v>313</v>
      </c>
      <c r="B9" s="26" t="s">
        <v>314</v>
      </c>
      <c r="C9" s="26" t="s">
        <v>315</v>
      </c>
      <c r="D9" s="26" t="str">
        <f>"0,9249"</f>
        <v>0,9249</v>
      </c>
      <c r="E9" s="25" t="s">
        <v>13</v>
      </c>
      <c r="F9" s="25" t="s">
        <v>316</v>
      </c>
      <c r="G9" s="26" t="s">
        <v>300</v>
      </c>
      <c r="H9" s="26" t="s">
        <v>26</v>
      </c>
      <c r="I9" s="26" t="s">
        <v>16</v>
      </c>
      <c r="J9" s="48"/>
      <c r="K9" s="26" t="s">
        <v>83</v>
      </c>
      <c r="L9" s="26" t="s">
        <v>255</v>
      </c>
      <c r="M9" s="48" t="s">
        <v>256</v>
      </c>
      <c r="N9" s="48"/>
      <c r="O9" s="26" t="s">
        <v>309</v>
      </c>
      <c r="P9" s="26" t="s">
        <v>311</v>
      </c>
      <c r="Q9" s="48"/>
      <c r="R9" s="48"/>
      <c r="S9" s="49" t="str">
        <f>"227,5"</f>
        <v>227,5</v>
      </c>
      <c r="T9" s="50" t="str">
        <f>"210,4147"</f>
        <v>210,4147</v>
      </c>
      <c r="U9" s="25" t="s">
        <v>317</v>
      </c>
    </row>
    <row r="11" ht="15.75" spans="1:18">
      <c r="A11" s="23" t="s">
        <v>196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21">
      <c r="A12" s="19" t="s">
        <v>318</v>
      </c>
      <c r="B12" s="20" t="s">
        <v>319</v>
      </c>
      <c r="C12" s="20" t="s">
        <v>320</v>
      </c>
      <c r="D12" s="20" t="str">
        <f>"0,8324"</f>
        <v>0,8324</v>
      </c>
      <c r="E12" s="19" t="s">
        <v>87</v>
      </c>
      <c r="F12" s="19" t="s">
        <v>14</v>
      </c>
      <c r="G12" s="20" t="s">
        <v>74</v>
      </c>
      <c r="H12" s="20" t="s">
        <v>309</v>
      </c>
      <c r="I12" s="20" t="s">
        <v>284</v>
      </c>
      <c r="J12" s="27"/>
      <c r="K12" s="20" t="s">
        <v>83</v>
      </c>
      <c r="L12" s="20" t="s">
        <v>215</v>
      </c>
      <c r="M12" s="20" t="s">
        <v>321</v>
      </c>
      <c r="N12" s="27"/>
      <c r="O12" s="20" t="s">
        <v>309</v>
      </c>
      <c r="P12" s="27"/>
      <c r="Q12" s="27"/>
      <c r="R12" s="27"/>
      <c r="S12" s="44" t="str">
        <f>"235,0"</f>
        <v>235,0</v>
      </c>
      <c r="T12" s="45" t="str">
        <f>"195,6140"</f>
        <v>195,6140</v>
      </c>
      <c r="U12" s="19"/>
    </row>
    <row r="13" spans="1:21">
      <c r="A13" s="21" t="s">
        <v>78</v>
      </c>
      <c r="B13" s="22" t="s">
        <v>322</v>
      </c>
      <c r="C13" s="22" t="s">
        <v>80</v>
      </c>
      <c r="D13" s="22" t="str">
        <f>"0,8052"</f>
        <v>0,8052</v>
      </c>
      <c r="E13" s="21" t="s">
        <v>81</v>
      </c>
      <c r="F13" s="21" t="s">
        <v>82</v>
      </c>
      <c r="G13" s="22" t="s">
        <v>15</v>
      </c>
      <c r="H13" s="22" t="s">
        <v>25</v>
      </c>
      <c r="I13" s="22" t="s">
        <v>323</v>
      </c>
      <c r="J13" s="31"/>
      <c r="K13" s="22" t="s">
        <v>324</v>
      </c>
      <c r="L13" s="22" t="s">
        <v>325</v>
      </c>
      <c r="M13" s="31" t="s">
        <v>215</v>
      </c>
      <c r="N13" s="31"/>
      <c r="O13" s="22" t="s">
        <v>27</v>
      </c>
      <c r="P13" s="22" t="s">
        <v>17</v>
      </c>
      <c r="Q13" s="31" t="s">
        <v>310</v>
      </c>
      <c r="R13" s="31"/>
      <c r="S13" s="46" t="str">
        <f>"190,0"</f>
        <v>190,0</v>
      </c>
      <c r="T13" s="47" t="str">
        <f>"152,9880"</f>
        <v>152,9880</v>
      </c>
      <c r="U13" s="21"/>
    </row>
    <row r="15" ht="15.75" spans="1:18">
      <c r="A15" s="23" t="s">
        <v>238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21">
      <c r="A16" s="25" t="s">
        <v>326</v>
      </c>
      <c r="B16" s="26" t="s">
        <v>327</v>
      </c>
      <c r="C16" s="26" t="s">
        <v>328</v>
      </c>
      <c r="D16" s="26" t="str">
        <f>"0,6642"</f>
        <v>0,6642</v>
      </c>
      <c r="E16" s="25" t="s">
        <v>87</v>
      </c>
      <c r="F16" s="25" t="s">
        <v>14</v>
      </c>
      <c r="G16" s="26" t="s">
        <v>201</v>
      </c>
      <c r="H16" s="26" t="s">
        <v>17</v>
      </c>
      <c r="I16" s="26" t="s">
        <v>309</v>
      </c>
      <c r="J16" s="48"/>
      <c r="K16" s="26" t="s">
        <v>321</v>
      </c>
      <c r="L16" s="26" t="s">
        <v>255</v>
      </c>
      <c r="M16" s="48" t="s">
        <v>15</v>
      </c>
      <c r="N16" s="48"/>
      <c r="O16" s="26" t="s">
        <v>27</v>
      </c>
      <c r="P16" s="26" t="s">
        <v>16</v>
      </c>
      <c r="Q16" s="26" t="s">
        <v>74</v>
      </c>
      <c r="R16" s="48"/>
      <c r="S16" s="49" t="str">
        <f>"217,5"</f>
        <v>217,5</v>
      </c>
      <c r="T16" s="50" t="str">
        <f>"144,4635"</f>
        <v>144,4635</v>
      </c>
      <c r="U16" s="25"/>
    </row>
    <row r="18" ht="15.75" spans="1:18">
      <c r="A18" s="23" t="s">
        <v>329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21">
      <c r="A19" s="25" t="s">
        <v>330</v>
      </c>
      <c r="B19" s="26" t="s">
        <v>331</v>
      </c>
      <c r="C19" s="26" t="s">
        <v>332</v>
      </c>
      <c r="D19" s="26" t="str">
        <f>"0,5050"</f>
        <v>0,5050</v>
      </c>
      <c r="E19" s="25" t="s">
        <v>87</v>
      </c>
      <c r="F19" s="25" t="s">
        <v>14</v>
      </c>
      <c r="G19" s="26" t="s">
        <v>300</v>
      </c>
      <c r="H19" s="26" t="s">
        <v>25</v>
      </c>
      <c r="I19" s="26" t="s">
        <v>26</v>
      </c>
      <c r="J19" s="48"/>
      <c r="K19" s="26" t="s">
        <v>333</v>
      </c>
      <c r="L19" s="26" t="s">
        <v>214</v>
      </c>
      <c r="M19" s="48" t="s">
        <v>83</v>
      </c>
      <c r="N19" s="48"/>
      <c r="O19" s="26" t="s">
        <v>27</v>
      </c>
      <c r="P19" s="26" t="s">
        <v>201</v>
      </c>
      <c r="Q19" s="48" t="s">
        <v>202</v>
      </c>
      <c r="R19" s="48"/>
      <c r="S19" s="49" t="str">
        <f>"177,5"</f>
        <v>177,5</v>
      </c>
      <c r="T19" s="50" t="str">
        <f>"89,6375"</f>
        <v>89,6375</v>
      </c>
      <c r="U19" s="25"/>
    </row>
    <row r="21" ht="15.75" spans="1:18">
      <c r="A21" s="23" t="s">
        <v>334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21">
      <c r="A22" s="25" t="s">
        <v>335</v>
      </c>
      <c r="B22" s="26" t="s">
        <v>336</v>
      </c>
      <c r="C22" s="26" t="s">
        <v>337</v>
      </c>
      <c r="D22" s="26" t="str">
        <f>"1,0390"</f>
        <v>1,0390</v>
      </c>
      <c r="E22" s="25" t="s">
        <v>166</v>
      </c>
      <c r="F22" s="25" t="s">
        <v>283</v>
      </c>
      <c r="G22" s="26" t="s">
        <v>15</v>
      </c>
      <c r="H22" s="26" t="s">
        <v>25</v>
      </c>
      <c r="I22" s="48" t="s">
        <v>26</v>
      </c>
      <c r="J22" s="48"/>
      <c r="K22" s="26" t="s">
        <v>338</v>
      </c>
      <c r="L22" s="26" t="s">
        <v>333</v>
      </c>
      <c r="M22" s="26" t="s">
        <v>214</v>
      </c>
      <c r="N22" s="48"/>
      <c r="O22" s="26" t="s">
        <v>16</v>
      </c>
      <c r="P22" s="48" t="s">
        <v>217</v>
      </c>
      <c r="Q22" s="48"/>
      <c r="R22" s="48"/>
      <c r="S22" s="49" t="str">
        <f>"170,0"</f>
        <v>170,0</v>
      </c>
      <c r="T22" s="50" t="str">
        <f>"176,6300"</f>
        <v>176,6300</v>
      </c>
      <c r="U22" s="25"/>
    </row>
    <row r="24" ht="15.75" spans="1:18">
      <c r="A24" s="23" t="s">
        <v>70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21">
      <c r="A25" s="25" t="s">
        <v>339</v>
      </c>
      <c r="B25" s="26" t="s">
        <v>340</v>
      </c>
      <c r="C25" s="26" t="s">
        <v>341</v>
      </c>
      <c r="D25" s="26" t="str">
        <f>"0,8228"</f>
        <v>0,8228</v>
      </c>
      <c r="E25" s="25" t="s">
        <v>81</v>
      </c>
      <c r="F25" s="25" t="s">
        <v>82</v>
      </c>
      <c r="G25" s="48" t="s">
        <v>26</v>
      </c>
      <c r="H25" s="26" t="s">
        <v>27</v>
      </c>
      <c r="I25" s="26" t="s">
        <v>74</v>
      </c>
      <c r="J25" s="48"/>
      <c r="K25" s="26" t="s">
        <v>25</v>
      </c>
      <c r="L25" s="26" t="s">
        <v>26</v>
      </c>
      <c r="M25" s="48" t="s">
        <v>27</v>
      </c>
      <c r="N25" s="48"/>
      <c r="O25" s="26" t="s">
        <v>17</v>
      </c>
      <c r="P25" s="26" t="s">
        <v>284</v>
      </c>
      <c r="Q25" s="26" t="s">
        <v>115</v>
      </c>
      <c r="R25" s="48"/>
      <c r="S25" s="49" t="str">
        <f>"262,5"</f>
        <v>262,5</v>
      </c>
      <c r="T25" s="50" t="str">
        <f>"215,9850"</f>
        <v>215,9850</v>
      </c>
      <c r="U25" s="25"/>
    </row>
    <row r="27" ht="15.75" spans="1:18">
      <c r="A27" s="23" t="s">
        <v>108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21">
      <c r="A28" s="25" t="s">
        <v>342</v>
      </c>
      <c r="B28" s="26" t="s">
        <v>343</v>
      </c>
      <c r="C28" s="26" t="s">
        <v>344</v>
      </c>
      <c r="D28" s="26" t="str">
        <f>"0,6716"</f>
        <v>0,6716</v>
      </c>
      <c r="E28" s="25" t="s">
        <v>13</v>
      </c>
      <c r="F28" s="25" t="s">
        <v>82</v>
      </c>
      <c r="G28" s="26" t="s">
        <v>17</v>
      </c>
      <c r="H28" s="48" t="s">
        <v>284</v>
      </c>
      <c r="I28" s="48" t="s">
        <v>284</v>
      </c>
      <c r="J28" s="48"/>
      <c r="K28" s="26" t="s">
        <v>17</v>
      </c>
      <c r="L28" s="26" t="s">
        <v>310</v>
      </c>
      <c r="M28" s="26" t="s">
        <v>284</v>
      </c>
      <c r="N28" s="48"/>
      <c r="O28" s="26" t="s">
        <v>284</v>
      </c>
      <c r="P28" s="26" t="s">
        <v>285</v>
      </c>
      <c r="Q28" s="26" t="s">
        <v>89</v>
      </c>
      <c r="R28" s="48"/>
      <c r="S28" s="49" t="str">
        <f>"305,0"</f>
        <v>305,0</v>
      </c>
      <c r="T28" s="50" t="str">
        <f>"204,8380"</f>
        <v>204,8380</v>
      </c>
      <c r="U28" s="25"/>
    </row>
    <row r="30" ht="15.75" spans="1:18">
      <c r="A30" s="23" t="s">
        <v>177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21">
      <c r="A31" s="19" t="s">
        <v>345</v>
      </c>
      <c r="B31" s="20" t="s">
        <v>346</v>
      </c>
      <c r="C31" s="20" t="s">
        <v>347</v>
      </c>
      <c r="D31" s="20" t="str">
        <f>"0,6412"</f>
        <v>0,6412</v>
      </c>
      <c r="E31" s="19" t="s">
        <v>81</v>
      </c>
      <c r="F31" s="19" t="s">
        <v>82</v>
      </c>
      <c r="G31" s="20" t="s">
        <v>74</v>
      </c>
      <c r="H31" s="20" t="s">
        <v>309</v>
      </c>
      <c r="I31" s="20" t="s">
        <v>284</v>
      </c>
      <c r="J31" s="27"/>
      <c r="K31" s="20" t="s">
        <v>27</v>
      </c>
      <c r="L31" s="20" t="s">
        <v>74</v>
      </c>
      <c r="M31" s="27" t="s">
        <v>17</v>
      </c>
      <c r="N31" s="27"/>
      <c r="O31" s="20" t="s">
        <v>310</v>
      </c>
      <c r="P31" s="20" t="s">
        <v>285</v>
      </c>
      <c r="Q31" s="20" t="s">
        <v>89</v>
      </c>
      <c r="R31" s="27"/>
      <c r="S31" s="44" t="str">
        <f>"300,0"</f>
        <v>300,0</v>
      </c>
      <c r="T31" s="45" t="str">
        <f>"192,3600"</f>
        <v>192,3600</v>
      </c>
      <c r="U31" s="19"/>
    </row>
    <row r="32" spans="1:21">
      <c r="A32" s="21" t="s">
        <v>252</v>
      </c>
      <c r="B32" s="22" t="s">
        <v>253</v>
      </c>
      <c r="C32" s="22" t="s">
        <v>254</v>
      </c>
      <c r="D32" s="22" t="str">
        <f>"0,6384"</f>
        <v>0,6384</v>
      </c>
      <c r="E32" s="21" t="s">
        <v>81</v>
      </c>
      <c r="F32" s="21" t="s">
        <v>82</v>
      </c>
      <c r="G32" s="22" t="s">
        <v>88</v>
      </c>
      <c r="H32" s="22" t="s">
        <v>91</v>
      </c>
      <c r="I32" s="22" t="s">
        <v>222</v>
      </c>
      <c r="J32" s="31"/>
      <c r="K32" s="22" t="s">
        <v>17</v>
      </c>
      <c r="L32" s="31" t="s">
        <v>284</v>
      </c>
      <c r="M32" s="22" t="s">
        <v>311</v>
      </c>
      <c r="N32" s="31"/>
      <c r="O32" s="22" t="s">
        <v>299</v>
      </c>
      <c r="P32" s="22" t="s">
        <v>348</v>
      </c>
      <c r="Q32" s="22" t="s">
        <v>349</v>
      </c>
      <c r="R32" s="31"/>
      <c r="S32" s="46" t="str">
        <f>"430,0"</f>
        <v>430,0</v>
      </c>
      <c r="T32" s="47" t="str">
        <f>"274,5120"</f>
        <v>274,5120</v>
      </c>
      <c r="U32" s="21"/>
    </row>
    <row r="34" ht="15.75" spans="1:18">
      <c r="A34" s="23" t="s">
        <v>238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21">
      <c r="A35" s="25" t="s">
        <v>257</v>
      </c>
      <c r="B35" s="26" t="s">
        <v>258</v>
      </c>
      <c r="C35" s="26" t="s">
        <v>259</v>
      </c>
      <c r="D35" s="26" t="str">
        <f>"0,5885"</f>
        <v>0,5885</v>
      </c>
      <c r="E35" s="25" t="s">
        <v>81</v>
      </c>
      <c r="F35" s="25" t="s">
        <v>82</v>
      </c>
      <c r="G35" s="26" t="s">
        <v>349</v>
      </c>
      <c r="H35" s="48" t="s">
        <v>350</v>
      </c>
      <c r="I35" s="48" t="s">
        <v>351</v>
      </c>
      <c r="J35" s="48"/>
      <c r="K35" s="26" t="s">
        <v>223</v>
      </c>
      <c r="L35" s="48" t="s">
        <v>352</v>
      </c>
      <c r="M35" s="26" t="s">
        <v>352</v>
      </c>
      <c r="N35" s="48"/>
      <c r="O35" s="48" t="s">
        <v>224</v>
      </c>
      <c r="P35" s="26" t="s">
        <v>224</v>
      </c>
      <c r="Q35" s="26" t="s">
        <v>209</v>
      </c>
      <c r="R35" s="48"/>
      <c r="S35" s="49" t="str">
        <f>"567,5"</f>
        <v>567,5</v>
      </c>
      <c r="T35" s="50" t="str">
        <f>"333,9738"</f>
        <v>333,9738</v>
      </c>
      <c r="U35" s="25"/>
    </row>
    <row r="37" ht="15.75" spans="1:18">
      <c r="A37" s="23" t="s">
        <v>116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>
      <c r="A38" s="25" t="s">
        <v>353</v>
      </c>
      <c r="B38" s="26" t="s">
        <v>354</v>
      </c>
      <c r="C38" s="26" t="s">
        <v>355</v>
      </c>
      <c r="D38" s="26" t="str">
        <f>"0,5473"</f>
        <v>0,5473</v>
      </c>
      <c r="E38" s="25" t="s">
        <v>87</v>
      </c>
      <c r="F38" s="25" t="s">
        <v>14</v>
      </c>
      <c r="G38" s="26" t="s">
        <v>17</v>
      </c>
      <c r="H38" s="26" t="s">
        <v>310</v>
      </c>
      <c r="I38" s="26" t="s">
        <v>356</v>
      </c>
      <c r="J38" s="48"/>
      <c r="K38" s="26" t="s">
        <v>256</v>
      </c>
      <c r="L38" s="26" t="s">
        <v>242</v>
      </c>
      <c r="M38" s="26" t="s">
        <v>25</v>
      </c>
      <c r="N38" s="48"/>
      <c r="O38" s="26" t="s">
        <v>285</v>
      </c>
      <c r="P38" s="26" t="s">
        <v>89</v>
      </c>
      <c r="Q38" s="26" t="s">
        <v>90</v>
      </c>
      <c r="R38" s="48"/>
      <c r="S38" s="49" t="str">
        <f>"287,5"</f>
        <v>287,5</v>
      </c>
      <c r="T38" s="50" t="str">
        <f>"157,3487"</f>
        <v>157,3487</v>
      </c>
      <c r="U38" s="25"/>
    </row>
    <row r="40" ht="15.75" spans="5:5">
      <c r="E40" s="32" t="s">
        <v>28</v>
      </c>
    </row>
    <row r="41" ht="15.75" spans="5:5">
      <c r="E41" s="32" t="s">
        <v>29</v>
      </c>
    </row>
    <row r="42" ht="15.75" spans="5:5">
      <c r="E42" s="32" t="s">
        <v>30</v>
      </c>
    </row>
    <row r="43" spans="5:5">
      <c r="E43" s="4" t="s">
        <v>31</v>
      </c>
    </row>
    <row r="44" spans="5:5">
      <c r="E44" s="4" t="s">
        <v>32</v>
      </c>
    </row>
    <row r="45" spans="5:5">
      <c r="E45" s="4" t="s">
        <v>33</v>
      </c>
    </row>
    <row r="48" ht="18.75" spans="1:2">
      <c r="A48" s="33" t="s">
        <v>34</v>
      </c>
      <c r="B48" s="34"/>
    </row>
    <row r="49" ht="15.75" spans="1:2">
      <c r="A49" s="35" t="s">
        <v>92</v>
      </c>
      <c r="B49" s="23"/>
    </row>
    <row r="50" ht="15" spans="1:2">
      <c r="A50" s="36"/>
      <c r="B50" s="37" t="s">
        <v>357</v>
      </c>
    </row>
    <row r="51" ht="14.25" spans="1:5">
      <c r="A51" s="38" t="s">
        <v>1</v>
      </c>
      <c r="B51" s="38" t="s">
        <v>37</v>
      </c>
      <c r="C51" s="38" t="s">
        <v>38</v>
      </c>
      <c r="D51" s="38" t="s">
        <v>206</v>
      </c>
      <c r="E51" s="38" t="s">
        <v>195</v>
      </c>
    </row>
    <row r="52" spans="1:5">
      <c r="A52" s="39" t="s">
        <v>358</v>
      </c>
      <c r="B52" s="3" t="s">
        <v>359</v>
      </c>
      <c r="C52" s="3" t="s">
        <v>247</v>
      </c>
      <c r="D52" s="3" t="s">
        <v>360</v>
      </c>
      <c r="E52" s="5" t="s">
        <v>361</v>
      </c>
    </row>
    <row r="54" ht="15" spans="1:2">
      <c r="A54" s="36"/>
      <c r="B54" s="37" t="s">
        <v>227</v>
      </c>
    </row>
    <row r="55" ht="14.25" spans="1:5">
      <c r="A55" s="38" t="s">
        <v>1</v>
      </c>
      <c r="B55" s="38" t="s">
        <v>37</v>
      </c>
      <c r="C55" s="38" t="s">
        <v>38</v>
      </c>
      <c r="D55" s="38" t="s">
        <v>206</v>
      </c>
      <c r="E55" s="38" t="s">
        <v>195</v>
      </c>
    </row>
    <row r="56" spans="1:5">
      <c r="A56" s="39" t="s">
        <v>362</v>
      </c>
      <c r="B56" s="3" t="s">
        <v>229</v>
      </c>
      <c r="C56" s="3" t="s">
        <v>363</v>
      </c>
      <c r="D56" s="3" t="s">
        <v>364</v>
      </c>
      <c r="E56" s="5" t="s">
        <v>365</v>
      </c>
    </row>
    <row r="58" ht="15" spans="1:2">
      <c r="A58" s="36"/>
      <c r="B58" s="37" t="s">
        <v>366</v>
      </c>
    </row>
    <row r="59" ht="14.25" spans="1:5">
      <c r="A59" s="38" t="s">
        <v>1</v>
      </c>
      <c r="B59" s="38" t="s">
        <v>37</v>
      </c>
      <c r="C59" s="38" t="s">
        <v>38</v>
      </c>
      <c r="D59" s="38" t="s">
        <v>206</v>
      </c>
      <c r="E59" s="38" t="s">
        <v>195</v>
      </c>
    </row>
    <row r="60" spans="1:5">
      <c r="A60" s="39" t="s">
        <v>367</v>
      </c>
      <c r="B60" s="3" t="s">
        <v>368</v>
      </c>
      <c r="C60" s="3" t="s">
        <v>369</v>
      </c>
      <c r="D60" s="3" t="s">
        <v>370</v>
      </c>
      <c r="E60" s="5" t="s">
        <v>371</v>
      </c>
    </row>
    <row r="62" ht="15" spans="1:2">
      <c r="A62" s="36"/>
      <c r="B62" s="37" t="s">
        <v>43</v>
      </c>
    </row>
    <row r="63" ht="14.25" spans="1:5">
      <c r="A63" s="38" t="s">
        <v>1</v>
      </c>
      <c r="B63" s="38" t="s">
        <v>37</v>
      </c>
      <c r="C63" s="38" t="s">
        <v>38</v>
      </c>
      <c r="D63" s="38" t="s">
        <v>206</v>
      </c>
      <c r="E63" s="38" t="s">
        <v>195</v>
      </c>
    </row>
    <row r="64" spans="1:5">
      <c r="A64" s="39" t="s">
        <v>372</v>
      </c>
      <c r="B64" s="3" t="s">
        <v>43</v>
      </c>
      <c r="C64" s="3" t="s">
        <v>373</v>
      </c>
      <c r="D64" s="3" t="s">
        <v>374</v>
      </c>
      <c r="E64" s="5" t="s">
        <v>375</v>
      </c>
    </row>
    <row r="65" spans="1:5">
      <c r="A65" s="39" t="s">
        <v>376</v>
      </c>
      <c r="B65" s="3" t="s">
        <v>43</v>
      </c>
      <c r="C65" s="3" t="s">
        <v>208</v>
      </c>
      <c r="D65" s="3" t="s">
        <v>225</v>
      </c>
      <c r="E65" s="5" t="s">
        <v>377</v>
      </c>
    </row>
    <row r="67" ht="15" spans="1:2">
      <c r="A67" s="36"/>
      <c r="B67" s="37" t="s">
        <v>130</v>
      </c>
    </row>
    <row r="68" ht="14.25" spans="1:5">
      <c r="A68" s="38" t="s">
        <v>1</v>
      </c>
      <c r="B68" s="38" t="s">
        <v>37</v>
      </c>
      <c r="C68" s="38" t="s">
        <v>38</v>
      </c>
      <c r="D68" s="38" t="s">
        <v>206</v>
      </c>
      <c r="E68" s="38" t="s">
        <v>195</v>
      </c>
    </row>
    <row r="69" spans="1:5">
      <c r="A69" s="39" t="s">
        <v>98</v>
      </c>
      <c r="B69" s="3" t="s">
        <v>276</v>
      </c>
      <c r="C69" s="3" t="s">
        <v>208</v>
      </c>
      <c r="D69" s="3" t="s">
        <v>378</v>
      </c>
      <c r="E69" s="5" t="s">
        <v>379</v>
      </c>
    </row>
    <row r="72" ht="15.75" spans="1:2">
      <c r="A72" s="35" t="s">
        <v>35</v>
      </c>
      <c r="B72" s="23"/>
    </row>
    <row r="73" ht="15" spans="1:2">
      <c r="A73" s="36"/>
      <c r="B73" s="37" t="s">
        <v>357</v>
      </c>
    </row>
    <row r="74" ht="14.25" spans="1:5">
      <c r="A74" s="38" t="s">
        <v>1</v>
      </c>
      <c r="B74" s="38" t="s">
        <v>37</v>
      </c>
      <c r="C74" s="38" t="s">
        <v>38</v>
      </c>
      <c r="D74" s="38" t="s">
        <v>206</v>
      </c>
      <c r="E74" s="38" t="s">
        <v>195</v>
      </c>
    </row>
    <row r="75" spans="1:5">
      <c r="A75" s="39" t="s">
        <v>380</v>
      </c>
      <c r="B75" s="3" t="s">
        <v>381</v>
      </c>
      <c r="C75" s="3" t="s">
        <v>382</v>
      </c>
      <c r="D75" s="3" t="s">
        <v>301</v>
      </c>
      <c r="E75" s="5" t="s">
        <v>383</v>
      </c>
    </row>
    <row r="77" ht="15" spans="1:2">
      <c r="A77" s="36"/>
      <c r="B77" s="37" t="s">
        <v>227</v>
      </c>
    </row>
    <row r="78" ht="14.25" spans="1:5">
      <c r="A78" s="38" t="s">
        <v>1</v>
      </c>
      <c r="B78" s="38" t="s">
        <v>37</v>
      </c>
      <c r="C78" s="38" t="s">
        <v>38</v>
      </c>
      <c r="D78" s="38" t="s">
        <v>206</v>
      </c>
      <c r="E78" s="38" t="s">
        <v>195</v>
      </c>
    </row>
    <row r="79" spans="1:5">
      <c r="A79" s="39" t="s">
        <v>384</v>
      </c>
      <c r="B79" s="3" t="s">
        <v>385</v>
      </c>
      <c r="C79" s="3" t="s">
        <v>94</v>
      </c>
      <c r="D79" s="3" t="s">
        <v>386</v>
      </c>
      <c r="E79" s="5" t="s">
        <v>387</v>
      </c>
    </row>
    <row r="80" spans="1:5">
      <c r="A80" s="39" t="s">
        <v>388</v>
      </c>
      <c r="B80" s="3" t="s">
        <v>385</v>
      </c>
      <c r="C80" s="3" t="s">
        <v>125</v>
      </c>
      <c r="D80" s="3" t="s">
        <v>389</v>
      </c>
      <c r="E80" s="5" t="s">
        <v>390</v>
      </c>
    </row>
    <row r="81" spans="1:5">
      <c r="A81" s="39" t="s">
        <v>391</v>
      </c>
      <c r="B81" s="3" t="s">
        <v>229</v>
      </c>
      <c r="C81" s="3" t="s">
        <v>185</v>
      </c>
      <c r="D81" s="3" t="s">
        <v>392</v>
      </c>
      <c r="E81" s="5" t="s">
        <v>393</v>
      </c>
    </row>
    <row r="82" spans="1:5">
      <c r="A82" s="39" t="s">
        <v>394</v>
      </c>
      <c r="B82" s="3" t="s">
        <v>229</v>
      </c>
      <c r="C82" s="3" t="s">
        <v>128</v>
      </c>
      <c r="D82" s="3" t="s">
        <v>395</v>
      </c>
      <c r="E82" s="5" t="s">
        <v>396</v>
      </c>
    </row>
    <row r="84" ht="15" spans="1:2">
      <c r="A84" s="36"/>
      <c r="B84" s="37" t="s">
        <v>43</v>
      </c>
    </row>
    <row r="85" ht="14.25" spans="1:5">
      <c r="A85" s="38" t="s">
        <v>1</v>
      </c>
      <c r="B85" s="38" t="s">
        <v>37</v>
      </c>
      <c r="C85" s="38" t="s">
        <v>38</v>
      </c>
      <c r="D85" s="38" t="s">
        <v>206</v>
      </c>
      <c r="E85" s="38" t="s">
        <v>195</v>
      </c>
    </row>
    <row r="86" spans="1:5">
      <c r="A86" s="39" t="s">
        <v>269</v>
      </c>
      <c r="B86" s="3" t="s">
        <v>43</v>
      </c>
      <c r="C86" s="3" t="s">
        <v>247</v>
      </c>
      <c r="D86" s="3" t="s">
        <v>397</v>
      </c>
      <c r="E86" s="5" t="s">
        <v>398</v>
      </c>
    </row>
    <row r="87" spans="1:5">
      <c r="A87" s="39" t="s">
        <v>271</v>
      </c>
      <c r="B87" s="3" t="s">
        <v>43</v>
      </c>
      <c r="C87" s="3" t="s">
        <v>185</v>
      </c>
      <c r="D87" s="3" t="s">
        <v>399</v>
      </c>
      <c r="E87" s="5" t="s">
        <v>400</v>
      </c>
    </row>
  </sheetData>
  <mergeCells count="24">
    <mergeCell ref="G3:J3"/>
    <mergeCell ref="K3:N3"/>
    <mergeCell ref="O3:R3"/>
    <mergeCell ref="A5:R5"/>
    <mergeCell ref="A8:R8"/>
    <mergeCell ref="A11:R11"/>
    <mergeCell ref="A15:R15"/>
    <mergeCell ref="A18:R18"/>
    <mergeCell ref="A21:R21"/>
    <mergeCell ref="A24:R24"/>
    <mergeCell ref="A27:R27"/>
    <mergeCell ref="A30:R30"/>
    <mergeCell ref="A34:R34"/>
    <mergeCell ref="A37:R37"/>
    <mergeCell ref="A3:A4"/>
    <mergeCell ref="B3:B4"/>
    <mergeCell ref="C3:C4"/>
    <mergeCell ref="D3:D4"/>
    <mergeCell ref="E3:E4"/>
    <mergeCell ref="F3:F4"/>
    <mergeCell ref="S3:S4"/>
    <mergeCell ref="T3:T4"/>
    <mergeCell ref="U3:U4"/>
    <mergeCell ref="A1:U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8.78095238095238" style="3" customWidth="1"/>
    <col min="5" max="5" width="18.4380952380952" style="4" customWidth="1"/>
    <col min="6" max="6" width="26.4380952380952" style="4" customWidth="1"/>
    <col min="7" max="9" width="5.55238095238095" style="3" customWidth="1"/>
    <col min="10" max="10" width="4.78095238095238" style="3" customWidth="1"/>
    <col min="11" max="11" width="5.78095238095238" style="5" customWidth="1"/>
    <col min="12" max="12" width="8.55238095238095" style="6" customWidth="1"/>
    <col min="13" max="13" width="23.2190476190476" style="4" customWidth="1"/>
    <col min="14" max="16384" width="9.1047619047619" style="7"/>
  </cols>
  <sheetData>
    <row r="1" s="1" customFormat="1" ht="28.95" customHeight="1" spans="1:13">
      <c r="A1" s="8" t="s">
        <v>401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104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402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403</v>
      </c>
      <c r="B6" s="26" t="s">
        <v>404</v>
      </c>
      <c r="C6" s="26" t="s">
        <v>405</v>
      </c>
      <c r="D6" s="26" t="str">
        <f>"1,1139"</f>
        <v>1,1139</v>
      </c>
      <c r="E6" s="25" t="s">
        <v>81</v>
      </c>
      <c r="F6" s="25" t="s">
        <v>82</v>
      </c>
      <c r="G6" s="26" t="s">
        <v>324</v>
      </c>
      <c r="H6" s="26" t="s">
        <v>214</v>
      </c>
      <c r="I6" s="26" t="s">
        <v>325</v>
      </c>
      <c r="J6" s="48"/>
      <c r="K6" s="49" t="str">
        <f>"37,5"</f>
        <v>37,5</v>
      </c>
      <c r="L6" s="50" t="str">
        <f>"41,7712"</f>
        <v>41,7712</v>
      </c>
      <c r="M6" s="25"/>
    </row>
    <row r="7" s="3" customFormat="1" spans="1:13">
      <c r="A7" s="4"/>
      <c r="E7" s="4"/>
      <c r="F7" s="4"/>
      <c r="K7" s="5"/>
      <c r="L7" s="6"/>
      <c r="M7" s="4"/>
    </row>
    <row r="8" ht="15.75" spans="1:10">
      <c r="A8" s="23" t="s">
        <v>334</v>
      </c>
      <c r="B8" s="24"/>
      <c r="C8" s="24"/>
      <c r="D8" s="24"/>
      <c r="E8" s="24"/>
      <c r="F8" s="24"/>
      <c r="G8" s="24"/>
      <c r="H8" s="24"/>
      <c r="I8" s="24"/>
      <c r="J8" s="24"/>
    </row>
    <row r="9" spans="1:13">
      <c r="A9" s="25" t="s">
        <v>406</v>
      </c>
      <c r="B9" s="26" t="s">
        <v>407</v>
      </c>
      <c r="C9" s="26" t="s">
        <v>408</v>
      </c>
      <c r="D9" s="26" t="str">
        <f>"0,9778"</f>
        <v>0,9778</v>
      </c>
      <c r="E9" s="25" t="s">
        <v>13</v>
      </c>
      <c r="F9" s="25" t="s">
        <v>14</v>
      </c>
      <c r="G9" s="26" t="s">
        <v>300</v>
      </c>
      <c r="H9" s="26" t="s">
        <v>242</v>
      </c>
      <c r="I9" s="26" t="s">
        <v>25</v>
      </c>
      <c r="J9" s="48"/>
      <c r="K9" s="49" t="str">
        <f>"60,0"</f>
        <v>60,0</v>
      </c>
      <c r="L9" s="50" t="str">
        <f>"115,5760"</f>
        <v>115,5760</v>
      </c>
      <c r="M9" s="25"/>
    </row>
    <row r="11" ht="15.75" spans="1:10">
      <c r="A11" s="23" t="s">
        <v>70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3">
      <c r="A12" s="25" t="s">
        <v>409</v>
      </c>
      <c r="B12" s="26" t="s">
        <v>410</v>
      </c>
      <c r="C12" s="26" t="s">
        <v>411</v>
      </c>
      <c r="D12" s="26" t="str">
        <f>"0,9156"</f>
        <v>0,9156</v>
      </c>
      <c r="E12" s="25" t="s">
        <v>81</v>
      </c>
      <c r="F12" s="25" t="s">
        <v>82</v>
      </c>
      <c r="G12" s="26" t="s">
        <v>25</v>
      </c>
      <c r="H12" s="26" t="s">
        <v>201</v>
      </c>
      <c r="I12" s="48" t="s">
        <v>74</v>
      </c>
      <c r="J12" s="48"/>
      <c r="K12" s="49" t="str">
        <f>"77,5"</f>
        <v>77,5</v>
      </c>
      <c r="L12" s="50" t="str">
        <f>"70,9590"</f>
        <v>70,9590</v>
      </c>
      <c r="M12" s="25" t="s">
        <v>412</v>
      </c>
    </row>
    <row r="14" ht="15.75" spans="1:10">
      <c r="A14" s="23" t="s">
        <v>108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3">
      <c r="A15" s="19" t="s">
        <v>413</v>
      </c>
      <c r="B15" s="20" t="s">
        <v>414</v>
      </c>
      <c r="C15" s="20" t="s">
        <v>415</v>
      </c>
      <c r="D15" s="20" t="str">
        <f>"0,6882"</f>
        <v>0,6882</v>
      </c>
      <c r="E15" s="19" t="s">
        <v>13</v>
      </c>
      <c r="F15" s="19" t="s">
        <v>14</v>
      </c>
      <c r="G15" s="20" t="s">
        <v>311</v>
      </c>
      <c r="H15" s="27" t="s">
        <v>115</v>
      </c>
      <c r="I15" s="27" t="s">
        <v>115</v>
      </c>
      <c r="J15" s="27"/>
      <c r="K15" s="44" t="str">
        <f>"105,0"</f>
        <v>105,0</v>
      </c>
      <c r="L15" s="45" t="str">
        <f>"72,2610"</f>
        <v>72,2610</v>
      </c>
      <c r="M15" s="19"/>
    </row>
    <row r="16" spans="1:13">
      <c r="A16" s="21" t="s">
        <v>21</v>
      </c>
      <c r="B16" s="22" t="s">
        <v>416</v>
      </c>
      <c r="C16" s="22" t="s">
        <v>23</v>
      </c>
      <c r="D16" s="22" t="str">
        <f>"0,6760"</f>
        <v>0,6760</v>
      </c>
      <c r="E16" s="21" t="s">
        <v>13</v>
      </c>
      <c r="F16" s="21" t="s">
        <v>24</v>
      </c>
      <c r="G16" s="31" t="s">
        <v>17</v>
      </c>
      <c r="H16" s="31" t="s">
        <v>17</v>
      </c>
      <c r="I16" s="22" t="s">
        <v>17</v>
      </c>
      <c r="J16" s="31"/>
      <c r="K16" s="46" t="str">
        <f>"85,0"</f>
        <v>85,0</v>
      </c>
      <c r="L16" s="47" t="str">
        <f>"107,1629"</f>
        <v>107,1629</v>
      </c>
      <c r="M16" s="21"/>
    </row>
    <row r="18" ht="15.75" spans="1:10">
      <c r="A18" s="23" t="s">
        <v>238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3">
      <c r="A19" s="25" t="s">
        <v>257</v>
      </c>
      <c r="B19" s="26" t="s">
        <v>258</v>
      </c>
      <c r="C19" s="26" t="s">
        <v>259</v>
      </c>
      <c r="D19" s="26" t="str">
        <f>"0,5885"</f>
        <v>0,5885</v>
      </c>
      <c r="E19" s="25" t="s">
        <v>81</v>
      </c>
      <c r="F19" s="25" t="s">
        <v>82</v>
      </c>
      <c r="G19" s="26" t="s">
        <v>223</v>
      </c>
      <c r="H19" s="48" t="s">
        <v>352</v>
      </c>
      <c r="I19" s="26" t="s">
        <v>352</v>
      </c>
      <c r="J19" s="48"/>
      <c r="K19" s="49" t="str">
        <f>"152,5"</f>
        <v>152,5</v>
      </c>
      <c r="L19" s="50" t="str">
        <f>"89,7463"</f>
        <v>89,7463</v>
      </c>
      <c r="M19" s="25"/>
    </row>
    <row r="21" ht="15.75" spans="1:10">
      <c r="A21" s="23" t="s">
        <v>162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3">
      <c r="A22" s="25" t="s">
        <v>218</v>
      </c>
      <c r="B22" s="26" t="s">
        <v>219</v>
      </c>
      <c r="C22" s="26" t="s">
        <v>220</v>
      </c>
      <c r="D22" s="26" t="str">
        <f>"0,5589"</f>
        <v>0,5589</v>
      </c>
      <c r="E22" s="25" t="s">
        <v>13</v>
      </c>
      <c r="F22" s="25" t="s">
        <v>147</v>
      </c>
      <c r="G22" s="26" t="s">
        <v>221</v>
      </c>
      <c r="H22" s="26" t="s">
        <v>222</v>
      </c>
      <c r="I22" s="26" t="s">
        <v>223</v>
      </c>
      <c r="J22" s="48"/>
      <c r="K22" s="49" t="str">
        <f>"145,0"</f>
        <v>145,0</v>
      </c>
      <c r="L22" s="50" t="str">
        <f>"115,8879"</f>
        <v>115,8879</v>
      </c>
      <c r="M22" s="25"/>
    </row>
    <row r="24" ht="15.75" spans="1:10">
      <c r="A24" s="23" t="s">
        <v>116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3">
      <c r="A25" s="19" t="s">
        <v>417</v>
      </c>
      <c r="B25" s="20" t="s">
        <v>418</v>
      </c>
      <c r="C25" s="20" t="s">
        <v>419</v>
      </c>
      <c r="D25" s="20" t="str">
        <f>"0,5431"</f>
        <v>0,5431</v>
      </c>
      <c r="E25" s="19" t="s">
        <v>13</v>
      </c>
      <c r="F25" s="19" t="s">
        <v>14</v>
      </c>
      <c r="G25" s="20" t="s">
        <v>351</v>
      </c>
      <c r="H25" s="20" t="s">
        <v>420</v>
      </c>
      <c r="I25" s="20" t="s">
        <v>224</v>
      </c>
      <c r="J25" s="27"/>
      <c r="K25" s="44" t="str">
        <f>"220,0"</f>
        <v>220,0</v>
      </c>
      <c r="L25" s="45" t="str">
        <f>"119,4820"</f>
        <v>119,4820</v>
      </c>
      <c r="M25" s="19"/>
    </row>
    <row r="26" spans="1:13">
      <c r="A26" s="28" t="s">
        <v>421</v>
      </c>
      <c r="B26" s="29" t="s">
        <v>422</v>
      </c>
      <c r="C26" s="29" t="s">
        <v>423</v>
      </c>
      <c r="D26" s="29" t="str">
        <f>"0,5467"</f>
        <v>0,5467</v>
      </c>
      <c r="E26" s="28" t="s">
        <v>13</v>
      </c>
      <c r="F26" s="28" t="s">
        <v>424</v>
      </c>
      <c r="G26" s="29" t="s">
        <v>425</v>
      </c>
      <c r="H26" s="29" t="s">
        <v>426</v>
      </c>
      <c r="I26" s="29" t="s">
        <v>301</v>
      </c>
      <c r="J26" s="30"/>
      <c r="K26" s="51" t="str">
        <f>"170,0"</f>
        <v>170,0</v>
      </c>
      <c r="L26" s="52" t="str">
        <f>"92,9390"</f>
        <v>92,9390</v>
      </c>
      <c r="M26" s="28"/>
    </row>
    <row r="27" spans="1:13">
      <c r="A27" s="21" t="s">
        <v>117</v>
      </c>
      <c r="B27" s="22" t="s">
        <v>123</v>
      </c>
      <c r="C27" s="22" t="s">
        <v>119</v>
      </c>
      <c r="D27" s="22" t="str">
        <f>"0,5411"</f>
        <v>0,5411</v>
      </c>
      <c r="E27" s="21" t="s">
        <v>13</v>
      </c>
      <c r="F27" s="21" t="s">
        <v>120</v>
      </c>
      <c r="G27" s="22" t="s">
        <v>301</v>
      </c>
      <c r="H27" s="22" t="s">
        <v>427</v>
      </c>
      <c r="I27" s="22" t="s">
        <v>349</v>
      </c>
      <c r="J27" s="31"/>
      <c r="K27" s="46" t="str">
        <f>"185,0"</f>
        <v>185,0</v>
      </c>
      <c r="L27" s="47" t="str">
        <f>"104,9085"</f>
        <v>104,9085</v>
      </c>
      <c r="M27" s="21"/>
    </row>
    <row r="29" ht="15.75" spans="1:10">
      <c r="A29" s="23" t="s">
        <v>143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3">
      <c r="A30" s="25" t="s">
        <v>264</v>
      </c>
      <c r="B30" s="26" t="s">
        <v>265</v>
      </c>
      <c r="C30" s="26" t="s">
        <v>266</v>
      </c>
      <c r="D30" s="26" t="str">
        <f>"0,5300"</f>
        <v>0,5300</v>
      </c>
      <c r="E30" s="25" t="s">
        <v>13</v>
      </c>
      <c r="F30" s="25" t="s">
        <v>267</v>
      </c>
      <c r="G30" s="26" t="s">
        <v>284</v>
      </c>
      <c r="H30" s="26" t="s">
        <v>299</v>
      </c>
      <c r="I30" s="48" t="s">
        <v>301</v>
      </c>
      <c r="J30" s="48"/>
      <c r="K30" s="49" t="str">
        <f>"160,0"</f>
        <v>160,0</v>
      </c>
      <c r="L30" s="50" t="str">
        <f>"84,8000"</f>
        <v>84,8000</v>
      </c>
      <c r="M30" s="25"/>
    </row>
    <row r="32" ht="15.75" spans="5:5">
      <c r="E32" s="32" t="s">
        <v>28</v>
      </c>
    </row>
    <row r="33" ht="15.75" spans="5:5">
      <c r="E33" s="32" t="s">
        <v>29</v>
      </c>
    </row>
    <row r="34" ht="15.75" spans="5:5">
      <c r="E34" s="32" t="s">
        <v>30</v>
      </c>
    </row>
    <row r="35" spans="5:5">
      <c r="E35" s="4" t="s">
        <v>31</v>
      </c>
    </row>
    <row r="36" spans="5:5">
      <c r="E36" s="4" t="s">
        <v>32</v>
      </c>
    </row>
    <row r="37" spans="5:5">
      <c r="E37" s="4" t="s">
        <v>33</v>
      </c>
    </row>
    <row r="40" ht="18.75" spans="1:2">
      <c r="A40" s="33" t="s">
        <v>34</v>
      </c>
      <c r="B40" s="34"/>
    </row>
    <row r="41" ht="15.75" spans="1:2">
      <c r="A41" s="35" t="s">
        <v>92</v>
      </c>
      <c r="B41" s="23"/>
    </row>
    <row r="42" ht="15" spans="1:2">
      <c r="A42" s="36"/>
      <c r="B42" s="37" t="s">
        <v>43</v>
      </c>
    </row>
    <row r="43" ht="14.25" spans="1:5">
      <c r="A43" s="38" t="s">
        <v>1</v>
      </c>
      <c r="B43" s="38" t="s">
        <v>37</v>
      </c>
      <c r="C43" s="38" t="s">
        <v>38</v>
      </c>
      <c r="D43" s="38" t="s">
        <v>39</v>
      </c>
      <c r="E43" s="38" t="s">
        <v>195</v>
      </c>
    </row>
    <row r="44" spans="1:5">
      <c r="A44" s="39" t="s">
        <v>428</v>
      </c>
      <c r="B44" s="3" t="s">
        <v>43</v>
      </c>
      <c r="C44" s="3" t="s">
        <v>429</v>
      </c>
      <c r="D44" s="3" t="s">
        <v>325</v>
      </c>
      <c r="E44" s="5" t="s">
        <v>430</v>
      </c>
    </row>
    <row r="46" ht="15" spans="1:2">
      <c r="A46" s="36"/>
      <c r="B46" s="37" t="s">
        <v>130</v>
      </c>
    </row>
    <row r="47" ht="14.25" spans="1:5">
      <c r="A47" s="38" t="s">
        <v>1</v>
      </c>
      <c r="B47" s="38" t="s">
        <v>37</v>
      </c>
      <c r="C47" s="38" t="s">
        <v>38</v>
      </c>
      <c r="D47" s="38" t="s">
        <v>39</v>
      </c>
      <c r="E47" s="38" t="s">
        <v>195</v>
      </c>
    </row>
    <row r="48" spans="1:5">
      <c r="A48" s="39" t="s">
        <v>431</v>
      </c>
      <c r="B48" s="3" t="s">
        <v>432</v>
      </c>
      <c r="C48" s="3" t="s">
        <v>382</v>
      </c>
      <c r="D48" s="3" t="s">
        <v>25</v>
      </c>
      <c r="E48" s="5" t="s">
        <v>433</v>
      </c>
    </row>
    <row r="51" ht="15.75" spans="1:2">
      <c r="A51" s="35" t="s">
        <v>35</v>
      </c>
      <c r="B51" s="23"/>
    </row>
    <row r="52" ht="15" spans="1:2">
      <c r="A52" s="36"/>
      <c r="B52" s="37" t="s">
        <v>227</v>
      </c>
    </row>
    <row r="53" ht="14.25" spans="1:5">
      <c r="A53" s="38" t="s">
        <v>1</v>
      </c>
      <c r="B53" s="38" t="s">
        <v>37</v>
      </c>
      <c r="C53" s="38" t="s">
        <v>38</v>
      </c>
      <c r="D53" s="38" t="s">
        <v>39</v>
      </c>
      <c r="E53" s="38" t="s">
        <v>195</v>
      </c>
    </row>
    <row r="54" spans="1:5">
      <c r="A54" s="39" t="s">
        <v>434</v>
      </c>
      <c r="B54" s="3" t="s">
        <v>385</v>
      </c>
      <c r="C54" s="3" t="s">
        <v>125</v>
      </c>
      <c r="D54" s="3" t="s">
        <v>311</v>
      </c>
      <c r="E54" s="5" t="s">
        <v>435</v>
      </c>
    </row>
    <row r="55" spans="1:5">
      <c r="A55" s="39" t="s">
        <v>436</v>
      </c>
      <c r="B55" s="3" t="s">
        <v>229</v>
      </c>
      <c r="C55" s="3" t="s">
        <v>94</v>
      </c>
      <c r="D55" s="3" t="s">
        <v>201</v>
      </c>
      <c r="E55" s="5" t="s">
        <v>437</v>
      </c>
    </row>
    <row r="57" ht="15" spans="1:2">
      <c r="A57" s="36"/>
      <c r="B57" s="37" t="s">
        <v>43</v>
      </c>
    </row>
    <row r="58" ht="14.25" spans="1:5">
      <c r="A58" s="38" t="s">
        <v>1</v>
      </c>
      <c r="B58" s="38" t="s">
        <v>37</v>
      </c>
      <c r="C58" s="38" t="s">
        <v>38</v>
      </c>
      <c r="D58" s="38" t="s">
        <v>39</v>
      </c>
      <c r="E58" s="38" t="s">
        <v>195</v>
      </c>
    </row>
    <row r="59" spans="1:5">
      <c r="A59" s="39" t="s">
        <v>438</v>
      </c>
      <c r="B59" s="3" t="s">
        <v>43</v>
      </c>
      <c r="C59" s="3" t="s">
        <v>128</v>
      </c>
      <c r="D59" s="3" t="s">
        <v>224</v>
      </c>
      <c r="E59" s="5" t="s">
        <v>439</v>
      </c>
    </row>
    <row r="60" spans="1:5">
      <c r="A60" s="39" t="s">
        <v>440</v>
      </c>
      <c r="B60" s="3" t="s">
        <v>43</v>
      </c>
      <c r="C60" s="3" t="s">
        <v>128</v>
      </c>
      <c r="D60" s="3" t="s">
        <v>301</v>
      </c>
      <c r="E60" s="5" t="s">
        <v>441</v>
      </c>
    </row>
    <row r="61" spans="1:5">
      <c r="A61" s="39" t="s">
        <v>269</v>
      </c>
      <c r="B61" s="3" t="s">
        <v>43</v>
      </c>
      <c r="C61" s="3" t="s">
        <v>247</v>
      </c>
      <c r="D61" s="3" t="s">
        <v>352</v>
      </c>
      <c r="E61" s="5" t="s">
        <v>442</v>
      </c>
    </row>
    <row r="62" spans="1:5">
      <c r="A62" s="39" t="s">
        <v>273</v>
      </c>
      <c r="B62" s="3" t="s">
        <v>43</v>
      </c>
      <c r="C62" s="3" t="s">
        <v>153</v>
      </c>
      <c r="D62" s="3" t="s">
        <v>299</v>
      </c>
      <c r="E62" s="5" t="s">
        <v>443</v>
      </c>
    </row>
    <row r="64" ht="15" spans="1:2">
      <c r="A64" s="36"/>
      <c r="B64" s="37" t="s">
        <v>130</v>
      </c>
    </row>
    <row r="65" ht="14.25" spans="1:5">
      <c r="A65" s="38" t="s">
        <v>1</v>
      </c>
      <c r="B65" s="38" t="s">
        <v>37</v>
      </c>
      <c r="C65" s="38" t="s">
        <v>38</v>
      </c>
      <c r="D65" s="38" t="s">
        <v>39</v>
      </c>
      <c r="E65" s="38" t="s">
        <v>195</v>
      </c>
    </row>
    <row r="66" spans="1:5">
      <c r="A66" s="39" t="s">
        <v>232</v>
      </c>
      <c r="B66" s="3" t="s">
        <v>233</v>
      </c>
      <c r="C66" s="3" t="s">
        <v>171</v>
      </c>
      <c r="D66" s="3" t="s">
        <v>223</v>
      </c>
      <c r="E66" s="5" t="s">
        <v>444</v>
      </c>
    </row>
    <row r="67" spans="1:5">
      <c r="A67" s="39" t="s">
        <v>45</v>
      </c>
      <c r="B67" s="3" t="s">
        <v>445</v>
      </c>
      <c r="C67" s="3" t="s">
        <v>125</v>
      </c>
      <c r="D67" s="3" t="s">
        <v>17</v>
      </c>
      <c r="E67" s="5" t="s">
        <v>446</v>
      </c>
    </row>
    <row r="68" spans="1:5">
      <c r="A68" s="39" t="s">
        <v>127</v>
      </c>
      <c r="B68" s="3" t="s">
        <v>131</v>
      </c>
      <c r="C68" s="3" t="s">
        <v>128</v>
      </c>
      <c r="D68" s="3" t="s">
        <v>349</v>
      </c>
      <c r="E68" s="5" t="s">
        <v>447</v>
      </c>
    </row>
  </sheetData>
  <mergeCells count="19">
    <mergeCell ref="G3:J3"/>
    <mergeCell ref="A5:J5"/>
    <mergeCell ref="A8:J8"/>
    <mergeCell ref="A11:J11"/>
    <mergeCell ref="A14:J14"/>
    <mergeCell ref="A18:J18"/>
    <mergeCell ref="A21:J21"/>
    <mergeCell ref="A24:J24"/>
    <mergeCell ref="A29:J29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19.1047619047619" style="3" customWidth="1"/>
    <col min="3" max="3" width="7.55238095238095" style="3" customWidth="1"/>
    <col min="4" max="4" width="8.78095238095238" style="3" customWidth="1"/>
    <col min="5" max="5" width="17" style="4" customWidth="1"/>
    <col min="6" max="6" width="19.3333333333333" style="4" customWidth="1"/>
    <col min="7" max="9" width="5.55238095238095" style="3" customWidth="1"/>
    <col min="10" max="10" width="4.78095238095238" style="3" customWidth="1"/>
    <col min="11" max="11" width="5.78095238095238" style="5" customWidth="1"/>
    <col min="12" max="12" width="8.55238095238095" style="6" customWidth="1"/>
    <col min="13" max="13" width="7.1047619047619" style="4" customWidth="1"/>
    <col min="14" max="16384" width="9.1047619047619" style="7"/>
  </cols>
  <sheetData>
    <row r="1" s="1" customFormat="1" ht="28.95" customHeight="1" spans="1:13">
      <c r="A1" s="8" t="s">
        <v>448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49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334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71</v>
      </c>
      <c r="B6" s="26" t="s">
        <v>72</v>
      </c>
      <c r="C6" s="26" t="s">
        <v>73</v>
      </c>
      <c r="D6" s="26" t="str">
        <f>"0,9686"</f>
        <v>0,9686</v>
      </c>
      <c r="E6" s="25" t="s">
        <v>13</v>
      </c>
      <c r="F6" s="25" t="s">
        <v>14</v>
      </c>
      <c r="G6" s="26" t="s">
        <v>298</v>
      </c>
      <c r="H6" s="48" t="s">
        <v>425</v>
      </c>
      <c r="I6" s="26" t="s">
        <v>425</v>
      </c>
      <c r="J6" s="48"/>
      <c r="K6" s="49" t="str">
        <f>"162,5"</f>
        <v>162,5</v>
      </c>
      <c r="L6" s="50" t="str">
        <f>"157,3975"</f>
        <v>157,3975</v>
      </c>
      <c r="M6" s="25"/>
    </row>
    <row r="7" s="3" customFormat="1" spans="1:13">
      <c r="A7" s="4"/>
      <c r="E7" s="4"/>
      <c r="F7" s="4"/>
      <c r="K7" s="5"/>
      <c r="L7" s="6"/>
      <c r="M7" s="4"/>
    </row>
    <row r="8" ht="15.75" spans="5:5">
      <c r="E8" s="32" t="s">
        <v>28</v>
      </c>
    </row>
    <row r="9" ht="15.75" spans="5:5">
      <c r="E9" s="32" t="s">
        <v>29</v>
      </c>
    </row>
    <row r="10" ht="15.75" spans="5:5">
      <c r="E10" s="32" t="s">
        <v>30</v>
      </c>
    </row>
    <row r="11" spans="5:5">
      <c r="E11" s="4" t="s">
        <v>31</v>
      </c>
    </row>
    <row r="12" spans="5:5">
      <c r="E12" s="4" t="s">
        <v>32</v>
      </c>
    </row>
    <row r="13" spans="5:5">
      <c r="E13" s="4" t="s">
        <v>33</v>
      </c>
    </row>
    <row r="16" ht="18.75" spans="1:2">
      <c r="A16" s="33" t="s">
        <v>34</v>
      </c>
      <c r="B16" s="34"/>
    </row>
    <row r="17" ht="15.75" spans="1:2">
      <c r="A17" s="35" t="s">
        <v>92</v>
      </c>
      <c r="B17" s="23"/>
    </row>
    <row r="18" ht="15" spans="1:2">
      <c r="A18" s="36"/>
      <c r="B18" s="37" t="s">
        <v>43</v>
      </c>
    </row>
    <row r="19" ht="14.25" spans="1:5">
      <c r="A19" s="38" t="s">
        <v>1</v>
      </c>
      <c r="B19" s="38" t="s">
        <v>37</v>
      </c>
      <c r="C19" s="38" t="s">
        <v>38</v>
      </c>
      <c r="D19" s="38" t="s">
        <v>39</v>
      </c>
      <c r="E19" s="38" t="s">
        <v>195</v>
      </c>
    </row>
    <row r="20" spans="1:5">
      <c r="A20" s="39" t="s">
        <v>93</v>
      </c>
      <c r="B20" s="3" t="s">
        <v>43</v>
      </c>
      <c r="C20" s="3" t="s">
        <v>382</v>
      </c>
      <c r="D20" s="3" t="s">
        <v>425</v>
      </c>
      <c r="E20" s="5" t="s">
        <v>449</v>
      </c>
    </row>
  </sheetData>
  <mergeCells count="12">
    <mergeCell ref="G3:J3"/>
    <mergeCell ref="A5:J5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workbookViewId="0">
      <selection activeCell="I25" sqref="I25"/>
    </sheetView>
  </sheetViews>
  <sheetFormatPr defaultColWidth="9.1047619047619" defaultRowHeight="12.75"/>
  <cols>
    <col min="1" max="1" width="24.8857142857143" style="4" customWidth="1"/>
    <col min="2" max="2" width="30.4380952380952" style="3" customWidth="1"/>
    <col min="3" max="3" width="7.55238095238095" style="3" customWidth="1"/>
    <col min="4" max="4" width="8.78095238095238" style="3" customWidth="1"/>
    <col min="5" max="5" width="18.4380952380952" style="4" customWidth="1"/>
    <col min="6" max="6" width="28.3333333333333" style="4" customWidth="1"/>
    <col min="7" max="9" width="5.55238095238095" style="3" customWidth="1"/>
    <col min="10" max="10" width="4.78095238095238" style="3" customWidth="1"/>
    <col min="11" max="11" width="5.78095238095238" style="5" customWidth="1"/>
    <col min="12" max="12" width="8.55238095238095" style="6" customWidth="1"/>
    <col min="13" max="13" width="28.4380952380952" style="4" customWidth="1"/>
    <col min="14" max="16384" width="9.1047619047619" style="7"/>
  </cols>
  <sheetData>
    <row r="1" s="1" customFormat="1" ht="28.95" customHeight="1" spans="1:13">
      <c r="A1" s="8" t="s">
        <v>450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49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334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406</v>
      </c>
      <c r="B6" s="26" t="s">
        <v>407</v>
      </c>
      <c r="C6" s="26" t="s">
        <v>408</v>
      </c>
      <c r="D6" s="26" t="str">
        <f>"0,9778"</f>
        <v>0,9778</v>
      </c>
      <c r="E6" s="25" t="s">
        <v>13</v>
      </c>
      <c r="F6" s="25" t="s">
        <v>14</v>
      </c>
      <c r="G6" s="26" t="s">
        <v>311</v>
      </c>
      <c r="H6" s="26" t="s">
        <v>285</v>
      </c>
      <c r="I6" s="26" t="s">
        <v>88</v>
      </c>
      <c r="J6" s="48"/>
      <c r="K6" s="49" t="str">
        <f>"115,0"</f>
        <v>115,0</v>
      </c>
      <c r="L6" s="50" t="str">
        <f>"221,5206"</f>
        <v>221,5206</v>
      </c>
      <c r="M6" s="25"/>
    </row>
    <row r="7" s="3" customFormat="1" spans="1:13">
      <c r="A7" s="4"/>
      <c r="E7" s="4"/>
      <c r="F7" s="4"/>
      <c r="K7" s="5"/>
      <c r="L7" s="6"/>
      <c r="M7" s="4"/>
    </row>
    <row r="8" ht="15.75" spans="1:10">
      <c r="A8" s="23" t="s">
        <v>196</v>
      </c>
      <c r="B8" s="24"/>
      <c r="C8" s="24"/>
      <c r="D8" s="24"/>
      <c r="E8" s="24"/>
      <c r="F8" s="24"/>
      <c r="G8" s="24"/>
      <c r="H8" s="24"/>
      <c r="I8" s="24"/>
      <c r="J8" s="24"/>
    </row>
    <row r="9" spans="1:13">
      <c r="A9" s="19" t="s">
        <v>451</v>
      </c>
      <c r="B9" s="20" t="s">
        <v>452</v>
      </c>
      <c r="C9" s="20" t="s">
        <v>453</v>
      </c>
      <c r="D9" s="20" t="str">
        <f>"0,7948"</f>
        <v>0,7948</v>
      </c>
      <c r="E9" s="19" t="s">
        <v>166</v>
      </c>
      <c r="F9" s="19" t="s">
        <v>283</v>
      </c>
      <c r="G9" s="20" t="s">
        <v>311</v>
      </c>
      <c r="H9" s="27" t="s">
        <v>285</v>
      </c>
      <c r="I9" s="20" t="s">
        <v>285</v>
      </c>
      <c r="J9" s="27"/>
      <c r="K9" s="44" t="str">
        <f>"110,0"</f>
        <v>110,0</v>
      </c>
      <c r="L9" s="45" t="str">
        <f>"87,4280"</f>
        <v>87,4280</v>
      </c>
      <c r="M9" s="19"/>
    </row>
    <row r="10" spans="1:13">
      <c r="A10" s="21" t="s">
        <v>78</v>
      </c>
      <c r="B10" s="22" t="s">
        <v>322</v>
      </c>
      <c r="C10" s="22" t="s">
        <v>80</v>
      </c>
      <c r="D10" s="22" t="str">
        <f>"0,8052"</f>
        <v>0,8052</v>
      </c>
      <c r="E10" s="21" t="s">
        <v>81</v>
      </c>
      <c r="F10" s="21" t="s">
        <v>82</v>
      </c>
      <c r="G10" s="22" t="s">
        <v>27</v>
      </c>
      <c r="H10" s="22" t="s">
        <v>17</v>
      </c>
      <c r="I10" s="31" t="s">
        <v>310</v>
      </c>
      <c r="J10" s="31"/>
      <c r="K10" s="46" t="str">
        <f>"85,0"</f>
        <v>85,0</v>
      </c>
      <c r="L10" s="47" t="str">
        <f>"68,4420"</f>
        <v>68,4420</v>
      </c>
      <c r="M10" s="21"/>
    </row>
    <row r="12" ht="15.75" spans="1:10">
      <c r="A12" s="23" t="s">
        <v>108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3">
      <c r="A13" s="19" t="s">
        <v>454</v>
      </c>
      <c r="B13" s="20" t="s">
        <v>455</v>
      </c>
      <c r="C13" s="20" t="s">
        <v>456</v>
      </c>
      <c r="D13" s="20" t="str">
        <f>"0,6659"</f>
        <v>0,6659</v>
      </c>
      <c r="E13" s="19" t="s">
        <v>13</v>
      </c>
      <c r="F13" s="19" t="s">
        <v>457</v>
      </c>
      <c r="G13" s="27" t="s">
        <v>458</v>
      </c>
      <c r="H13" s="20" t="s">
        <v>458</v>
      </c>
      <c r="I13" s="27" t="s">
        <v>459</v>
      </c>
      <c r="J13" s="27"/>
      <c r="K13" s="44" t="str">
        <f>"265,0"</f>
        <v>265,0</v>
      </c>
      <c r="L13" s="45" t="str">
        <f>"176,4635"</f>
        <v>176,4635</v>
      </c>
      <c r="M13" s="19"/>
    </row>
    <row r="14" spans="1:13">
      <c r="A14" s="21" t="s">
        <v>21</v>
      </c>
      <c r="B14" s="22" t="s">
        <v>416</v>
      </c>
      <c r="C14" s="22" t="s">
        <v>23</v>
      </c>
      <c r="D14" s="22" t="str">
        <f>"0,6760"</f>
        <v>0,6760</v>
      </c>
      <c r="E14" s="21" t="s">
        <v>13</v>
      </c>
      <c r="F14" s="21" t="s">
        <v>24</v>
      </c>
      <c r="G14" s="22" t="s">
        <v>91</v>
      </c>
      <c r="H14" s="22" t="s">
        <v>222</v>
      </c>
      <c r="I14" s="31"/>
      <c r="J14" s="31"/>
      <c r="K14" s="46" t="str">
        <f>"140,0"</f>
        <v>140,0</v>
      </c>
      <c r="L14" s="47" t="str">
        <f>"176,5036"</f>
        <v>176,5036</v>
      </c>
      <c r="M14" s="21"/>
    </row>
    <row r="16" ht="15.75" spans="1:10">
      <c r="A16" s="23" t="s">
        <v>177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3">
      <c r="A17" s="19" t="s">
        <v>252</v>
      </c>
      <c r="B17" s="20" t="s">
        <v>253</v>
      </c>
      <c r="C17" s="20" t="s">
        <v>254</v>
      </c>
      <c r="D17" s="20" t="str">
        <f>"0,6384"</f>
        <v>0,6384</v>
      </c>
      <c r="E17" s="19" t="s">
        <v>81</v>
      </c>
      <c r="F17" s="19" t="s">
        <v>82</v>
      </c>
      <c r="G17" s="20" t="s">
        <v>299</v>
      </c>
      <c r="H17" s="20" t="s">
        <v>348</v>
      </c>
      <c r="I17" s="20" t="s">
        <v>349</v>
      </c>
      <c r="J17" s="27"/>
      <c r="K17" s="44" t="str">
        <f>"185,0"</f>
        <v>185,0</v>
      </c>
      <c r="L17" s="45" t="str">
        <f>"118,1040"</f>
        <v>118,1040</v>
      </c>
      <c r="M17" s="19"/>
    </row>
    <row r="18" spans="1:13">
      <c r="A18" s="21" t="s">
        <v>460</v>
      </c>
      <c r="B18" s="22" t="s">
        <v>461</v>
      </c>
      <c r="C18" s="22" t="s">
        <v>462</v>
      </c>
      <c r="D18" s="22" t="str">
        <f>"0,6557"</f>
        <v>0,6557</v>
      </c>
      <c r="E18" s="21" t="s">
        <v>13</v>
      </c>
      <c r="F18" s="21" t="s">
        <v>463</v>
      </c>
      <c r="G18" s="22" t="s">
        <v>420</v>
      </c>
      <c r="H18" s="22" t="s">
        <v>224</v>
      </c>
      <c r="I18" s="22" t="s">
        <v>464</v>
      </c>
      <c r="J18" s="31"/>
      <c r="K18" s="46" t="str">
        <f>"225,0"</f>
        <v>225,0</v>
      </c>
      <c r="L18" s="47" t="str">
        <f>"275,1481"</f>
        <v>275,1481</v>
      </c>
      <c r="M18" s="21"/>
    </row>
    <row r="20" ht="15.75" spans="1:10">
      <c r="A20" s="23" t="s">
        <v>238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3">
      <c r="A21" s="19" t="s">
        <v>289</v>
      </c>
      <c r="B21" s="20" t="s">
        <v>290</v>
      </c>
      <c r="C21" s="20" t="s">
        <v>291</v>
      </c>
      <c r="D21" s="20" t="str">
        <f>"0,5914"</f>
        <v>0,5914</v>
      </c>
      <c r="E21" s="19" t="s">
        <v>166</v>
      </c>
      <c r="F21" s="19" t="s">
        <v>283</v>
      </c>
      <c r="G21" s="20" t="s">
        <v>465</v>
      </c>
      <c r="H21" s="20" t="s">
        <v>392</v>
      </c>
      <c r="I21" s="20" t="s">
        <v>466</v>
      </c>
      <c r="J21" s="27"/>
      <c r="K21" s="44" t="str">
        <f>"310,0"</f>
        <v>310,0</v>
      </c>
      <c r="L21" s="45" t="str">
        <f>"183,3340"</f>
        <v>183,3340</v>
      </c>
      <c r="M21" s="19" t="s">
        <v>292</v>
      </c>
    </row>
    <row r="22" spans="1:13">
      <c r="A22" s="21" t="s">
        <v>260</v>
      </c>
      <c r="B22" s="22" t="s">
        <v>261</v>
      </c>
      <c r="C22" s="22" t="s">
        <v>262</v>
      </c>
      <c r="D22" s="22" t="str">
        <f>"0,5922"</f>
        <v>0,5922</v>
      </c>
      <c r="E22" s="21" t="s">
        <v>13</v>
      </c>
      <c r="F22" s="21" t="s">
        <v>263</v>
      </c>
      <c r="G22" s="22" t="s">
        <v>301</v>
      </c>
      <c r="H22" s="22" t="s">
        <v>427</v>
      </c>
      <c r="I22" s="31"/>
      <c r="J22" s="31"/>
      <c r="K22" s="46" t="str">
        <f>"180,0"</f>
        <v>180,0</v>
      </c>
      <c r="L22" s="47" t="str">
        <f>"106,9158"</f>
        <v>106,9158</v>
      </c>
      <c r="M22" s="21"/>
    </row>
    <row r="24" ht="15.75" spans="1:10">
      <c r="A24" s="23" t="s">
        <v>162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3">
      <c r="A25" s="19" t="s">
        <v>218</v>
      </c>
      <c r="B25" s="20" t="s">
        <v>467</v>
      </c>
      <c r="C25" s="20" t="s">
        <v>220</v>
      </c>
      <c r="D25" s="20" t="str">
        <f>"0,5589"</f>
        <v>0,5589</v>
      </c>
      <c r="E25" s="19" t="s">
        <v>13</v>
      </c>
      <c r="F25" s="19" t="s">
        <v>147</v>
      </c>
      <c r="G25" s="20" t="s">
        <v>224</v>
      </c>
      <c r="H25" s="20" t="s">
        <v>225</v>
      </c>
      <c r="I25" s="20" t="s">
        <v>226</v>
      </c>
      <c r="J25" s="27"/>
      <c r="K25" s="44" t="str">
        <f>"235,0"</f>
        <v>235,0</v>
      </c>
      <c r="L25" s="45" t="str">
        <f>"131,3415"</f>
        <v>131,3415</v>
      </c>
      <c r="M25" s="19"/>
    </row>
    <row r="26" spans="1:13">
      <c r="A26" s="28" t="s">
        <v>468</v>
      </c>
      <c r="B26" s="29" t="s">
        <v>469</v>
      </c>
      <c r="C26" s="29" t="s">
        <v>470</v>
      </c>
      <c r="D26" s="29" t="str">
        <f>"0,5819"</f>
        <v>0,5819</v>
      </c>
      <c r="E26" s="28" t="s">
        <v>13</v>
      </c>
      <c r="F26" s="28" t="s">
        <v>471</v>
      </c>
      <c r="G26" s="29" t="s">
        <v>472</v>
      </c>
      <c r="H26" s="29" t="s">
        <v>465</v>
      </c>
      <c r="I26" s="30" t="s">
        <v>392</v>
      </c>
      <c r="J26" s="30"/>
      <c r="K26" s="51" t="str">
        <f>"290,0"</f>
        <v>290,0</v>
      </c>
      <c r="L26" s="52" t="str">
        <f>"168,7510"</f>
        <v>168,7510</v>
      </c>
      <c r="M26" s="28" t="s">
        <v>473</v>
      </c>
    </row>
    <row r="27" spans="1:13">
      <c r="A27" s="28" t="s">
        <v>474</v>
      </c>
      <c r="B27" s="29" t="s">
        <v>475</v>
      </c>
      <c r="C27" s="29" t="s">
        <v>476</v>
      </c>
      <c r="D27" s="29" t="str">
        <f>"0,5570"</f>
        <v>0,5570</v>
      </c>
      <c r="E27" s="28" t="s">
        <v>13</v>
      </c>
      <c r="F27" s="28" t="s">
        <v>477</v>
      </c>
      <c r="G27" s="29" t="s">
        <v>464</v>
      </c>
      <c r="H27" s="29" t="s">
        <v>225</v>
      </c>
      <c r="I27" s="29" t="s">
        <v>478</v>
      </c>
      <c r="J27" s="30"/>
      <c r="K27" s="51" t="str">
        <f>"245,0"</f>
        <v>245,0</v>
      </c>
      <c r="L27" s="52" t="str">
        <f>"140,6954"</f>
        <v>140,6954</v>
      </c>
      <c r="M27" s="28"/>
    </row>
    <row r="28" spans="1:13">
      <c r="A28" s="21" t="s">
        <v>218</v>
      </c>
      <c r="B28" s="22" t="s">
        <v>219</v>
      </c>
      <c r="C28" s="22" t="s">
        <v>220</v>
      </c>
      <c r="D28" s="22" t="str">
        <f>"0,5589"</f>
        <v>0,5589</v>
      </c>
      <c r="E28" s="21" t="s">
        <v>13</v>
      </c>
      <c r="F28" s="21" t="s">
        <v>147</v>
      </c>
      <c r="G28" s="22" t="s">
        <v>224</v>
      </c>
      <c r="H28" s="22" t="s">
        <v>225</v>
      </c>
      <c r="I28" s="31"/>
      <c r="J28" s="31"/>
      <c r="K28" s="46" t="str">
        <f>"235,0"</f>
        <v>235,0</v>
      </c>
      <c r="L28" s="47" t="str">
        <f>"187,8183"</f>
        <v>187,8183</v>
      </c>
      <c r="M28" s="21"/>
    </row>
    <row r="30" ht="15.75" spans="5:5">
      <c r="E30" s="32" t="s">
        <v>28</v>
      </c>
    </row>
    <row r="31" ht="15.75" spans="5:5">
      <c r="E31" s="32" t="s">
        <v>29</v>
      </c>
    </row>
    <row r="32" ht="15.75" spans="5:5">
      <c r="E32" s="32" t="s">
        <v>30</v>
      </c>
    </row>
    <row r="33" spans="5:5">
      <c r="E33" s="4" t="s">
        <v>31</v>
      </c>
    </row>
    <row r="34" spans="5:5">
      <c r="E34" s="4" t="s">
        <v>32</v>
      </c>
    </row>
    <row r="35" spans="5:5">
      <c r="E35" s="4" t="s">
        <v>33</v>
      </c>
    </row>
    <row r="38" ht="18.75" spans="1:2">
      <c r="A38" s="33" t="s">
        <v>34</v>
      </c>
      <c r="B38" s="34"/>
    </row>
    <row r="39" ht="15.75" spans="1:2">
      <c r="A39" s="35" t="s">
        <v>92</v>
      </c>
      <c r="B39" s="23"/>
    </row>
    <row r="40" ht="15" spans="1:2">
      <c r="A40" s="36"/>
      <c r="B40" s="37" t="s">
        <v>43</v>
      </c>
    </row>
    <row r="41" ht="14.25" spans="1:5">
      <c r="A41" s="38" t="s">
        <v>1</v>
      </c>
      <c r="B41" s="38" t="s">
        <v>37</v>
      </c>
      <c r="C41" s="38" t="s">
        <v>38</v>
      </c>
      <c r="D41" s="38" t="s">
        <v>39</v>
      </c>
      <c r="E41" s="38" t="s">
        <v>195</v>
      </c>
    </row>
    <row r="42" spans="1:5">
      <c r="A42" s="39" t="s">
        <v>479</v>
      </c>
      <c r="B42" s="3" t="s">
        <v>43</v>
      </c>
      <c r="C42" s="3" t="s">
        <v>208</v>
      </c>
      <c r="D42" s="3" t="s">
        <v>285</v>
      </c>
      <c r="E42" s="5" t="s">
        <v>480</v>
      </c>
    </row>
    <row r="44" ht="15" spans="1:2">
      <c r="A44" s="36"/>
      <c r="B44" s="37" t="s">
        <v>130</v>
      </c>
    </row>
    <row r="45" ht="14.25" spans="1:5">
      <c r="A45" s="38" t="s">
        <v>1</v>
      </c>
      <c r="B45" s="38" t="s">
        <v>37</v>
      </c>
      <c r="C45" s="38" t="s">
        <v>38</v>
      </c>
      <c r="D45" s="38" t="s">
        <v>39</v>
      </c>
      <c r="E45" s="38" t="s">
        <v>195</v>
      </c>
    </row>
    <row r="46" spans="1:5">
      <c r="A46" s="39" t="s">
        <v>431</v>
      </c>
      <c r="B46" s="3" t="s">
        <v>432</v>
      </c>
      <c r="C46" s="3" t="s">
        <v>382</v>
      </c>
      <c r="D46" s="3" t="s">
        <v>88</v>
      </c>
      <c r="E46" s="5" t="s">
        <v>481</v>
      </c>
    </row>
    <row r="47" spans="1:5">
      <c r="A47" s="39" t="s">
        <v>98</v>
      </c>
      <c r="B47" s="3" t="s">
        <v>276</v>
      </c>
      <c r="C47" s="3" t="s">
        <v>208</v>
      </c>
      <c r="D47" s="3" t="s">
        <v>17</v>
      </c>
      <c r="E47" s="5" t="s">
        <v>482</v>
      </c>
    </row>
    <row r="50" ht="15.75" spans="1:2">
      <c r="A50" s="35" t="s">
        <v>35</v>
      </c>
      <c r="B50" s="23"/>
    </row>
    <row r="51" ht="15" spans="1:2">
      <c r="A51" s="36"/>
      <c r="B51" s="37" t="s">
        <v>366</v>
      </c>
    </row>
    <row r="52" ht="14.25" spans="1:5">
      <c r="A52" s="38" t="s">
        <v>1</v>
      </c>
      <c r="B52" s="38" t="s">
        <v>37</v>
      </c>
      <c r="C52" s="38" t="s">
        <v>38</v>
      </c>
      <c r="D52" s="38" t="s">
        <v>39</v>
      </c>
      <c r="E52" s="38" t="s">
        <v>195</v>
      </c>
    </row>
    <row r="53" spans="1:5">
      <c r="A53" s="39" t="s">
        <v>483</v>
      </c>
      <c r="B53" s="3" t="s">
        <v>368</v>
      </c>
      <c r="C53" s="3" t="s">
        <v>125</v>
      </c>
      <c r="D53" s="3" t="s">
        <v>458</v>
      </c>
      <c r="E53" s="5" t="s">
        <v>484</v>
      </c>
    </row>
    <row r="55" ht="15" spans="1:2">
      <c r="A55" s="36"/>
      <c r="B55" s="37" t="s">
        <v>43</v>
      </c>
    </row>
    <row r="56" ht="14.25" spans="1:5">
      <c r="A56" s="38" t="s">
        <v>1</v>
      </c>
      <c r="B56" s="38" t="s">
        <v>37</v>
      </c>
      <c r="C56" s="38" t="s">
        <v>38</v>
      </c>
      <c r="D56" s="38" t="s">
        <v>39</v>
      </c>
      <c r="E56" s="38" t="s">
        <v>195</v>
      </c>
    </row>
    <row r="57" spans="1:5">
      <c r="A57" s="39" t="s">
        <v>293</v>
      </c>
      <c r="B57" s="3" t="s">
        <v>43</v>
      </c>
      <c r="C57" s="3" t="s">
        <v>247</v>
      </c>
      <c r="D57" s="3" t="s">
        <v>466</v>
      </c>
      <c r="E57" s="5" t="s">
        <v>485</v>
      </c>
    </row>
    <row r="58" spans="1:5">
      <c r="A58" s="39" t="s">
        <v>232</v>
      </c>
      <c r="B58" s="3" t="s">
        <v>43</v>
      </c>
      <c r="C58" s="3" t="s">
        <v>171</v>
      </c>
      <c r="D58" s="3" t="s">
        <v>225</v>
      </c>
      <c r="E58" s="5" t="s">
        <v>486</v>
      </c>
    </row>
    <row r="59" spans="1:5">
      <c r="A59" s="39" t="s">
        <v>271</v>
      </c>
      <c r="B59" s="3" t="s">
        <v>43</v>
      </c>
      <c r="C59" s="3" t="s">
        <v>185</v>
      </c>
      <c r="D59" s="3" t="s">
        <v>349</v>
      </c>
      <c r="E59" s="5" t="s">
        <v>487</v>
      </c>
    </row>
    <row r="61" ht="15" spans="1:2">
      <c r="A61" s="36"/>
      <c r="B61" s="37" t="s">
        <v>488</v>
      </c>
    </row>
    <row r="62" ht="14.25" spans="1:5">
      <c r="A62" s="38" t="s">
        <v>1</v>
      </c>
      <c r="B62" s="38" t="s">
        <v>37</v>
      </c>
      <c r="C62" s="38" t="s">
        <v>38</v>
      </c>
      <c r="D62" s="38" t="s">
        <v>39</v>
      </c>
      <c r="E62" s="38" t="s">
        <v>195</v>
      </c>
    </row>
    <row r="63" spans="1:5">
      <c r="A63" s="39" t="s">
        <v>489</v>
      </c>
      <c r="B63" s="3" t="s">
        <v>490</v>
      </c>
      <c r="C63" s="3" t="s">
        <v>171</v>
      </c>
      <c r="D63" s="3" t="s">
        <v>465</v>
      </c>
      <c r="E63" s="5" t="s">
        <v>491</v>
      </c>
    </row>
    <row r="65" ht="15" spans="1:2">
      <c r="A65" s="36"/>
      <c r="B65" s="37" t="s">
        <v>130</v>
      </c>
    </row>
    <row r="66" ht="14.25" spans="1:5">
      <c r="A66" s="38" t="s">
        <v>1</v>
      </c>
      <c r="B66" s="38" t="s">
        <v>37</v>
      </c>
      <c r="C66" s="38" t="s">
        <v>38</v>
      </c>
      <c r="D66" s="38" t="s">
        <v>39</v>
      </c>
      <c r="E66" s="38" t="s">
        <v>195</v>
      </c>
    </row>
    <row r="67" spans="1:5">
      <c r="A67" s="39" t="s">
        <v>492</v>
      </c>
      <c r="B67" s="3" t="s">
        <v>445</v>
      </c>
      <c r="C67" s="3" t="s">
        <v>185</v>
      </c>
      <c r="D67" s="3" t="s">
        <v>464</v>
      </c>
      <c r="E67" s="5" t="s">
        <v>493</v>
      </c>
    </row>
    <row r="68" spans="1:5">
      <c r="A68" s="39" t="s">
        <v>232</v>
      </c>
      <c r="B68" s="3" t="s">
        <v>233</v>
      </c>
      <c r="C68" s="3" t="s">
        <v>171</v>
      </c>
      <c r="D68" s="3" t="s">
        <v>225</v>
      </c>
      <c r="E68" s="5" t="s">
        <v>494</v>
      </c>
    </row>
    <row r="69" spans="1:5">
      <c r="A69" s="39" t="s">
        <v>45</v>
      </c>
      <c r="B69" s="3" t="s">
        <v>445</v>
      </c>
      <c r="C69" s="3" t="s">
        <v>125</v>
      </c>
      <c r="D69" s="3" t="s">
        <v>222</v>
      </c>
      <c r="E69" s="5" t="s">
        <v>495</v>
      </c>
    </row>
    <row r="70" spans="1:5">
      <c r="A70" s="39" t="s">
        <v>496</v>
      </c>
      <c r="B70" s="3" t="s">
        <v>276</v>
      </c>
      <c r="C70" s="3" t="s">
        <v>171</v>
      </c>
      <c r="D70" s="3" t="s">
        <v>478</v>
      </c>
      <c r="E70" s="5" t="s">
        <v>497</v>
      </c>
    </row>
    <row r="71" spans="1:5">
      <c r="A71" s="39" t="s">
        <v>275</v>
      </c>
      <c r="B71" s="3" t="s">
        <v>276</v>
      </c>
      <c r="C71" s="3" t="s">
        <v>247</v>
      </c>
      <c r="D71" s="3" t="s">
        <v>427</v>
      </c>
      <c r="E71" s="5" t="s">
        <v>498</v>
      </c>
    </row>
  </sheetData>
  <mergeCells count="17">
    <mergeCell ref="G3:J3"/>
    <mergeCell ref="A5:J5"/>
    <mergeCell ref="A8:J8"/>
    <mergeCell ref="A12:J12"/>
    <mergeCell ref="A16:J16"/>
    <mergeCell ref="A20:J20"/>
    <mergeCell ref="A24:J24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30.4380952380952" style="3" customWidth="1"/>
    <col min="3" max="3" width="7.55238095238095" style="3" customWidth="1"/>
    <col min="4" max="4" width="8.78095238095238" style="3" customWidth="1"/>
    <col min="5" max="5" width="17" style="4" customWidth="1"/>
    <col min="6" max="6" width="28.4380952380952" style="4" customWidth="1"/>
    <col min="7" max="9" width="5.55238095238095" style="3" customWidth="1"/>
    <col min="10" max="10" width="4.78095238095238" style="3" customWidth="1"/>
    <col min="11" max="13" width="5.55238095238095" style="3" customWidth="1"/>
    <col min="14" max="14" width="4.78095238095238" style="3" customWidth="1"/>
    <col min="15" max="17" width="5.55238095238095" style="3" customWidth="1"/>
    <col min="18" max="18" width="4.78095238095238" style="3" customWidth="1"/>
    <col min="19" max="19" width="5.78095238095238" style="5" customWidth="1"/>
    <col min="20" max="20" width="8.55238095238095" style="6" customWidth="1"/>
    <col min="21" max="21" width="15.7809523809524" style="4" customWidth="1"/>
    <col min="22" max="16384" width="9.1047619047619" style="7"/>
  </cols>
  <sheetData>
    <row r="1" s="1" customFormat="1" ht="28.95" customHeight="1" spans="1:21">
      <c r="A1" s="8" t="s">
        <v>499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40"/>
    </row>
    <row r="2" s="1" customFormat="1" ht="61.95" customHeight="1" spans="1:2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41"/>
    </row>
    <row r="3" s="2" customFormat="1" customHeight="1" spans="1:21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296</v>
      </c>
      <c r="H3" s="14"/>
      <c r="I3" s="14"/>
      <c r="J3" s="14"/>
      <c r="K3" s="14" t="s">
        <v>104</v>
      </c>
      <c r="L3" s="14"/>
      <c r="M3" s="14"/>
      <c r="N3" s="14"/>
      <c r="O3" s="14" t="s">
        <v>49</v>
      </c>
      <c r="P3" s="14"/>
      <c r="Q3" s="14"/>
      <c r="R3" s="14"/>
      <c r="S3" s="14" t="s">
        <v>193</v>
      </c>
      <c r="T3" s="14" t="s">
        <v>105</v>
      </c>
      <c r="U3" s="42" t="s">
        <v>106</v>
      </c>
    </row>
    <row r="4" s="2" customFormat="1" ht="23.25" customHeight="1" spans="1:21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>
        <v>1</v>
      </c>
      <c r="L4" s="16">
        <v>2</v>
      </c>
      <c r="M4" s="16">
        <v>3</v>
      </c>
      <c r="N4" s="16" t="s">
        <v>107</v>
      </c>
      <c r="O4" s="16">
        <v>1</v>
      </c>
      <c r="P4" s="16">
        <v>2</v>
      </c>
      <c r="Q4" s="16">
        <v>3</v>
      </c>
      <c r="R4" s="16" t="s">
        <v>107</v>
      </c>
      <c r="S4" s="16"/>
      <c r="T4" s="16"/>
      <c r="U4" s="43"/>
    </row>
    <row r="5" s="3" customFormat="1" ht="15.75" spans="1:21">
      <c r="A5" s="17" t="s">
        <v>238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5"/>
      <c r="T5" s="6"/>
      <c r="U5" s="4"/>
    </row>
    <row r="6" s="3" customFormat="1" spans="1:21">
      <c r="A6" s="19" t="s">
        <v>500</v>
      </c>
      <c r="B6" s="20" t="s">
        <v>501</v>
      </c>
      <c r="C6" s="20" t="s">
        <v>502</v>
      </c>
      <c r="D6" s="20" t="str">
        <f>"0,6470"</f>
        <v>0,6470</v>
      </c>
      <c r="E6" s="19" t="s">
        <v>166</v>
      </c>
      <c r="F6" s="19" t="s">
        <v>503</v>
      </c>
      <c r="G6" s="20" t="s">
        <v>298</v>
      </c>
      <c r="H6" s="20" t="s">
        <v>299</v>
      </c>
      <c r="I6" s="20" t="s">
        <v>504</v>
      </c>
      <c r="J6" s="27"/>
      <c r="K6" s="20" t="s">
        <v>27</v>
      </c>
      <c r="L6" s="20" t="s">
        <v>201</v>
      </c>
      <c r="M6" s="27" t="s">
        <v>17</v>
      </c>
      <c r="N6" s="27"/>
      <c r="O6" s="20" t="s">
        <v>301</v>
      </c>
      <c r="P6" s="20" t="s">
        <v>427</v>
      </c>
      <c r="Q6" s="20" t="s">
        <v>378</v>
      </c>
      <c r="R6" s="27"/>
      <c r="S6" s="44" t="str">
        <f>"432,5"</f>
        <v>432,5</v>
      </c>
      <c r="T6" s="45" t="str">
        <f>"279,8275"</f>
        <v>279,8275</v>
      </c>
      <c r="U6" s="19"/>
    </row>
    <row r="7" s="3" customFormat="1" spans="1:21">
      <c r="A7" s="21" t="s">
        <v>500</v>
      </c>
      <c r="B7" s="22" t="s">
        <v>505</v>
      </c>
      <c r="C7" s="22" t="s">
        <v>502</v>
      </c>
      <c r="D7" s="22" t="str">
        <f>"0,6470"</f>
        <v>0,6470</v>
      </c>
      <c r="E7" s="21" t="s">
        <v>166</v>
      </c>
      <c r="F7" s="21" t="s">
        <v>503</v>
      </c>
      <c r="G7" s="22" t="s">
        <v>298</v>
      </c>
      <c r="H7" s="22" t="s">
        <v>299</v>
      </c>
      <c r="I7" s="22" t="s">
        <v>504</v>
      </c>
      <c r="J7" s="31"/>
      <c r="K7" s="22" t="s">
        <v>27</v>
      </c>
      <c r="L7" s="22" t="s">
        <v>201</v>
      </c>
      <c r="M7" s="31" t="s">
        <v>17</v>
      </c>
      <c r="N7" s="31"/>
      <c r="O7" s="22" t="s">
        <v>301</v>
      </c>
      <c r="P7" s="22" t="s">
        <v>427</v>
      </c>
      <c r="Q7" s="22" t="s">
        <v>378</v>
      </c>
      <c r="R7" s="31"/>
      <c r="S7" s="46" t="str">
        <f>"432,5"</f>
        <v>432,5</v>
      </c>
      <c r="T7" s="47" t="str">
        <f>"282,3460"</f>
        <v>282,3460</v>
      </c>
      <c r="U7" s="21"/>
    </row>
    <row r="9" ht="15.75" spans="1:18">
      <c r="A9" s="23" t="s">
        <v>177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21">
      <c r="A10" s="19" t="s">
        <v>280</v>
      </c>
      <c r="B10" s="20" t="s">
        <v>281</v>
      </c>
      <c r="C10" s="20" t="s">
        <v>282</v>
      </c>
      <c r="D10" s="20" t="str">
        <f>"0,6203"</f>
        <v>0,6203</v>
      </c>
      <c r="E10" s="19" t="s">
        <v>166</v>
      </c>
      <c r="F10" s="19" t="s">
        <v>283</v>
      </c>
      <c r="G10" s="20" t="s">
        <v>506</v>
      </c>
      <c r="H10" s="20" t="s">
        <v>507</v>
      </c>
      <c r="I10" s="27" t="s">
        <v>121</v>
      </c>
      <c r="J10" s="27"/>
      <c r="K10" s="27" t="s">
        <v>299</v>
      </c>
      <c r="L10" s="20" t="s">
        <v>301</v>
      </c>
      <c r="M10" s="27" t="s">
        <v>427</v>
      </c>
      <c r="N10" s="27"/>
      <c r="O10" s="20" t="s">
        <v>478</v>
      </c>
      <c r="P10" s="20" t="s">
        <v>507</v>
      </c>
      <c r="Q10" s="27"/>
      <c r="R10" s="27"/>
      <c r="S10" s="44" t="str">
        <f>"670,0"</f>
        <v>670,0</v>
      </c>
      <c r="T10" s="45" t="str">
        <f>"415,6010"</f>
        <v>415,6010</v>
      </c>
      <c r="U10" s="19"/>
    </row>
    <row r="11" spans="1:21">
      <c r="A11" s="21" t="s">
        <v>508</v>
      </c>
      <c r="B11" s="22" t="s">
        <v>509</v>
      </c>
      <c r="C11" s="22" t="s">
        <v>510</v>
      </c>
      <c r="D11" s="22" t="str">
        <f>"0,6241"</f>
        <v>0,6241</v>
      </c>
      <c r="E11" s="21" t="s">
        <v>13</v>
      </c>
      <c r="F11" s="21" t="s">
        <v>511</v>
      </c>
      <c r="G11" s="31" t="s">
        <v>512</v>
      </c>
      <c r="H11" s="31" t="s">
        <v>512</v>
      </c>
      <c r="I11" s="31" t="s">
        <v>512</v>
      </c>
      <c r="J11" s="31"/>
      <c r="K11" s="31" t="s">
        <v>285</v>
      </c>
      <c r="L11" s="31"/>
      <c r="M11" s="31"/>
      <c r="N11" s="31"/>
      <c r="O11" s="31" t="s">
        <v>301</v>
      </c>
      <c r="P11" s="31"/>
      <c r="Q11" s="31"/>
      <c r="R11" s="31"/>
      <c r="S11" s="46" t="str">
        <f>"0.00"</f>
        <v>0.00</v>
      </c>
      <c r="T11" s="47" t="str">
        <f>"0,0000"</f>
        <v>0,0000</v>
      </c>
      <c r="U11" s="21"/>
    </row>
    <row r="13" ht="15.75" spans="1:18">
      <c r="A13" s="23" t="s">
        <v>238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21">
      <c r="A14" s="25" t="s">
        <v>513</v>
      </c>
      <c r="B14" s="26" t="s">
        <v>514</v>
      </c>
      <c r="C14" s="26" t="s">
        <v>515</v>
      </c>
      <c r="D14" s="26" t="str">
        <f>"0,5901"</f>
        <v>0,5901</v>
      </c>
      <c r="E14" s="25" t="s">
        <v>13</v>
      </c>
      <c r="F14" s="25" t="s">
        <v>82</v>
      </c>
      <c r="G14" s="26" t="s">
        <v>351</v>
      </c>
      <c r="H14" s="26" t="s">
        <v>224</v>
      </c>
      <c r="I14" s="48" t="s">
        <v>506</v>
      </c>
      <c r="J14" s="48"/>
      <c r="K14" s="26" t="s">
        <v>298</v>
      </c>
      <c r="L14" s="26" t="s">
        <v>299</v>
      </c>
      <c r="M14" s="26" t="s">
        <v>301</v>
      </c>
      <c r="N14" s="48"/>
      <c r="O14" s="26" t="s">
        <v>420</v>
      </c>
      <c r="P14" s="26" t="s">
        <v>209</v>
      </c>
      <c r="Q14" s="48" t="s">
        <v>516</v>
      </c>
      <c r="R14" s="48"/>
      <c r="S14" s="49" t="str">
        <f>"620,0"</f>
        <v>620,0</v>
      </c>
      <c r="T14" s="50" t="str">
        <f>"377,2037"</f>
        <v>377,2037</v>
      </c>
      <c r="U14" s="25"/>
    </row>
    <row r="16" ht="15.75" spans="1:18">
      <c r="A16" s="23" t="s">
        <v>162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21">
      <c r="A17" s="19" t="s">
        <v>243</v>
      </c>
      <c r="B17" s="20" t="s">
        <v>244</v>
      </c>
      <c r="C17" s="20" t="s">
        <v>245</v>
      </c>
      <c r="D17" s="20" t="str">
        <f>"0,5838"</f>
        <v>0,5838</v>
      </c>
      <c r="E17" s="19" t="s">
        <v>13</v>
      </c>
      <c r="F17" s="19" t="s">
        <v>147</v>
      </c>
      <c r="G17" s="20" t="s">
        <v>351</v>
      </c>
      <c r="H17" s="20" t="s">
        <v>420</v>
      </c>
      <c r="I17" s="20" t="s">
        <v>224</v>
      </c>
      <c r="J17" s="27"/>
      <c r="K17" s="20" t="s">
        <v>222</v>
      </c>
      <c r="L17" s="20" t="s">
        <v>298</v>
      </c>
      <c r="M17" s="20" t="s">
        <v>299</v>
      </c>
      <c r="N17" s="27"/>
      <c r="O17" s="20" t="s">
        <v>224</v>
      </c>
      <c r="P17" s="20" t="s">
        <v>506</v>
      </c>
      <c r="Q17" s="27" t="s">
        <v>507</v>
      </c>
      <c r="R17" s="27"/>
      <c r="S17" s="44" t="str">
        <f>"620,0"</f>
        <v>620,0</v>
      </c>
      <c r="T17" s="45" t="str">
        <f>"361,9560"</f>
        <v>361,9560</v>
      </c>
      <c r="U17" s="19"/>
    </row>
    <row r="18" spans="1:21">
      <c r="A18" s="21" t="s">
        <v>517</v>
      </c>
      <c r="B18" s="22" t="s">
        <v>518</v>
      </c>
      <c r="C18" s="22" t="s">
        <v>519</v>
      </c>
      <c r="D18" s="22" t="str">
        <f>"0,5616"</f>
        <v>0,5616</v>
      </c>
      <c r="E18" s="21" t="s">
        <v>13</v>
      </c>
      <c r="F18" s="21" t="s">
        <v>82</v>
      </c>
      <c r="G18" s="22" t="s">
        <v>351</v>
      </c>
      <c r="H18" s="22" t="s">
        <v>464</v>
      </c>
      <c r="I18" s="31"/>
      <c r="J18" s="31"/>
      <c r="K18" s="22" t="s">
        <v>222</v>
      </c>
      <c r="L18" s="22" t="s">
        <v>512</v>
      </c>
      <c r="M18" s="22" t="s">
        <v>299</v>
      </c>
      <c r="N18" s="31"/>
      <c r="O18" s="22" t="s">
        <v>506</v>
      </c>
      <c r="P18" s="31" t="s">
        <v>458</v>
      </c>
      <c r="Q18" s="22" t="s">
        <v>458</v>
      </c>
      <c r="R18" s="31"/>
      <c r="S18" s="46" t="str">
        <f>"650,0"</f>
        <v>650,0</v>
      </c>
      <c r="T18" s="47" t="str">
        <f>"376,3563"</f>
        <v>376,3563</v>
      </c>
      <c r="U18" s="21"/>
    </row>
    <row r="20" ht="15.75" spans="1:18">
      <c r="A20" s="23" t="s">
        <v>143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21">
      <c r="A21" s="19" t="s">
        <v>520</v>
      </c>
      <c r="B21" s="20" t="s">
        <v>521</v>
      </c>
      <c r="C21" s="20" t="s">
        <v>522</v>
      </c>
      <c r="D21" s="20" t="str">
        <f>"0,5351"</f>
        <v>0,5351</v>
      </c>
      <c r="E21" s="19" t="s">
        <v>166</v>
      </c>
      <c r="F21" s="19" t="s">
        <v>283</v>
      </c>
      <c r="G21" s="20" t="s">
        <v>523</v>
      </c>
      <c r="H21" s="20" t="s">
        <v>464</v>
      </c>
      <c r="I21" s="20" t="s">
        <v>524</v>
      </c>
      <c r="J21" s="27"/>
      <c r="K21" s="20" t="s">
        <v>90</v>
      </c>
      <c r="L21" s="20" t="s">
        <v>221</v>
      </c>
      <c r="M21" s="20" t="s">
        <v>203</v>
      </c>
      <c r="N21" s="27"/>
      <c r="O21" s="20" t="s">
        <v>121</v>
      </c>
      <c r="P21" s="20" t="s">
        <v>525</v>
      </c>
      <c r="Q21" s="27" t="s">
        <v>459</v>
      </c>
      <c r="R21" s="27"/>
      <c r="S21" s="44" t="str">
        <f>"640,0"</f>
        <v>640,0</v>
      </c>
      <c r="T21" s="45" t="str">
        <f>"342,4640"</f>
        <v>342,4640</v>
      </c>
      <c r="U21" s="19" t="s">
        <v>292</v>
      </c>
    </row>
    <row r="22" spans="1:21">
      <c r="A22" s="21" t="s">
        <v>526</v>
      </c>
      <c r="B22" s="22" t="s">
        <v>527</v>
      </c>
      <c r="C22" s="22" t="s">
        <v>528</v>
      </c>
      <c r="D22" s="22" t="str">
        <f>"0,5297"</f>
        <v>0,5297</v>
      </c>
      <c r="E22" s="21" t="s">
        <v>13</v>
      </c>
      <c r="F22" s="21" t="s">
        <v>529</v>
      </c>
      <c r="G22" s="22" t="s">
        <v>427</v>
      </c>
      <c r="H22" s="22" t="s">
        <v>351</v>
      </c>
      <c r="I22" s="31" t="s">
        <v>523</v>
      </c>
      <c r="J22" s="31"/>
      <c r="K22" s="22" t="s">
        <v>512</v>
      </c>
      <c r="L22" s="22" t="s">
        <v>504</v>
      </c>
      <c r="M22" s="22" t="s">
        <v>348</v>
      </c>
      <c r="N22" s="31"/>
      <c r="O22" s="22" t="s">
        <v>525</v>
      </c>
      <c r="P22" s="22" t="s">
        <v>392</v>
      </c>
      <c r="Q22" s="31" t="s">
        <v>466</v>
      </c>
      <c r="R22" s="31"/>
      <c r="S22" s="46" t="str">
        <f>"675,0"</f>
        <v>675,0</v>
      </c>
      <c r="T22" s="47" t="str">
        <f>"357,5475"</f>
        <v>357,5475</v>
      </c>
      <c r="U22" s="21"/>
    </row>
    <row r="24" ht="15.75" spans="5:5">
      <c r="E24" s="32" t="s">
        <v>28</v>
      </c>
    </row>
    <row r="25" ht="15.75" spans="5:5">
      <c r="E25" s="32" t="s">
        <v>29</v>
      </c>
    </row>
    <row r="26" ht="15.75" spans="5:5">
      <c r="E26" s="32" t="s">
        <v>30</v>
      </c>
    </row>
    <row r="27" spans="5:5">
      <c r="E27" s="4" t="s">
        <v>31</v>
      </c>
    </row>
    <row r="28" spans="5:5">
      <c r="E28" s="4" t="s">
        <v>32</v>
      </c>
    </row>
    <row r="29" spans="5:5">
      <c r="E29" s="4" t="s">
        <v>33</v>
      </c>
    </row>
    <row r="32" ht="18.75" spans="1:2">
      <c r="A32" s="33" t="s">
        <v>34</v>
      </c>
      <c r="B32" s="34"/>
    </row>
    <row r="33" ht="15.75" spans="1:2">
      <c r="A33" s="35" t="s">
        <v>92</v>
      </c>
      <c r="B33" s="23"/>
    </row>
    <row r="34" ht="15" spans="1:2">
      <c r="A34" s="36"/>
      <c r="B34" s="37" t="s">
        <v>43</v>
      </c>
    </row>
    <row r="35" ht="14.25" spans="1:5">
      <c r="A35" s="38" t="s">
        <v>1</v>
      </c>
      <c r="B35" s="38" t="s">
        <v>37</v>
      </c>
      <c r="C35" s="38" t="s">
        <v>38</v>
      </c>
      <c r="D35" s="38" t="s">
        <v>206</v>
      </c>
      <c r="E35" s="38" t="s">
        <v>195</v>
      </c>
    </row>
    <row r="36" spans="1:5">
      <c r="A36" s="39" t="s">
        <v>530</v>
      </c>
      <c r="B36" s="3" t="s">
        <v>43</v>
      </c>
      <c r="C36" s="3" t="s">
        <v>247</v>
      </c>
      <c r="D36" s="3" t="s">
        <v>531</v>
      </c>
      <c r="E36" s="5" t="s">
        <v>532</v>
      </c>
    </row>
    <row r="38" ht="15" spans="1:2">
      <c r="A38" s="36"/>
      <c r="B38" s="37" t="s">
        <v>130</v>
      </c>
    </row>
    <row r="39" ht="14.25" spans="1:5">
      <c r="A39" s="38" t="s">
        <v>1</v>
      </c>
      <c r="B39" s="38" t="s">
        <v>37</v>
      </c>
      <c r="C39" s="38" t="s">
        <v>38</v>
      </c>
      <c r="D39" s="38" t="s">
        <v>206</v>
      </c>
      <c r="E39" s="38" t="s">
        <v>195</v>
      </c>
    </row>
    <row r="40" spans="1:5">
      <c r="A40" s="39" t="s">
        <v>530</v>
      </c>
      <c r="B40" s="3" t="s">
        <v>276</v>
      </c>
      <c r="C40" s="3" t="s">
        <v>247</v>
      </c>
      <c r="D40" s="3" t="s">
        <v>531</v>
      </c>
      <c r="E40" s="5" t="s">
        <v>533</v>
      </c>
    </row>
    <row r="43" ht="15.75" spans="1:2">
      <c r="A43" s="35" t="s">
        <v>35</v>
      </c>
      <c r="B43" s="23"/>
    </row>
    <row r="44" ht="15" spans="1:2">
      <c r="A44" s="36"/>
      <c r="B44" s="37" t="s">
        <v>43</v>
      </c>
    </row>
    <row r="45" ht="14.25" spans="1:5">
      <c r="A45" s="38" t="s">
        <v>1</v>
      </c>
      <c r="B45" s="38" t="s">
        <v>37</v>
      </c>
      <c r="C45" s="38" t="s">
        <v>38</v>
      </c>
      <c r="D45" s="38" t="s">
        <v>206</v>
      </c>
      <c r="E45" s="38" t="s">
        <v>195</v>
      </c>
    </row>
    <row r="46" spans="1:5">
      <c r="A46" s="39" t="s">
        <v>286</v>
      </c>
      <c r="B46" s="3" t="s">
        <v>43</v>
      </c>
      <c r="C46" s="3" t="s">
        <v>185</v>
      </c>
      <c r="D46" s="3" t="s">
        <v>534</v>
      </c>
      <c r="E46" s="5" t="s">
        <v>535</v>
      </c>
    </row>
    <row r="47" spans="1:5">
      <c r="A47" s="39" t="s">
        <v>249</v>
      </c>
      <c r="B47" s="3" t="s">
        <v>43</v>
      </c>
      <c r="C47" s="3" t="s">
        <v>171</v>
      </c>
      <c r="D47" s="3" t="s">
        <v>536</v>
      </c>
      <c r="E47" s="5" t="s">
        <v>537</v>
      </c>
    </row>
    <row r="48" spans="1:5">
      <c r="A48" s="39" t="s">
        <v>538</v>
      </c>
      <c r="B48" s="3" t="s">
        <v>43</v>
      </c>
      <c r="C48" s="3" t="s">
        <v>153</v>
      </c>
      <c r="D48" s="3" t="s">
        <v>539</v>
      </c>
      <c r="E48" s="5" t="s">
        <v>540</v>
      </c>
    </row>
    <row r="50" ht="15" spans="1:2">
      <c r="A50" s="36"/>
      <c r="B50" s="37" t="s">
        <v>130</v>
      </c>
    </row>
    <row r="51" ht="14.25" spans="1:5">
      <c r="A51" s="38" t="s">
        <v>1</v>
      </c>
      <c r="B51" s="38" t="s">
        <v>37</v>
      </c>
      <c r="C51" s="38" t="s">
        <v>38</v>
      </c>
      <c r="D51" s="38" t="s">
        <v>206</v>
      </c>
      <c r="E51" s="38" t="s">
        <v>195</v>
      </c>
    </row>
    <row r="52" spans="1:5">
      <c r="A52" s="39" t="s">
        <v>541</v>
      </c>
      <c r="B52" s="3" t="s">
        <v>276</v>
      </c>
      <c r="C52" s="3" t="s">
        <v>247</v>
      </c>
      <c r="D52" s="3" t="s">
        <v>536</v>
      </c>
      <c r="E52" s="5" t="s">
        <v>542</v>
      </c>
    </row>
    <row r="53" spans="1:5">
      <c r="A53" s="39" t="s">
        <v>543</v>
      </c>
      <c r="B53" s="3" t="s">
        <v>276</v>
      </c>
      <c r="C53" s="3" t="s">
        <v>171</v>
      </c>
      <c r="D53" s="3" t="s">
        <v>544</v>
      </c>
      <c r="E53" s="5" t="s">
        <v>545</v>
      </c>
    </row>
    <row r="54" spans="1:5">
      <c r="A54" s="39" t="s">
        <v>546</v>
      </c>
      <c r="B54" s="3" t="s">
        <v>276</v>
      </c>
      <c r="C54" s="3" t="s">
        <v>153</v>
      </c>
      <c r="D54" s="3" t="s">
        <v>547</v>
      </c>
      <c r="E54" s="5" t="s">
        <v>548</v>
      </c>
    </row>
  </sheetData>
  <mergeCells count="18">
    <mergeCell ref="G3:J3"/>
    <mergeCell ref="K3:N3"/>
    <mergeCell ref="O3:R3"/>
    <mergeCell ref="A5:R5"/>
    <mergeCell ref="A9:R9"/>
    <mergeCell ref="A13:R13"/>
    <mergeCell ref="A16:R16"/>
    <mergeCell ref="A20:R20"/>
    <mergeCell ref="A3:A4"/>
    <mergeCell ref="B3:B4"/>
    <mergeCell ref="C3:C4"/>
    <mergeCell ref="D3:D4"/>
    <mergeCell ref="E3:E4"/>
    <mergeCell ref="F3:F4"/>
    <mergeCell ref="S3:S4"/>
    <mergeCell ref="T3:T4"/>
    <mergeCell ref="U3:U4"/>
    <mergeCell ref="A1:U2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8.78095238095238" style="3" customWidth="1"/>
    <col min="5" max="5" width="18.4380952380952" style="4" customWidth="1"/>
    <col min="6" max="6" width="30.4380952380952" style="4" customWidth="1"/>
    <col min="7" max="9" width="5.55238095238095" style="3" customWidth="1"/>
    <col min="10" max="10" width="4.78095238095238" style="3" customWidth="1"/>
    <col min="11" max="11" width="5.78095238095238" style="5" customWidth="1"/>
    <col min="12" max="12" width="8.55238095238095" style="6" customWidth="1"/>
    <col min="13" max="13" width="7.1047619047619" style="4" customWidth="1"/>
    <col min="14" max="16384" width="9.1047619047619" style="7"/>
  </cols>
  <sheetData>
    <row r="1" s="1" customFormat="1" ht="28.95" customHeight="1" spans="1:13">
      <c r="A1" s="8" t="s">
        <v>549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104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196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550</v>
      </c>
      <c r="B6" s="26" t="s">
        <v>551</v>
      </c>
      <c r="C6" s="26" t="s">
        <v>453</v>
      </c>
      <c r="D6" s="26" t="str">
        <f>"0,7948"</f>
        <v>0,7948</v>
      </c>
      <c r="E6" s="25" t="s">
        <v>13</v>
      </c>
      <c r="F6" s="25" t="s">
        <v>14</v>
      </c>
      <c r="G6" s="26" t="s">
        <v>83</v>
      </c>
      <c r="H6" s="26" t="s">
        <v>321</v>
      </c>
      <c r="I6" s="48" t="s">
        <v>255</v>
      </c>
      <c r="J6" s="48"/>
      <c r="K6" s="49" t="str">
        <f>"45,0"</f>
        <v>45,0</v>
      </c>
      <c r="L6" s="50" t="str">
        <f>"35,7660"</f>
        <v>35,7660</v>
      </c>
      <c r="M6" s="25"/>
    </row>
    <row r="7" s="3" customFormat="1" spans="1:13">
      <c r="A7" s="4"/>
      <c r="E7" s="4"/>
      <c r="F7" s="4"/>
      <c r="K7" s="5"/>
      <c r="L7" s="6"/>
      <c r="M7" s="4"/>
    </row>
    <row r="8" ht="15.75" spans="1:10">
      <c r="A8" s="23" t="s">
        <v>177</v>
      </c>
      <c r="B8" s="24"/>
      <c r="C8" s="24"/>
      <c r="D8" s="24"/>
      <c r="E8" s="24"/>
      <c r="F8" s="24"/>
      <c r="G8" s="24"/>
      <c r="H8" s="24"/>
      <c r="I8" s="24"/>
      <c r="J8" s="24"/>
    </row>
    <row r="9" spans="1:13">
      <c r="A9" s="25" t="s">
        <v>552</v>
      </c>
      <c r="B9" s="26" t="s">
        <v>553</v>
      </c>
      <c r="C9" s="26" t="s">
        <v>347</v>
      </c>
      <c r="D9" s="26" t="str">
        <f>"0,6975"</f>
        <v>0,6975</v>
      </c>
      <c r="E9" s="25" t="s">
        <v>13</v>
      </c>
      <c r="F9" s="25" t="s">
        <v>477</v>
      </c>
      <c r="G9" s="26" t="s">
        <v>333</v>
      </c>
      <c r="H9" s="26" t="s">
        <v>325</v>
      </c>
      <c r="I9" s="26" t="s">
        <v>83</v>
      </c>
      <c r="J9" s="48"/>
      <c r="K9" s="49" t="str">
        <f>"40,0"</f>
        <v>40,0</v>
      </c>
      <c r="L9" s="50" t="str">
        <f>"45,8955"</f>
        <v>45,8955</v>
      </c>
      <c r="M9" s="25"/>
    </row>
    <row r="11" ht="15.75" spans="1:10">
      <c r="A11" s="23" t="s">
        <v>177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3">
      <c r="A12" s="19" t="s">
        <v>280</v>
      </c>
      <c r="B12" s="20" t="s">
        <v>281</v>
      </c>
      <c r="C12" s="20" t="s">
        <v>282</v>
      </c>
      <c r="D12" s="20" t="str">
        <f>"0,6203"</f>
        <v>0,6203</v>
      </c>
      <c r="E12" s="19" t="s">
        <v>166</v>
      </c>
      <c r="F12" s="19" t="s">
        <v>283</v>
      </c>
      <c r="G12" s="27" t="s">
        <v>299</v>
      </c>
      <c r="H12" s="20" t="s">
        <v>301</v>
      </c>
      <c r="I12" s="27" t="s">
        <v>427</v>
      </c>
      <c r="J12" s="27"/>
      <c r="K12" s="44" t="str">
        <f>"170,0"</f>
        <v>170,0</v>
      </c>
      <c r="L12" s="45" t="str">
        <f>"105,4510"</f>
        <v>105,4510</v>
      </c>
      <c r="M12" s="19"/>
    </row>
    <row r="13" spans="1:13">
      <c r="A13" s="28" t="s">
        <v>554</v>
      </c>
      <c r="B13" s="29" t="s">
        <v>555</v>
      </c>
      <c r="C13" s="29" t="s">
        <v>254</v>
      </c>
      <c r="D13" s="29" t="str">
        <f>"0,6384"</f>
        <v>0,6384</v>
      </c>
      <c r="E13" s="28" t="s">
        <v>13</v>
      </c>
      <c r="F13" s="28" t="s">
        <v>200</v>
      </c>
      <c r="G13" s="29" t="s">
        <v>222</v>
      </c>
      <c r="H13" s="29" t="s">
        <v>205</v>
      </c>
      <c r="I13" s="29" t="s">
        <v>298</v>
      </c>
      <c r="J13" s="30"/>
      <c r="K13" s="51" t="str">
        <f>"150,0"</f>
        <v>150,0</v>
      </c>
      <c r="L13" s="52" t="str">
        <f>"95,7600"</f>
        <v>95,7600</v>
      </c>
      <c r="M13" s="28"/>
    </row>
    <row r="14" spans="1:13">
      <c r="A14" s="21" t="s">
        <v>178</v>
      </c>
      <c r="B14" s="22" t="s">
        <v>556</v>
      </c>
      <c r="C14" s="22" t="s">
        <v>180</v>
      </c>
      <c r="D14" s="22" t="str">
        <f>"0,6394"</f>
        <v>0,6394</v>
      </c>
      <c r="E14" s="21" t="s">
        <v>13</v>
      </c>
      <c r="F14" s="21" t="s">
        <v>181</v>
      </c>
      <c r="G14" s="22" t="s">
        <v>223</v>
      </c>
      <c r="H14" s="22" t="s">
        <v>298</v>
      </c>
      <c r="I14" s="31" t="s">
        <v>299</v>
      </c>
      <c r="J14" s="31"/>
      <c r="K14" s="46" t="str">
        <f>"150,0"</f>
        <v>150,0</v>
      </c>
      <c r="L14" s="47" t="str">
        <f>"118,8325"</f>
        <v>118,8325</v>
      </c>
      <c r="M14" s="21"/>
    </row>
    <row r="16" ht="15.75" spans="1:10">
      <c r="A16" s="23" t="s">
        <v>238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3">
      <c r="A17" s="25" t="s">
        <v>239</v>
      </c>
      <c r="B17" s="26" t="s">
        <v>240</v>
      </c>
      <c r="C17" s="26" t="s">
        <v>241</v>
      </c>
      <c r="D17" s="26" t="str">
        <f>"0,5918"</f>
        <v>0,5918</v>
      </c>
      <c r="E17" s="25" t="s">
        <v>81</v>
      </c>
      <c r="F17" s="25" t="s">
        <v>82</v>
      </c>
      <c r="G17" s="26" t="s">
        <v>221</v>
      </c>
      <c r="H17" s="26" t="s">
        <v>204</v>
      </c>
      <c r="I17" s="48" t="s">
        <v>205</v>
      </c>
      <c r="J17" s="48"/>
      <c r="K17" s="49" t="str">
        <f>"142,5"</f>
        <v>142,5</v>
      </c>
      <c r="L17" s="50" t="str">
        <f>"84,3315"</f>
        <v>84,3315</v>
      </c>
      <c r="M17" s="25"/>
    </row>
    <row r="19" ht="15.75" spans="1:10">
      <c r="A19" s="23" t="s">
        <v>116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3">
      <c r="A20" s="25" t="s">
        <v>557</v>
      </c>
      <c r="B20" s="26" t="s">
        <v>558</v>
      </c>
      <c r="C20" s="26" t="s">
        <v>559</v>
      </c>
      <c r="D20" s="26" t="str">
        <f>"0,5506"</f>
        <v>0,5506</v>
      </c>
      <c r="E20" s="25" t="s">
        <v>13</v>
      </c>
      <c r="F20" s="25" t="s">
        <v>560</v>
      </c>
      <c r="G20" s="26" t="s">
        <v>224</v>
      </c>
      <c r="H20" s="26" t="s">
        <v>209</v>
      </c>
      <c r="I20" s="26" t="s">
        <v>225</v>
      </c>
      <c r="J20" s="48"/>
      <c r="K20" s="49" t="str">
        <f>"235,0"</f>
        <v>235,0</v>
      </c>
      <c r="L20" s="50" t="str">
        <f>"129,7792"</f>
        <v>129,7792</v>
      </c>
      <c r="M20" s="25"/>
    </row>
    <row r="22" ht="15.75" spans="1:10">
      <c r="A22" s="23" t="s">
        <v>143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3">
      <c r="A23" s="25" t="s">
        <v>561</v>
      </c>
      <c r="B23" s="26" t="s">
        <v>562</v>
      </c>
      <c r="C23" s="26" t="s">
        <v>563</v>
      </c>
      <c r="D23" s="26" t="str">
        <f>"0,5276"</f>
        <v>0,5276</v>
      </c>
      <c r="E23" s="25" t="s">
        <v>13</v>
      </c>
      <c r="F23" s="25" t="s">
        <v>564</v>
      </c>
      <c r="G23" s="26" t="s">
        <v>298</v>
      </c>
      <c r="H23" s="26" t="s">
        <v>504</v>
      </c>
      <c r="I23" s="26" t="s">
        <v>301</v>
      </c>
      <c r="J23" s="48"/>
      <c r="K23" s="49" t="str">
        <f>"170,0"</f>
        <v>170,0</v>
      </c>
      <c r="L23" s="50" t="str">
        <f>"100,1860"</f>
        <v>100,1860</v>
      </c>
      <c r="M23" s="25"/>
    </row>
    <row r="25" ht="15.75" spans="5:5">
      <c r="E25" s="32" t="s">
        <v>28</v>
      </c>
    </row>
    <row r="26" ht="15.75" spans="5:5">
      <c r="E26" s="32" t="s">
        <v>29</v>
      </c>
    </row>
    <row r="27" ht="15.75" spans="5:5">
      <c r="E27" s="32" t="s">
        <v>30</v>
      </c>
    </row>
    <row r="28" spans="5:5">
      <c r="E28" s="4" t="s">
        <v>31</v>
      </c>
    </row>
    <row r="29" spans="5:5">
      <c r="E29" s="4" t="s">
        <v>32</v>
      </c>
    </row>
    <row r="30" spans="5:5">
      <c r="E30" s="4" t="s">
        <v>33</v>
      </c>
    </row>
    <row r="33" ht="18.75" spans="1:2">
      <c r="A33" s="33" t="s">
        <v>34</v>
      </c>
      <c r="B33" s="34"/>
    </row>
    <row r="34" ht="15.75" spans="1:2">
      <c r="A34" s="35" t="s">
        <v>92</v>
      </c>
      <c r="B34" s="23"/>
    </row>
    <row r="35" ht="15" spans="1:2">
      <c r="A35" s="36"/>
      <c r="B35" s="37" t="s">
        <v>43</v>
      </c>
    </row>
    <row r="36" ht="14.25" spans="1:5">
      <c r="A36" s="38" t="s">
        <v>1</v>
      </c>
      <c r="B36" s="38" t="s">
        <v>37</v>
      </c>
      <c r="C36" s="38" t="s">
        <v>38</v>
      </c>
      <c r="D36" s="38" t="s">
        <v>39</v>
      </c>
      <c r="E36" s="38" t="s">
        <v>195</v>
      </c>
    </row>
    <row r="37" spans="1:5">
      <c r="A37" s="39" t="s">
        <v>565</v>
      </c>
      <c r="B37" s="3" t="s">
        <v>43</v>
      </c>
      <c r="C37" s="3" t="s">
        <v>208</v>
      </c>
      <c r="D37" s="3" t="s">
        <v>321</v>
      </c>
      <c r="E37" s="5" t="s">
        <v>566</v>
      </c>
    </row>
    <row r="39" ht="15" spans="1:2">
      <c r="A39" s="36"/>
      <c r="B39" s="37" t="s">
        <v>130</v>
      </c>
    </row>
    <row r="40" ht="14.25" spans="1:5">
      <c r="A40" s="38" t="s">
        <v>1</v>
      </c>
      <c r="B40" s="38" t="s">
        <v>37</v>
      </c>
      <c r="C40" s="38" t="s">
        <v>38</v>
      </c>
      <c r="D40" s="38" t="s">
        <v>39</v>
      </c>
      <c r="E40" s="38" t="s">
        <v>195</v>
      </c>
    </row>
    <row r="41" spans="1:5">
      <c r="A41" s="39" t="s">
        <v>567</v>
      </c>
      <c r="B41" s="3" t="s">
        <v>445</v>
      </c>
      <c r="C41" s="3" t="s">
        <v>185</v>
      </c>
      <c r="D41" s="3" t="s">
        <v>83</v>
      </c>
      <c r="E41" s="5" t="s">
        <v>568</v>
      </c>
    </row>
    <row r="44" ht="15.75" spans="1:2">
      <c r="A44" s="35" t="s">
        <v>35</v>
      </c>
      <c r="B44" s="23"/>
    </row>
    <row r="45" ht="15" spans="1:2">
      <c r="A45" s="36"/>
      <c r="B45" s="37" t="s">
        <v>43</v>
      </c>
    </row>
    <row r="46" ht="14.25" spans="1:5">
      <c r="A46" s="38" t="s">
        <v>1</v>
      </c>
      <c r="B46" s="38" t="s">
        <v>37</v>
      </c>
      <c r="C46" s="38" t="s">
        <v>38</v>
      </c>
      <c r="D46" s="38" t="s">
        <v>39</v>
      </c>
      <c r="E46" s="38" t="s">
        <v>195</v>
      </c>
    </row>
    <row r="47" spans="1:5">
      <c r="A47" s="39" t="s">
        <v>286</v>
      </c>
      <c r="B47" s="3" t="s">
        <v>43</v>
      </c>
      <c r="C47" s="3" t="s">
        <v>185</v>
      </c>
      <c r="D47" s="3" t="s">
        <v>301</v>
      </c>
      <c r="E47" s="5" t="s">
        <v>569</v>
      </c>
    </row>
    <row r="48" spans="1:5">
      <c r="A48" s="39" t="s">
        <v>570</v>
      </c>
      <c r="B48" s="3" t="s">
        <v>43</v>
      </c>
      <c r="C48" s="3" t="s">
        <v>185</v>
      </c>
      <c r="D48" s="3" t="s">
        <v>298</v>
      </c>
      <c r="E48" s="5" t="s">
        <v>571</v>
      </c>
    </row>
    <row r="49" spans="1:5">
      <c r="A49" s="39" t="s">
        <v>246</v>
      </c>
      <c r="B49" s="3" t="s">
        <v>43</v>
      </c>
      <c r="C49" s="3" t="s">
        <v>247</v>
      </c>
      <c r="D49" s="3" t="s">
        <v>204</v>
      </c>
      <c r="E49" s="5" t="s">
        <v>572</v>
      </c>
    </row>
    <row r="51" ht="15" spans="1:2">
      <c r="A51" s="36"/>
      <c r="B51" s="37" t="s">
        <v>130</v>
      </c>
    </row>
    <row r="52" ht="14.25" spans="1:5">
      <c r="A52" s="38" t="s">
        <v>1</v>
      </c>
      <c r="B52" s="38" t="s">
        <v>37</v>
      </c>
      <c r="C52" s="38" t="s">
        <v>38</v>
      </c>
      <c r="D52" s="38" t="s">
        <v>39</v>
      </c>
      <c r="E52" s="38" t="s">
        <v>195</v>
      </c>
    </row>
    <row r="53" spans="1:5">
      <c r="A53" s="39" t="s">
        <v>573</v>
      </c>
      <c r="B53" s="3" t="s">
        <v>276</v>
      </c>
      <c r="C53" s="3" t="s">
        <v>128</v>
      </c>
      <c r="D53" s="3" t="s">
        <v>225</v>
      </c>
      <c r="E53" s="5" t="s">
        <v>574</v>
      </c>
    </row>
    <row r="54" spans="1:5">
      <c r="A54" s="39" t="s">
        <v>183</v>
      </c>
      <c r="B54" s="3" t="s">
        <v>575</v>
      </c>
      <c r="C54" s="3" t="s">
        <v>185</v>
      </c>
      <c r="D54" s="3" t="s">
        <v>298</v>
      </c>
      <c r="E54" s="5" t="s">
        <v>576</v>
      </c>
    </row>
    <row r="55" spans="1:5">
      <c r="A55" s="39" t="s">
        <v>577</v>
      </c>
      <c r="B55" s="3" t="s">
        <v>131</v>
      </c>
      <c r="C55" s="3" t="s">
        <v>153</v>
      </c>
      <c r="D55" s="3" t="s">
        <v>301</v>
      </c>
      <c r="E55" s="5" t="s">
        <v>578</v>
      </c>
    </row>
  </sheetData>
  <mergeCells count="17">
    <mergeCell ref="G3:J3"/>
    <mergeCell ref="A5:J5"/>
    <mergeCell ref="A8:J8"/>
    <mergeCell ref="A11:J11"/>
    <mergeCell ref="A16:J16"/>
    <mergeCell ref="A19:J19"/>
    <mergeCell ref="A22:J22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8.78095238095238" style="3" customWidth="1"/>
    <col min="5" max="5" width="17" style="4" customWidth="1"/>
    <col min="6" max="6" width="26.4380952380952" style="4" customWidth="1"/>
    <col min="7" max="7" width="5.55238095238095" style="3" customWidth="1"/>
    <col min="8" max="9" width="2.1047619047619" style="3" customWidth="1"/>
    <col min="10" max="10" width="4.78095238095238" style="3" customWidth="1"/>
    <col min="11" max="11" width="5.78095238095238" style="5" customWidth="1"/>
    <col min="12" max="12" width="8.55238095238095" style="6" customWidth="1"/>
    <col min="13" max="13" width="7.1047619047619" style="4" customWidth="1"/>
    <col min="14" max="16384" width="9.1047619047619" style="7"/>
  </cols>
  <sheetData>
    <row r="1" s="1" customFormat="1" ht="28.95" customHeight="1" spans="1:13">
      <c r="A1" s="8" t="s">
        <v>579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49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162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19" t="s">
        <v>580</v>
      </c>
      <c r="B6" s="20" t="s">
        <v>581</v>
      </c>
      <c r="C6" s="20" t="s">
        <v>582</v>
      </c>
      <c r="D6" s="20" t="str">
        <f>"0,5734"</f>
        <v>0,5734</v>
      </c>
      <c r="E6" s="19" t="s">
        <v>13</v>
      </c>
      <c r="F6" s="19" t="s">
        <v>82</v>
      </c>
      <c r="G6" s="20" t="s">
        <v>583</v>
      </c>
      <c r="H6" s="27"/>
      <c r="I6" s="27"/>
      <c r="J6" s="27"/>
      <c r="K6" s="44" t="str">
        <f>"205,0"</f>
        <v>205,0</v>
      </c>
      <c r="L6" s="45" t="str">
        <f>"117,5470"</f>
        <v>117,5470</v>
      </c>
      <c r="M6" s="19"/>
    </row>
    <row r="7" s="3" customFormat="1" spans="1:13">
      <c r="A7" s="21" t="s">
        <v>580</v>
      </c>
      <c r="B7" s="22" t="s">
        <v>584</v>
      </c>
      <c r="C7" s="22" t="s">
        <v>582</v>
      </c>
      <c r="D7" s="22" t="str">
        <f>"0,5734"</f>
        <v>0,5734</v>
      </c>
      <c r="E7" s="21" t="s">
        <v>13</v>
      </c>
      <c r="F7" s="21" t="s">
        <v>82</v>
      </c>
      <c r="G7" s="22" t="s">
        <v>583</v>
      </c>
      <c r="H7" s="31"/>
      <c r="I7" s="31"/>
      <c r="J7" s="31"/>
      <c r="K7" s="46" t="str">
        <f>"205,0"</f>
        <v>205,0</v>
      </c>
      <c r="L7" s="47" t="str">
        <f>"162,2149"</f>
        <v>162,2149</v>
      </c>
      <c r="M7" s="21"/>
    </row>
    <row r="9" ht="15.75" spans="5:5">
      <c r="E9" s="32" t="s">
        <v>28</v>
      </c>
    </row>
    <row r="10" ht="15.75" spans="5:5">
      <c r="E10" s="32" t="s">
        <v>29</v>
      </c>
    </row>
    <row r="11" ht="15.75" spans="5:5">
      <c r="E11" s="32" t="s">
        <v>30</v>
      </c>
    </row>
    <row r="12" spans="5:5">
      <c r="E12" s="4" t="s">
        <v>31</v>
      </c>
    </row>
    <row r="13" spans="5:5">
      <c r="E13" s="4" t="s">
        <v>32</v>
      </c>
    </row>
    <row r="14" spans="5:5">
      <c r="E14" s="4" t="s">
        <v>33</v>
      </c>
    </row>
    <row r="17" ht="18.75" spans="1:2">
      <c r="A17" s="33" t="s">
        <v>34</v>
      </c>
      <c r="B17" s="34"/>
    </row>
    <row r="18" ht="15.75" spans="1:2">
      <c r="A18" s="35" t="s">
        <v>35</v>
      </c>
      <c r="B18" s="23"/>
    </row>
    <row r="19" ht="15" spans="1:2">
      <c r="A19" s="36"/>
      <c r="B19" s="37" t="s">
        <v>43</v>
      </c>
    </row>
    <row r="20" ht="14.25" spans="1:5">
      <c r="A20" s="38" t="s">
        <v>1</v>
      </c>
      <c r="B20" s="38" t="s">
        <v>37</v>
      </c>
      <c r="C20" s="38" t="s">
        <v>38</v>
      </c>
      <c r="D20" s="38" t="s">
        <v>39</v>
      </c>
      <c r="E20" s="38" t="s">
        <v>195</v>
      </c>
    </row>
    <row r="21" spans="1:5">
      <c r="A21" s="39" t="s">
        <v>585</v>
      </c>
      <c r="B21" s="3" t="s">
        <v>43</v>
      </c>
      <c r="C21" s="3" t="s">
        <v>171</v>
      </c>
      <c r="D21" s="3" t="s">
        <v>583</v>
      </c>
      <c r="E21" s="5" t="s">
        <v>586</v>
      </c>
    </row>
    <row r="23" ht="15" spans="1:2">
      <c r="A23" s="36"/>
      <c r="B23" s="37" t="s">
        <v>130</v>
      </c>
    </row>
    <row r="24" ht="14.25" spans="1:5">
      <c r="A24" s="38" t="s">
        <v>1</v>
      </c>
      <c r="B24" s="38" t="s">
        <v>37</v>
      </c>
      <c r="C24" s="38" t="s">
        <v>38</v>
      </c>
      <c r="D24" s="38" t="s">
        <v>39</v>
      </c>
      <c r="E24" s="38" t="s">
        <v>195</v>
      </c>
    </row>
    <row r="25" spans="1:5">
      <c r="A25" s="39" t="s">
        <v>585</v>
      </c>
      <c r="B25" s="3" t="s">
        <v>233</v>
      </c>
      <c r="C25" s="3" t="s">
        <v>171</v>
      </c>
      <c r="D25" s="3" t="s">
        <v>583</v>
      </c>
      <c r="E25" s="5" t="s">
        <v>587</v>
      </c>
    </row>
  </sheetData>
  <mergeCells count="12">
    <mergeCell ref="G3:J3"/>
    <mergeCell ref="A5:J5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8.78095238095238" style="3" customWidth="1"/>
    <col min="5" max="5" width="17" style="4" customWidth="1"/>
    <col min="6" max="6" width="26.4380952380952" style="4" customWidth="1"/>
    <col min="7" max="7" width="5.55238095238095" style="3" customWidth="1"/>
    <col min="8" max="9" width="2.1047619047619" style="3" customWidth="1"/>
    <col min="10" max="10" width="4.78095238095238" style="3" customWidth="1"/>
    <col min="11" max="11" width="5.78095238095238" style="5" customWidth="1"/>
    <col min="12" max="12" width="8.55238095238095" style="6" customWidth="1"/>
    <col min="13" max="13" width="7.1047619047619" style="4" customWidth="1"/>
    <col min="14" max="16384" width="9.1047619047619" style="7"/>
  </cols>
  <sheetData>
    <row r="1" s="1" customFormat="1" ht="28.95" customHeight="1" spans="1:13">
      <c r="A1" s="8" t="s">
        <v>588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49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162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19" t="s">
        <v>580</v>
      </c>
      <c r="B6" s="20" t="s">
        <v>581</v>
      </c>
      <c r="C6" s="20" t="s">
        <v>582</v>
      </c>
      <c r="D6" s="20" t="str">
        <f>"0,5734"</f>
        <v>0,5734</v>
      </c>
      <c r="E6" s="19" t="s">
        <v>13</v>
      </c>
      <c r="F6" s="19" t="s">
        <v>82</v>
      </c>
      <c r="G6" s="20" t="s">
        <v>589</v>
      </c>
      <c r="H6" s="27"/>
      <c r="I6" s="27"/>
      <c r="J6" s="27"/>
      <c r="K6" s="44" t="str">
        <f>"202,5"</f>
        <v>202,5</v>
      </c>
      <c r="L6" s="45" t="str">
        <f>"116,1135"</f>
        <v>116,1135</v>
      </c>
      <c r="M6" s="19"/>
    </row>
    <row r="7" s="3" customFormat="1" spans="1:13">
      <c r="A7" s="21" t="s">
        <v>580</v>
      </c>
      <c r="B7" s="22" t="s">
        <v>584</v>
      </c>
      <c r="C7" s="22" t="s">
        <v>582</v>
      </c>
      <c r="D7" s="22" t="str">
        <f>"0,5734"</f>
        <v>0,5734</v>
      </c>
      <c r="E7" s="21" t="s">
        <v>13</v>
      </c>
      <c r="F7" s="21" t="s">
        <v>82</v>
      </c>
      <c r="G7" s="22" t="s">
        <v>589</v>
      </c>
      <c r="H7" s="31"/>
      <c r="I7" s="31"/>
      <c r="J7" s="31"/>
      <c r="K7" s="46" t="str">
        <f>"202,5"</f>
        <v>202,5</v>
      </c>
      <c r="L7" s="47" t="str">
        <f>"160,2366"</f>
        <v>160,2366</v>
      </c>
      <c r="M7" s="21"/>
    </row>
    <row r="9" ht="15.75" spans="5:5">
      <c r="E9" s="32" t="s">
        <v>28</v>
      </c>
    </row>
    <row r="10" ht="15.75" spans="5:5">
      <c r="E10" s="32" t="s">
        <v>29</v>
      </c>
    </row>
    <row r="11" ht="15.75" spans="5:5">
      <c r="E11" s="32" t="s">
        <v>30</v>
      </c>
    </row>
    <row r="12" spans="5:5">
      <c r="E12" s="4" t="s">
        <v>31</v>
      </c>
    </row>
    <row r="13" spans="5:5">
      <c r="E13" s="4" t="s">
        <v>32</v>
      </c>
    </row>
    <row r="14" spans="5:5">
      <c r="E14" s="4" t="s">
        <v>33</v>
      </c>
    </row>
    <row r="17" ht="18.75" spans="1:2">
      <c r="A17" s="33" t="s">
        <v>34</v>
      </c>
      <c r="B17" s="34"/>
    </row>
    <row r="18" ht="15.75" spans="1:2">
      <c r="A18" s="35" t="s">
        <v>35</v>
      </c>
      <c r="B18" s="23"/>
    </row>
    <row r="19" ht="15" spans="1:2">
      <c r="A19" s="36"/>
      <c r="B19" s="37" t="s">
        <v>43</v>
      </c>
    </row>
    <row r="20" ht="14.25" spans="1:5">
      <c r="A20" s="38" t="s">
        <v>1</v>
      </c>
      <c r="B20" s="38" t="s">
        <v>37</v>
      </c>
      <c r="C20" s="38" t="s">
        <v>38</v>
      </c>
      <c r="D20" s="38" t="s">
        <v>39</v>
      </c>
      <c r="E20" s="38" t="s">
        <v>195</v>
      </c>
    </row>
    <row r="21" spans="1:5">
      <c r="A21" s="39" t="s">
        <v>585</v>
      </c>
      <c r="B21" s="3" t="s">
        <v>43</v>
      </c>
      <c r="C21" s="3" t="s">
        <v>171</v>
      </c>
      <c r="D21" s="3" t="s">
        <v>589</v>
      </c>
      <c r="E21" s="5" t="s">
        <v>590</v>
      </c>
    </row>
    <row r="23" ht="15" spans="1:2">
      <c r="A23" s="36"/>
      <c r="B23" s="37" t="s">
        <v>130</v>
      </c>
    </row>
    <row r="24" ht="14.25" spans="1:5">
      <c r="A24" s="38" t="s">
        <v>1</v>
      </c>
      <c r="B24" s="38" t="s">
        <v>37</v>
      </c>
      <c r="C24" s="38" t="s">
        <v>38</v>
      </c>
      <c r="D24" s="38" t="s">
        <v>39</v>
      </c>
      <c r="E24" s="38" t="s">
        <v>195</v>
      </c>
    </row>
    <row r="25" spans="1:5">
      <c r="A25" s="39" t="s">
        <v>585</v>
      </c>
      <c r="B25" s="3" t="s">
        <v>233</v>
      </c>
      <c r="C25" s="3" t="s">
        <v>171</v>
      </c>
      <c r="D25" s="3" t="s">
        <v>589</v>
      </c>
      <c r="E25" s="5" t="s">
        <v>591</v>
      </c>
    </row>
  </sheetData>
  <mergeCells count="12">
    <mergeCell ref="G3:J3"/>
    <mergeCell ref="A5:J5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workbookViewId="0">
      <selection activeCell="A1" sqref="$A1:$XFD1048576"/>
    </sheetView>
  </sheetViews>
  <sheetFormatPr defaultColWidth="9.1047619047619" defaultRowHeight="12.75"/>
  <cols>
    <col min="1" max="1" width="24.8857142857143" style="4" customWidth="1"/>
    <col min="2" max="2" width="30.4380952380952" style="3" customWidth="1"/>
    <col min="3" max="3" width="7.55238095238095" style="3" customWidth="1"/>
    <col min="4" max="4" width="8.78095238095238" style="3" customWidth="1"/>
    <col min="5" max="5" width="17" style="4" customWidth="1"/>
    <col min="6" max="6" width="28.4380952380952" style="4" customWidth="1"/>
    <col min="7" max="9" width="5.55238095238095" style="3" customWidth="1"/>
    <col min="10" max="10" width="4.78095238095238" style="3" customWidth="1"/>
    <col min="11" max="11" width="5.78095238095238" style="5" customWidth="1"/>
    <col min="12" max="12" width="8.55238095238095" style="6" customWidth="1"/>
    <col min="13" max="13" width="15.7809523809524" style="4" customWidth="1"/>
    <col min="14" max="16384" width="9.1047619047619" style="7"/>
  </cols>
  <sheetData>
    <row r="1" s="1" customFormat="1" ht="28.95" customHeight="1" spans="1:13">
      <c r="A1" s="8" t="s">
        <v>592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195</v>
      </c>
      <c r="E3" s="14" t="s">
        <v>5</v>
      </c>
      <c r="F3" s="14" t="s">
        <v>6</v>
      </c>
      <c r="G3" s="14" t="s">
        <v>49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108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19" t="s">
        <v>593</v>
      </c>
      <c r="B6" s="20" t="s">
        <v>594</v>
      </c>
      <c r="C6" s="20" t="s">
        <v>595</v>
      </c>
      <c r="D6" s="20" t="str">
        <f>"0,7565"</f>
        <v>0,7565</v>
      </c>
      <c r="E6" s="19" t="s">
        <v>13</v>
      </c>
      <c r="F6" s="19" t="s">
        <v>14</v>
      </c>
      <c r="G6" s="20" t="s">
        <v>27</v>
      </c>
      <c r="H6" s="20" t="s">
        <v>74</v>
      </c>
      <c r="I6" s="20" t="s">
        <v>309</v>
      </c>
      <c r="J6" s="27"/>
      <c r="K6" s="44" t="str">
        <f>"90,0"</f>
        <v>90,0</v>
      </c>
      <c r="L6" s="45" t="str">
        <f>"68,0850"</f>
        <v>68,0850</v>
      </c>
      <c r="M6" s="19"/>
    </row>
    <row r="7" s="3" customFormat="1" spans="1:13">
      <c r="A7" s="21" t="s">
        <v>596</v>
      </c>
      <c r="B7" s="22" t="s">
        <v>597</v>
      </c>
      <c r="C7" s="22" t="s">
        <v>598</v>
      </c>
      <c r="D7" s="22" t="str">
        <f>"0,7453"</f>
        <v>0,7453</v>
      </c>
      <c r="E7" s="21" t="s">
        <v>13</v>
      </c>
      <c r="F7" s="21" t="s">
        <v>471</v>
      </c>
      <c r="G7" s="22" t="s">
        <v>348</v>
      </c>
      <c r="H7" s="22" t="s">
        <v>599</v>
      </c>
      <c r="I7" s="31" t="s">
        <v>600</v>
      </c>
      <c r="J7" s="31"/>
      <c r="K7" s="46" t="str">
        <f>"182,5"</f>
        <v>182,5</v>
      </c>
      <c r="L7" s="47" t="str">
        <f>"137,2414"</f>
        <v>137,2414</v>
      </c>
      <c r="M7" s="21"/>
    </row>
    <row r="9" ht="15.75" spans="1:10">
      <c r="A9" s="23" t="s">
        <v>177</v>
      </c>
      <c r="B9" s="24"/>
      <c r="C9" s="24"/>
      <c r="D9" s="24"/>
      <c r="E9" s="24"/>
      <c r="F9" s="24"/>
      <c r="G9" s="24"/>
      <c r="H9" s="24"/>
      <c r="I9" s="24"/>
      <c r="J9" s="24"/>
    </row>
    <row r="10" spans="1:13">
      <c r="A10" s="25" t="s">
        <v>601</v>
      </c>
      <c r="B10" s="26" t="s">
        <v>509</v>
      </c>
      <c r="C10" s="26" t="s">
        <v>510</v>
      </c>
      <c r="D10" s="26" t="str">
        <f>"0,6241"</f>
        <v>0,6241</v>
      </c>
      <c r="E10" s="25" t="s">
        <v>13</v>
      </c>
      <c r="F10" s="25" t="s">
        <v>511</v>
      </c>
      <c r="G10" s="26" t="s">
        <v>348</v>
      </c>
      <c r="H10" s="26" t="s">
        <v>427</v>
      </c>
      <c r="I10" s="48" t="s">
        <v>349</v>
      </c>
      <c r="J10" s="48"/>
      <c r="K10" s="49" t="str">
        <f>"180,0"</f>
        <v>180,0</v>
      </c>
      <c r="L10" s="50" t="str">
        <f>"112,3380"</f>
        <v>112,3380</v>
      </c>
      <c r="M10" s="25"/>
    </row>
    <row r="12" ht="15.75" spans="1:10">
      <c r="A12" s="23" t="s">
        <v>162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3">
      <c r="A13" s="19" t="s">
        <v>580</v>
      </c>
      <c r="B13" s="20" t="s">
        <v>581</v>
      </c>
      <c r="C13" s="20" t="s">
        <v>582</v>
      </c>
      <c r="D13" s="20" t="str">
        <f>"0,5734"</f>
        <v>0,5734</v>
      </c>
      <c r="E13" s="19" t="s">
        <v>13</v>
      </c>
      <c r="F13" s="19" t="s">
        <v>82</v>
      </c>
      <c r="G13" s="20" t="s">
        <v>602</v>
      </c>
      <c r="H13" s="27"/>
      <c r="I13" s="27"/>
      <c r="J13" s="27"/>
      <c r="K13" s="44" t="str">
        <f>"195,0"</f>
        <v>195,0</v>
      </c>
      <c r="L13" s="45" t="str">
        <f>"111,8130"</f>
        <v>111,8130</v>
      </c>
      <c r="M13" s="19"/>
    </row>
    <row r="14" spans="1:13">
      <c r="A14" s="28" t="s">
        <v>603</v>
      </c>
      <c r="B14" s="29" t="s">
        <v>604</v>
      </c>
      <c r="C14" s="29" t="s">
        <v>605</v>
      </c>
      <c r="D14" s="29" t="str">
        <f>"0,5573"</f>
        <v>0,5573</v>
      </c>
      <c r="E14" s="28" t="s">
        <v>13</v>
      </c>
      <c r="F14" s="28" t="s">
        <v>82</v>
      </c>
      <c r="G14" s="30" t="s">
        <v>525</v>
      </c>
      <c r="H14" s="30" t="s">
        <v>525</v>
      </c>
      <c r="I14" s="30" t="s">
        <v>525</v>
      </c>
      <c r="J14" s="30"/>
      <c r="K14" s="51" t="str">
        <f>"0.00"</f>
        <v>0.00</v>
      </c>
      <c r="L14" s="52" t="str">
        <f>"0,0000"</f>
        <v>0,0000</v>
      </c>
      <c r="M14" s="28"/>
    </row>
    <row r="15" spans="1:13">
      <c r="A15" s="21" t="s">
        <v>580</v>
      </c>
      <c r="B15" s="22" t="s">
        <v>584</v>
      </c>
      <c r="C15" s="22" t="s">
        <v>582</v>
      </c>
      <c r="D15" s="22" t="str">
        <f>"0,5734"</f>
        <v>0,5734</v>
      </c>
      <c r="E15" s="21" t="s">
        <v>13</v>
      </c>
      <c r="F15" s="21" t="s">
        <v>82</v>
      </c>
      <c r="G15" s="22" t="s">
        <v>602</v>
      </c>
      <c r="H15" s="31"/>
      <c r="I15" s="31"/>
      <c r="J15" s="31"/>
      <c r="K15" s="46" t="str">
        <f>"195,0"</f>
        <v>195,0</v>
      </c>
      <c r="L15" s="47" t="str">
        <f>"154,3019"</f>
        <v>154,3019</v>
      </c>
      <c r="M15" s="21"/>
    </row>
    <row r="17" ht="15.75" spans="1:10">
      <c r="A17" s="23" t="s">
        <v>143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3">
      <c r="A18" s="19" t="s">
        <v>520</v>
      </c>
      <c r="B18" s="20" t="s">
        <v>521</v>
      </c>
      <c r="C18" s="20" t="s">
        <v>522</v>
      </c>
      <c r="D18" s="20" t="str">
        <f>"0,5351"</f>
        <v>0,5351</v>
      </c>
      <c r="E18" s="19" t="s">
        <v>166</v>
      </c>
      <c r="F18" s="19" t="s">
        <v>283</v>
      </c>
      <c r="G18" s="20" t="s">
        <v>121</v>
      </c>
      <c r="H18" s="20" t="s">
        <v>525</v>
      </c>
      <c r="I18" s="27" t="s">
        <v>459</v>
      </c>
      <c r="J18" s="27"/>
      <c r="K18" s="44" t="str">
        <f>"270,0"</f>
        <v>270,0</v>
      </c>
      <c r="L18" s="45" t="str">
        <f>"144,4770"</f>
        <v>144,4770</v>
      </c>
      <c r="M18" s="19" t="s">
        <v>292</v>
      </c>
    </row>
    <row r="19" spans="1:13">
      <c r="A19" s="28" t="s">
        <v>606</v>
      </c>
      <c r="B19" s="29" t="s">
        <v>145</v>
      </c>
      <c r="C19" s="29" t="s">
        <v>146</v>
      </c>
      <c r="D19" s="29" t="str">
        <f>"0,5289"</f>
        <v>0,5289</v>
      </c>
      <c r="E19" s="28" t="s">
        <v>13</v>
      </c>
      <c r="F19" s="28" t="s">
        <v>147</v>
      </c>
      <c r="G19" s="29" t="s">
        <v>427</v>
      </c>
      <c r="H19" s="29" t="s">
        <v>351</v>
      </c>
      <c r="I19" s="29" t="s">
        <v>420</v>
      </c>
      <c r="J19" s="30"/>
      <c r="K19" s="51" t="str">
        <f>"210,0"</f>
        <v>210,0</v>
      </c>
      <c r="L19" s="52" t="str">
        <f>"111,0690"</f>
        <v>111,0690</v>
      </c>
      <c r="M19" s="28"/>
    </row>
    <row r="20" spans="1:13">
      <c r="A20" s="28" t="s">
        <v>526</v>
      </c>
      <c r="B20" s="29" t="s">
        <v>527</v>
      </c>
      <c r="C20" s="29" t="s">
        <v>528</v>
      </c>
      <c r="D20" s="29" t="str">
        <f>"0,5297"</f>
        <v>0,5297</v>
      </c>
      <c r="E20" s="28" t="s">
        <v>13</v>
      </c>
      <c r="F20" s="28" t="s">
        <v>529</v>
      </c>
      <c r="G20" s="29" t="s">
        <v>525</v>
      </c>
      <c r="H20" s="29" t="s">
        <v>392</v>
      </c>
      <c r="I20" s="30" t="s">
        <v>466</v>
      </c>
      <c r="J20" s="30"/>
      <c r="K20" s="51" t="str">
        <f>"300,0"</f>
        <v>300,0</v>
      </c>
      <c r="L20" s="52" t="str">
        <f>"158,9100"</f>
        <v>158,9100</v>
      </c>
      <c r="M20" s="28"/>
    </row>
    <row r="21" spans="1:13">
      <c r="A21" s="21" t="s">
        <v>144</v>
      </c>
      <c r="B21" s="22" t="s">
        <v>607</v>
      </c>
      <c r="C21" s="22" t="s">
        <v>146</v>
      </c>
      <c r="D21" s="22" t="str">
        <f>"0,5289"</f>
        <v>0,5289</v>
      </c>
      <c r="E21" s="21" t="s">
        <v>13</v>
      </c>
      <c r="F21" s="21" t="s">
        <v>147</v>
      </c>
      <c r="G21" s="22" t="s">
        <v>427</v>
      </c>
      <c r="H21" s="22" t="s">
        <v>351</v>
      </c>
      <c r="I21" s="22" t="s">
        <v>420</v>
      </c>
      <c r="J21" s="31"/>
      <c r="K21" s="46" t="str">
        <f>"210,0"</f>
        <v>210,0</v>
      </c>
      <c r="L21" s="47" t="str">
        <f>"153,2752"</f>
        <v>153,2752</v>
      </c>
      <c r="M21" s="21"/>
    </row>
    <row r="23" ht="15.75" spans="5:5">
      <c r="E23" s="32" t="s">
        <v>28</v>
      </c>
    </row>
    <row r="24" ht="15.75" spans="5:5">
      <c r="E24" s="32" t="s">
        <v>29</v>
      </c>
    </row>
    <row r="25" ht="15.75" spans="5:5">
      <c r="E25" s="32" t="s">
        <v>30</v>
      </c>
    </row>
    <row r="26" spans="5:5">
      <c r="E26" s="4" t="s">
        <v>31</v>
      </c>
    </row>
    <row r="27" spans="5:5">
      <c r="E27" s="4" t="s">
        <v>32</v>
      </c>
    </row>
    <row r="28" spans="5:5">
      <c r="E28" s="4" t="s">
        <v>33</v>
      </c>
    </row>
    <row r="31" ht="18.75" spans="1:2">
      <c r="A31" s="33" t="s">
        <v>34</v>
      </c>
      <c r="B31" s="34"/>
    </row>
    <row r="32" ht="15.75" spans="1:2">
      <c r="A32" s="35" t="s">
        <v>92</v>
      </c>
      <c r="B32" s="23"/>
    </row>
    <row r="33" ht="15" spans="1:2">
      <c r="A33" s="36"/>
      <c r="B33" s="37" t="s">
        <v>43</v>
      </c>
    </row>
    <row r="34" ht="14.25" spans="1:5">
      <c r="A34" s="38" t="s">
        <v>1</v>
      </c>
      <c r="B34" s="38" t="s">
        <v>37</v>
      </c>
      <c r="C34" s="38" t="s">
        <v>38</v>
      </c>
      <c r="D34" s="38" t="s">
        <v>39</v>
      </c>
      <c r="E34" s="38" t="s">
        <v>195</v>
      </c>
    </row>
    <row r="35" spans="1:5">
      <c r="A35" s="39" t="s">
        <v>608</v>
      </c>
      <c r="B35" s="3" t="s">
        <v>43</v>
      </c>
      <c r="C35" s="3" t="s">
        <v>125</v>
      </c>
      <c r="D35" s="3" t="s">
        <v>309</v>
      </c>
      <c r="E35" s="5" t="s">
        <v>609</v>
      </c>
    </row>
    <row r="37" ht="15" spans="1:2">
      <c r="A37" s="36"/>
      <c r="B37" s="37" t="s">
        <v>130</v>
      </c>
    </row>
    <row r="38" ht="14.25" spans="1:5">
      <c r="A38" s="38" t="s">
        <v>1</v>
      </c>
      <c r="B38" s="38" t="s">
        <v>37</v>
      </c>
      <c r="C38" s="38" t="s">
        <v>38</v>
      </c>
      <c r="D38" s="38" t="s">
        <v>39</v>
      </c>
      <c r="E38" s="38" t="s">
        <v>195</v>
      </c>
    </row>
    <row r="39" spans="1:5">
      <c r="A39" s="39" t="s">
        <v>610</v>
      </c>
      <c r="B39" s="3" t="s">
        <v>276</v>
      </c>
      <c r="C39" s="3" t="s">
        <v>125</v>
      </c>
      <c r="D39" s="3" t="s">
        <v>599</v>
      </c>
      <c r="E39" s="5" t="s">
        <v>611</v>
      </c>
    </row>
    <row r="42" ht="15.75" spans="1:2">
      <c r="A42" s="35" t="s">
        <v>35</v>
      </c>
      <c r="B42" s="23"/>
    </row>
    <row r="43" ht="15" spans="1:2">
      <c r="A43" s="36"/>
      <c r="B43" s="37" t="s">
        <v>43</v>
      </c>
    </row>
    <row r="44" ht="14.25" spans="1:5">
      <c r="A44" s="38" t="s">
        <v>1</v>
      </c>
      <c r="B44" s="38" t="s">
        <v>37</v>
      </c>
      <c r="C44" s="38" t="s">
        <v>38</v>
      </c>
      <c r="D44" s="38" t="s">
        <v>39</v>
      </c>
      <c r="E44" s="38" t="s">
        <v>195</v>
      </c>
    </row>
    <row r="45" spans="1:5">
      <c r="A45" s="39" t="s">
        <v>538</v>
      </c>
      <c r="B45" s="3" t="s">
        <v>43</v>
      </c>
      <c r="C45" s="3" t="s">
        <v>153</v>
      </c>
      <c r="D45" s="3" t="s">
        <v>525</v>
      </c>
      <c r="E45" s="5" t="s">
        <v>612</v>
      </c>
    </row>
    <row r="46" spans="1:5">
      <c r="A46" s="39" t="s">
        <v>585</v>
      </c>
      <c r="B46" s="3" t="s">
        <v>43</v>
      </c>
      <c r="C46" s="3" t="s">
        <v>171</v>
      </c>
      <c r="D46" s="3" t="s">
        <v>602</v>
      </c>
      <c r="E46" s="5" t="s">
        <v>613</v>
      </c>
    </row>
    <row r="47" spans="1:5">
      <c r="A47" s="39" t="s">
        <v>152</v>
      </c>
      <c r="B47" s="3" t="s">
        <v>43</v>
      </c>
      <c r="C47" s="3" t="s">
        <v>153</v>
      </c>
      <c r="D47" s="3" t="s">
        <v>420</v>
      </c>
      <c r="E47" s="5" t="s">
        <v>614</v>
      </c>
    </row>
    <row r="49" ht="15" spans="1:2">
      <c r="A49" s="36"/>
      <c r="B49" s="37" t="s">
        <v>488</v>
      </c>
    </row>
    <row r="50" ht="14.25" spans="1:5">
      <c r="A50" s="38" t="s">
        <v>1</v>
      </c>
      <c r="B50" s="38" t="s">
        <v>37</v>
      </c>
      <c r="C50" s="38" t="s">
        <v>38</v>
      </c>
      <c r="D50" s="38" t="s">
        <v>39</v>
      </c>
      <c r="E50" s="38" t="s">
        <v>195</v>
      </c>
    </row>
    <row r="51" spans="1:5">
      <c r="A51" s="39" t="s">
        <v>615</v>
      </c>
      <c r="B51" s="3" t="s">
        <v>490</v>
      </c>
      <c r="C51" s="3" t="s">
        <v>185</v>
      </c>
      <c r="D51" s="3" t="s">
        <v>427</v>
      </c>
      <c r="E51" s="5" t="s">
        <v>616</v>
      </c>
    </row>
    <row r="53" ht="15" spans="1:2">
      <c r="A53" s="36"/>
      <c r="B53" s="37" t="s">
        <v>130</v>
      </c>
    </row>
    <row r="54" ht="14.25" spans="1:5">
      <c r="A54" s="38" t="s">
        <v>1</v>
      </c>
      <c r="B54" s="38" t="s">
        <v>37</v>
      </c>
      <c r="C54" s="38" t="s">
        <v>38</v>
      </c>
      <c r="D54" s="38" t="s">
        <v>39</v>
      </c>
      <c r="E54" s="38" t="s">
        <v>195</v>
      </c>
    </row>
    <row r="55" spans="1:5">
      <c r="A55" s="39" t="s">
        <v>546</v>
      </c>
      <c r="B55" s="3" t="s">
        <v>276</v>
      </c>
      <c r="C55" s="3" t="s">
        <v>153</v>
      </c>
      <c r="D55" s="3" t="s">
        <v>392</v>
      </c>
      <c r="E55" s="5" t="s">
        <v>617</v>
      </c>
    </row>
    <row r="56" spans="1:5">
      <c r="A56" s="39" t="s">
        <v>585</v>
      </c>
      <c r="B56" s="3" t="s">
        <v>233</v>
      </c>
      <c r="C56" s="3" t="s">
        <v>171</v>
      </c>
      <c r="D56" s="3" t="s">
        <v>602</v>
      </c>
      <c r="E56" s="5" t="s">
        <v>618</v>
      </c>
    </row>
    <row r="57" spans="1:5">
      <c r="A57" s="39" t="s">
        <v>152</v>
      </c>
      <c r="B57" s="3" t="s">
        <v>233</v>
      </c>
      <c r="C57" s="3" t="s">
        <v>153</v>
      </c>
      <c r="D57" s="3" t="s">
        <v>420</v>
      </c>
      <c r="E57" s="5" t="s">
        <v>619</v>
      </c>
    </row>
  </sheetData>
  <mergeCells count="15">
    <mergeCell ref="G3:J3"/>
    <mergeCell ref="A5:J5"/>
    <mergeCell ref="A9:J9"/>
    <mergeCell ref="A12:J12"/>
    <mergeCell ref="A17:J17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196850393700787" right="0.47244094488189" top="0.433070866141732" bottom="0.47244094488189" header="0.511811023622047" footer="0.511811023622047"/>
  <pageSetup paperSize="1" scale="65" fitToHeight="100" orientation="landscape" horizontalDpi="300" verticalDpi="300"/>
  <headerFooter alignWithMargins="0">
    <oddFooter>&amp;L&amp;G&amp;R&amp;D&amp;T&amp;P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:J2"/>
    </sheetView>
  </sheetViews>
  <sheetFormatPr defaultColWidth="9.1047619047619" defaultRowHeight="12.75"/>
  <cols>
    <col min="1" max="1" width="28.552380952381" style="5" customWidth="1"/>
    <col min="2" max="2" width="24" style="103" customWidth="1"/>
    <col min="3" max="3" width="7.55238095238095" style="103" customWidth="1"/>
    <col min="4" max="4" width="6.55238095238095" style="103" customWidth="1"/>
    <col min="5" max="5" width="17" style="104" customWidth="1"/>
    <col min="6" max="6" width="23.6666666666667" style="104" customWidth="1"/>
    <col min="7" max="10" width="4.55238095238095" style="103" customWidth="1"/>
    <col min="11" max="11" width="7" style="105" customWidth="1"/>
    <col min="12" max="12" width="10" style="105" customWidth="1"/>
    <col min="13" max="16384" width="9.1047619047619" style="105"/>
  </cols>
  <sheetData>
    <row r="1" ht="28.95" customHeight="1" spans="1:10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ht="61.95" customHeight="1" spans="1:10">
      <c r="A2" s="108"/>
      <c r="B2" s="109"/>
      <c r="C2" s="109"/>
      <c r="D2" s="109"/>
      <c r="E2" s="109"/>
      <c r="F2" s="109"/>
      <c r="G2" s="109"/>
      <c r="H2" s="109"/>
      <c r="I2" s="109"/>
      <c r="J2" s="109"/>
    </row>
    <row r="3" s="2" customFormat="1" customHeight="1" spans="1:11">
      <c r="A3" s="110" t="s">
        <v>1</v>
      </c>
      <c r="B3" s="111" t="s">
        <v>2</v>
      </c>
      <c r="C3" s="111" t="s">
        <v>3</v>
      </c>
      <c r="D3" s="112" t="s">
        <v>4</v>
      </c>
      <c r="E3" s="112" t="s">
        <v>5</v>
      </c>
      <c r="F3" s="113" t="s">
        <v>6</v>
      </c>
      <c r="G3" s="114" t="s">
        <v>7</v>
      </c>
      <c r="H3" s="115"/>
      <c r="I3" s="115"/>
      <c r="J3" s="115"/>
      <c r="K3" s="2" t="s">
        <v>8</v>
      </c>
    </row>
    <row r="4" s="2" customFormat="1" ht="23.25" customHeight="1" spans="1:10">
      <c r="A4" s="15"/>
      <c r="B4" s="16"/>
      <c r="C4" s="16"/>
      <c r="D4" s="16"/>
      <c r="E4" s="16"/>
      <c r="F4" s="116"/>
      <c r="G4" s="117">
        <v>1</v>
      </c>
      <c r="H4" s="117">
        <v>2</v>
      </c>
      <c r="I4" s="117">
        <v>3</v>
      </c>
      <c r="J4" s="117">
        <v>4</v>
      </c>
    </row>
    <row r="5" s="103" customFormat="1" ht="15.75" spans="1:10">
      <c r="A5" s="17" t="s">
        <v>9</v>
      </c>
      <c r="B5" s="18"/>
      <c r="C5" s="18"/>
      <c r="D5" s="18"/>
      <c r="E5" s="18"/>
      <c r="F5" s="18"/>
      <c r="G5" s="18"/>
      <c r="H5" s="18"/>
      <c r="I5" s="18"/>
      <c r="J5" s="18"/>
    </row>
    <row r="6" s="103" customFormat="1" spans="1:13">
      <c r="A6" s="44" t="s">
        <v>10</v>
      </c>
      <c r="B6" s="118" t="s">
        <v>11</v>
      </c>
      <c r="C6" s="118" t="s">
        <v>12</v>
      </c>
      <c r="D6" s="118" t="str">
        <f>"0,6885"</f>
        <v>0,6885</v>
      </c>
      <c r="E6" s="119" t="s">
        <v>13</v>
      </c>
      <c r="F6" s="119" t="s">
        <v>14</v>
      </c>
      <c r="G6" s="118" t="s">
        <v>15</v>
      </c>
      <c r="H6" s="118" t="s">
        <v>16</v>
      </c>
      <c r="I6" s="27" t="s">
        <v>17</v>
      </c>
      <c r="J6" s="27"/>
      <c r="K6" s="118" t="s">
        <v>18</v>
      </c>
      <c r="L6" s="118" t="s">
        <v>19</v>
      </c>
      <c r="M6" s="118"/>
    </row>
    <row r="7" s="103" customFormat="1" spans="1:13">
      <c r="A7" s="51" t="s">
        <v>10</v>
      </c>
      <c r="B7" s="120" t="s">
        <v>20</v>
      </c>
      <c r="C7" s="120" t="s">
        <v>12</v>
      </c>
      <c r="D7" s="120" t="str">
        <f>"0,6885"</f>
        <v>0,6885</v>
      </c>
      <c r="E7" s="121" t="s">
        <v>13</v>
      </c>
      <c r="F7" s="121" t="s">
        <v>14</v>
      </c>
      <c r="G7" s="120" t="s">
        <v>15</v>
      </c>
      <c r="H7" s="120" t="s">
        <v>16</v>
      </c>
      <c r="I7" s="30" t="s">
        <v>17</v>
      </c>
      <c r="J7" s="30"/>
      <c r="K7" s="120" t="s">
        <v>18</v>
      </c>
      <c r="L7" s="120" t="s">
        <v>19</v>
      </c>
      <c r="M7" s="120"/>
    </row>
    <row r="8" spans="1:13">
      <c r="A8" s="46" t="s">
        <v>21</v>
      </c>
      <c r="B8" s="122" t="s">
        <v>22</v>
      </c>
      <c r="C8" s="122" t="s">
        <v>23</v>
      </c>
      <c r="D8" s="122" t="str">
        <f>"0,6998"</f>
        <v>0,6998</v>
      </c>
      <c r="E8" s="123" t="s">
        <v>13</v>
      </c>
      <c r="F8" s="123" t="s">
        <v>24</v>
      </c>
      <c r="G8" s="122" t="s">
        <v>25</v>
      </c>
      <c r="H8" s="122" t="s">
        <v>26</v>
      </c>
      <c r="I8" s="122" t="s">
        <v>27</v>
      </c>
      <c r="J8" s="122" t="s">
        <v>16</v>
      </c>
      <c r="K8" s="128" t="str">
        <f>"75,0"</f>
        <v>75,0</v>
      </c>
      <c r="L8" s="128" t="str">
        <f>"76,0978"</f>
        <v>76,0978</v>
      </c>
      <c r="M8" s="128"/>
    </row>
    <row r="10" ht="15.75" spans="5:5">
      <c r="E10" s="32" t="s">
        <v>28</v>
      </c>
    </row>
    <row r="11" ht="15.75" spans="5:5">
      <c r="E11" s="32" t="s">
        <v>29</v>
      </c>
    </row>
    <row r="12" ht="15.75" spans="5:5">
      <c r="E12" s="32" t="s">
        <v>30</v>
      </c>
    </row>
    <row r="13" spans="5:5">
      <c r="E13" s="104" t="s">
        <v>31</v>
      </c>
    </row>
    <row r="14" spans="5:5">
      <c r="E14" s="104" t="s">
        <v>32</v>
      </c>
    </row>
    <row r="15" spans="5:5">
      <c r="E15" s="104" t="s">
        <v>33</v>
      </c>
    </row>
    <row r="18" ht="18.75" spans="1:2">
      <c r="A18" s="124" t="s">
        <v>34</v>
      </c>
      <c r="B18" s="34"/>
    </row>
    <row r="19" ht="15.75" spans="1:2">
      <c r="A19" s="125" t="s">
        <v>35</v>
      </c>
      <c r="B19" s="23"/>
    </row>
    <row r="20" ht="15" spans="1:2">
      <c r="A20" s="126"/>
      <c r="B20" s="37" t="s">
        <v>36</v>
      </c>
    </row>
    <row r="21" ht="14.25" spans="1:5">
      <c r="A21" s="38" t="s">
        <v>1</v>
      </c>
      <c r="B21" s="38" t="s">
        <v>37</v>
      </c>
      <c r="C21" s="38" t="s">
        <v>38</v>
      </c>
      <c r="D21" s="38" t="s">
        <v>39</v>
      </c>
      <c r="E21" s="38" t="s">
        <v>4</v>
      </c>
    </row>
    <row r="22" spans="1:5">
      <c r="A22" s="127" t="s">
        <v>40</v>
      </c>
      <c r="B22" s="103" t="s">
        <v>36</v>
      </c>
      <c r="C22" s="103" t="s">
        <v>41</v>
      </c>
      <c r="D22" s="103" t="s">
        <v>16</v>
      </c>
      <c r="E22" s="5" t="s">
        <v>42</v>
      </c>
    </row>
    <row r="24" ht="15" spans="1:2">
      <c r="A24" s="126"/>
      <c r="B24" s="37" t="s">
        <v>43</v>
      </c>
    </row>
    <row r="25" ht="14.25" spans="1:5">
      <c r="A25" s="38" t="s">
        <v>1</v>
      </c>
      <c r="B25" s="38" t="s">
        <v>37</v>
      </c>
      <c r="C25" s="38" t="s">
        <v>38</v>
      </c>
      <c r="D25" s="38" t="s">
        <v>39</v>
      </c>
      <c r="E25" s="38" t="s">
        <v>4</v>
      </c>
    </row>
    <row r="26" spans="1:5">
      <c r="A26" s="127" t="s">
        <v>40</v>
      </c>
      <c r="B26" s="103" t="s">
        <v>43</v>
      </c>
      <c r="C26" s="103" t="s">
        <v>41</v>
      </c>
      <c r="D26" s="103" t="s">
        <v>16</v>
      </c>
      <c r="E26" s="5" t="s">
        <v>42</v>
      </c>
    </row>
    <row r="28" ht="15" spans="1:2">
      <c r="A28" s="126"/>
      <c r="B28" s="37" t="s">
        <v>44</v>
      </c>
    </row>
    <row r="29" ht="14.25" spans="1:5">
      <c r="A29" s="38" t="s">
        <v>1</v>
      </c>
      <c r="B29" s="38" t="s">
        <v>37</v>
      </c>
      <c r="C29" s="38" t="s">
        <v>38</v>
      </c>
      <c r="D29" s="38" t="s">
        <v>39</v>
      </c>
      <c r="E29" s="38" t="s">
        <v>4</v>
      </c>
    </row>
    <row r="30" spans="1:5">
      <c r="A30" s="127" t="s">
        <v>45</v>
      </c>
      <c r="B30" s="103" t="s">
        <v>46</v>
      </c>
      <c r="C30" s="103" t="s">
        <v>41</v>
      </c>
      <c r="D30" s="103" t="s">
        <v>16</v>
      </c>
      <c r="E30" s="5" t="s">
        <v>47</v>
      </c>
    </row>
  </sheetData>
  <mergeCells count="9">
    <mergeCell ref="G3:J3"/>
    <mergeCell ref="A5:J5"/>
    <mergeCell ref="A3:A4"/>
    <mergeCell ref="B3:B4"/>
    <mergeCell ref="C3:C4"/>
    <mergeCell ref="D3:D4"/>
    <mergeCell ref="E3:E4"/>
    <mergeCell ref="F3:F4"/>
    <mergeCell ref="A1:J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:J2"/>
    </sheetView>
  </sheetViews>
  <sheetFormatPr defaultColWidth="9.1047619047619" defaultRowHeight="12.75"/>
  <cols>
    <col min="1" max="1" width="28.552380952381" style="5" customWidth="1"/>
    <col min="2" max="2" width="14.3333333333333" style="103" customWidth="1"/>
    <col min="3" max="3" width="7.55238095238095" style="103" customWidth="1"/>
    <col min="4" max="4" width="7.33333333333333" style="103" hidden="1" customWidth="1"/>
    <col min="5" max="5" width="17" style="104" customWidth="1"/>
    <col min="6" max="6" width="13.8857142857143" style="104" customWidth="1"/>
    <col min="7" max="10" width="2.1047619047619" style="103" customWidth="1"/>
    <col min="11" max="16384" width="9.1047619047619" style="105"/>
  </cols>
  <sheetData>
    <row r="1" ht="28.95" customHeight="1" spans="1:10">
      <c r="A1" s="106" t="s">
        <v>48</v>
      </c>
      <c r="B1" s="107"/>
      <c r="C1" s="107"/>
      <c r="D1" s="107"/>
      <c r="E1" s="107"/>
      <c r="F1" s="107"/>
      <c r="G1" s="107"/>
      <c r="H1" s="107"/>
      <c r="I1" s="107"/>
      <c r="J1" s="107"/>
    </row>
    <row r="2" ht="61.95" customHeight="1" spans="1:10">
      <c r="A2" s="108"/>
      <c r="B2" s="109"/>
      <c r="C2" s="109"/>
      <c r="D2" s="109"/>
      <c r="E2" s="109"/>
      <c r="F2" s="109"/>
      <c r="G2" s="109"/>
      <c r="H2" s="109"/>
      <c r="I2" s="109"/>
      <c r="J2" s="109"/>
    </row>
    <row r="3" s="2" customFormat="1" customHeight="1" spans="1:11">
      <c r="A3" s="110" t="s">
        <v>1</v>
      </c>
      <c r="B3" s="111" t="s">
        <v>2</v>
      </c>
      <c r="C3" s="111" t="s">
        <v>3</v>
      </c>
      <c r="D3" s="112"/>
      <c r="E3" s="112" t="s">
        <v>5</v>
      </c>
      <c r="F3" s="113" t="s">
        <v>6</v>
      </c>
      <c r="G3" s="114" t="s">
        <v>49</v>
      </c>
      <c r="H3" s="115"/>
      <c r="I3" s="115"/>
      <c r="J3" s="115"/>
      <c r="K3" s="2" t="s">
        <v>8</v>
      </c>
    </row>
    <row r="4" s="2" customFormat="1" ht="23.25" customHeight="1" spans="1:10">
      <c r="A4" s="15"/>
      <c r="B4" s="16"/>
      <c r="C4" s="16"/>
      <c r="D4" s="16"/>
      <c r="E4" s="16"/>
      <c r="F4" s="116"/>
      <c r="G4" s="117">
        <v>1</v>
      </c>
      <c r="H4" s="117">
        <v>2</v>
      </c>
      <c r="I4" s="117">
        <v>3</v>
      </c>
      <c r="J4" s="117">
        <v>4</v>
      </c>
    </row>
    <row r="5" s="103" customFormat="1" spans="1:6">
      <c r="A5" s="5"/>
      <c r="E5" s="104"/>
      <c r="F5" s="104"/>
    </row>
    <row r="6" s="103" customFormat="1" ht="15.75" spans="1:6">
      <c r="A6" s="5"/>
      <c r="E6" s="32" t="s">
        <v>28</v>
      </c>
      <c r="F6" s="104"/>
    </row>
    <row r="7" s="103" customFormat="1" ht="15.75" spans="1:6">
      <c r="A7" s="5"/>
      <c r="E7" s="32" t="s">
        <v>29</v>
      </c>
      <c r="F7" s="104"/>
    </row>
    <row r="8" ht="15.75" spans="5:5">
      <c r="E8" s="32" t="s">
        <v>30</v>
      </c>
    </row>
    <row r="9" spans="5:5">
      <c r="E9" s="104" t="s">
        <v>31</v>
      </c>
    </row>
    <row r="10" spans="5:5">
      <c r="E10" s="104" t="s">
        <v>32</v>
      </c>
    </row>
    <row r="11" spans="5:5">
      <c r="E11" s="104" t="s">
        <v>33</v>
      </c>
    </row>
    <row r="14" ht="18.75" spans="1:2">
      <c r="A14" s="124" t="s">
        <v>34</v>
      </c>
      <c r="B14" s="34"/>
    </row>
  </sheetData>
  <mergeCells count="8">
    <mergeCell ref="G3:J3"/>
    <mergeCell ref="A3:A4"/>
    <mergeCell ref="B3:B4"/>
    <mergeCell ref="C3:C4"/>
    <mergeCell ref="D3:D4"/>
    <mergeCell ref="E3:E4"/>
    <mergeCell ref="F3:F4"/>
    <mergeCell ref="A1:J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:J2"/>
    </sheetView>
  </sheetViews>
  <sheetFormatPr defaultColWidth="9.1047619047619" defaultRowHeight="12.75"/>
  <cols>
    <col min="1" max="1" width="28.552380952381" style="5" customWidth="1"/>
    <col min="2" max="2" width="24" style="103" customWidth="1"/>
    <col min="3" max="3" width="7.55238095238095" style="103" customWidth="1"/>
    <col min="4" max="4" width="6.55238095238095" style="103" customWidth="1"/>
    <col min="5" max="5" width="17" style="104" customWidth="1"/>
    <col min="6" max="6" width="23.6666666666667" style="104" customWidth="1"/>
    <col min="7" max="10" width="4.55238095238095" style="103" customWidth="1"/>
    <col min="11" max="11" width="7" style="105" customWidth="1"/>
    <col min="12" max="12" width="10" style="105" customWidth="1"/>
    <col min="13" max="16384" width="9.1047619047619" style="105"/>
  </cols>
  <sheetData>
    <row r="1" ht="28.95" customHeight="1" spans="1:10">
      <c r="A1" s="106" t="s">
        <v>50</v>
      </c>
      <c r="B1" s="107"/>
      <c r="C1" s="107"/>
      <c r="D1" s="107"/>
      <c r="E1" s="107"/>
      <c r="F1" s="107"/>
      <c r="G1" s="107"/>
      <c r="H1" s="107"/>
      <c r="I1" s="107"/>
      <c r="J1" s="107"/>
    </row>
    <row r="2" ht="61.95" customHeight="1" spans="1:10">
      <c r="A2" s="108"/>
      <c r="B2" s="109"/>
      <c r="C2" s="109"/>
      <c r="D2" s="109"/>
      <c r="E2" s="109"/>
      <c r="F2" s="109"/>
      <c r="G2" s="109"/>
      <c r="H2" s="109"/>
      <c r="I2" s="109"/>
      <c r="J2" s="109"/>
    </row>
    <row r="3" s="2" customFormat="1" customHeight="1" spans="1:11">
      <c r="A3" s="110" t="s">
        <v>1</v>
      </c>
      <c r="B3" s="111" t="s">
        <v>2</v>
      </c>
      <c r="C3" s="111" t="s">
        <v>3</v>
      </c>
      <c r="D3" s="112" t="s">
        <v>4</v>
      </c>
      <c r="E3" s="112" t="s">
        <v>5</v>
      </c>
      <c r="F3" s="113" t="s">
        <v>6</v>
      </c>
      <c r="G3" s="114" t="s">
        <v>7</v>
      </c>
      <c r="H3" s="115"/>
      <c r="I3" s="115"/>
      <c r="J3" s="115"/>
      <c r="K3" s="2" t="s">
        <v>8</v>
      </c>
    </row>
    <row r="4" s="2" customFormat="1" ht="23.25" customHeight="1" spans="1:10">
      <c r="A4" s="15"/>
      <c r="B4" s="16"/>
      <c r="C4" s="16"/>
      <c r="D4" s="16"/>
      <c r="E4" s="16"/>
      <c r="F4" s="116"/>
      <c r="G4" s="117">
        <v>1</v>
      </c>
      <c r="H4" s="117">
        <v>2</v>
      </c>
      <c r="I4" s="117">
        <v>3</v>
      </c>
      <c r="J4" s="117">
        <v>4</v>
      </c>
    </row>
    <row r="5" s="103" customFormat="1" ht="15.75" spans="1:10">
      <c r="A5" s="17" t="s">
        <v>9</v>
      </c>
      <c r="B5" s="18"/>
      <c r="C5" s="18"/>
      <c r="D5" s="18"/>
      <c r="E5" s="18"/>
      <c r="F5" s="18"/>
      <c r="G5" s="18"/>
      <c r="H5" s="18"/>
      <c r="I5" s="18"/>
      <c r="J5" s="18"/>
    </row>
    <row r="6" s="103" customFormat="1" spans="1:13">
      <c r="A6" s="44" t="s">
        <v>10</v>
      </c>
      <c r="B6" s="118" t="s">
        <v>11</v>
      </c>
      <c r="C6" s="118" t="s">
        <v>12</v>
      </c>
      <c r="D6" s="118" t="str">
        <f>"0,6885"</f>
        <v>0,6885</v>
      </c>
      <c r="E6" s="119" t="s">
        <v>13</v>
      </c>
      <c r="F6" s="119" t="s">
        <v>14</v>
      </c>
      <c r="G6" s="118" t="s">
        <v>51</v>
      </c>
      <c r="H6" s="118" t="s">
        <v>52</v>
      </c>
      <c r="I6" s="118" t="s">
        <v>53</v>
      </c>
      <c r="J6" s="27" t="s">
        <v>54</v>
      </c>
      <c r="K6" s="118" t="s">
        <v>55</v>
      </c>
      <c r="L6" s="118" t="s">
        <v>56</v>
      </c>
      <c r="M6" s="118"/>
    </row>
    <row r="7" s="103" customFormat="1" spans="1:13">
      <c r="A7" s="51" t="s">
        <v>10</v>
      </c>
      <c r="B7" s="120" t="s">
        <v>20</v>
      </c>
      <c r="C7" s="120" t="s">
        <v>12</v>
      </c>
      <c r="D7" s="120" t="str">
        <f>"0,6885"</f>
        <v>0,6885</v>
      </c>
      <c r="E7" s="121" t="s">
        <v>13</v>
      </c>
      <c r="F7" s="121" t="s">
        <v>14</v>
      </c>
      <c r="G7" s="120" t="s">
        <v>51</v>
      </c>
      <c r="H7" s="120" t="s">
        <v>52</v>
      </c>
      <c r="I7" s="120" t="s">
        <v>53</v>
      </c>
      <c r="J7" s="30" t="s">
        <v>54</v>
      </c>
      <c r="K7" s="120" t="s">
        <v>55</v>
      </c>
      <c r="L7" s="120" t="s">
        <v>56</v>
      </c>
      <c r="M7" s="120"/>
    </row>
    <row r="8" spans="1:13">
      <c r="A8" s="46" t="s">
        <v>21</v>
      </c>
      <c r="B8" s="122" t="s">
        <v>22</v>
      </c>
      <c r="C8" s="122" t="s">
        <v>23</v>
      </c>
      <c r="D8" s="122" t="str">
        <f>"0,6998"</f>
        <v>0,6998</v>
      </c>
      <c r="E8" s="123" t="s">
        <v>13</v>
      </c>
      <c r="F8" s="123" t="s">
        <v>24</v>
      </c>
      <c r="G8" s="122" t="s">
        <v>51</v>
      </c>
      <c r="H8" s="122" t="s">
        <v>52</v>
      </c>
      <c r="I8" s="122" t="s">
        <v>53</v>
      </c>
      <c r="J8" s="31" t="s">
        <v>54</v>
      </c>
      <c r="K8" s="128" t="str">
        <f>"49,0"</f>
        <v>49,0</v>
      </c>
      <c r="L8" s="128" t="str">
        <f>"49,7172"</f>
        <v>49,7172</v>
      </c>
      <c r="M8" s="128"/>
    </row>
    <row r="10" ht="15.75" spans="5:5">
      <c r="E10" s="32" t="s">
        <v>28</v>
      </c>
    </row>
    <row r="11" ht="15.75" spans="5:5">
      <c r="E11" s="32" t="s">
        <v>29</v>
      </c>
    </row>
    <row r="12" ht="15.75" spans="5:5">
      <c r="E12" s="32" t="s">
        <v>30</v>
      </c>
    </row>
    <row r="13" spans="5:5">
      <c r="E13" s="104" t="s">
        <v>31</v>
      </c>
    </row>
    <row r="14" spans="5:5">
      <c r="E14" s="104" t="s">
        <v>32</v>
      </c>
    </row>
    <row r="15" spans="5:5">
      <c r="E15" s="104" t="s">
        <v>33</v>
      </c>
    </row>
    <row r="18" ht="18.75" spans="1:2">
      <c r="A18" s="124" t="s">
        <v>34</v>
      </c>
      <c r="B18" s="34"/>
    </row>
    <row r="19" ht="15.75" spans="1:2">
      <c r="A19" s="125" t="s">
        <v>35</v>
      </c>
      <c r="B19" s="23"/>
    </row>
    <row r="20" ht="15" spans="1:2">
      <c r="A20" s="126"/>
      <c r="B20" s="37" t="s">
        <v>36</v>
      </c>
    </row>
    <row r="21" ht="14.25" spans="1:5">
      <c r="A21" s="38" t="s">
        <v>1</v>
      </c>
      <c r="B21" s="38" t="s">
        <v>37</v>
      </c>
      <c r="C21" s="38" t="s">
        <v>38</v>
      </c>
      <c r="D21" s="38" t="s">
        <v>39</v>
      </c>
      <c r="E21" s="38" t="s">
        <v>4</v>
      </c>
    </row>
    <row r="22" spans="1:5">
      <c r="A22" s="127" t="s">
        <v>40</v>
      </c>
      <c r="B22" s="103" t="s">
        <v>36</v>
      </c>
      <c r="C22" s="103" t="s">
        <v>41</v>
      </c>
      <c r="D22" s="103" t="s">
        <v>53</v>
      </c>
      <c r="E22" s="5" t="s">
        <v>57</v>
      </c>
    </row>
    <row r="24" ht="15" spans="1:2">
      <c r="A24" s="126"/>
      <c r="B24" s="37" t="s">
        <v>43</v>
      </c>
    </row>
    <row r="25" ht="14.25" spans="1:5">
      <c r="A25" s="38" t="s">
        <v>1</v>
      </c>
      <c r="B25" s="38" t="s">
        <v>37</v>
      </c>
      <c r="C25" s="38" t="s">
        <v>38</v>
      </c>
      <c r="D25" s="38" t="s">
        <v>39</v>
      </c>
      <c r="E25" s="38" t="s">
        <v>4</v>
      </c>
    </row>
    <row r="26" spans="1:5">
      <c r="A26" s="127" t="s">
        <v>40</v>
      </c>
      <c r="B26" s="103" t="s">
        <v>43</v>
      </c>
      <c r="C26" s="103" t="s">
        <v>41</v>
      </c>
      <c r="D26" s="103" t="s">
        <v>53</v>
      </c>
      <c r="E26" s="5" t="s">
        <v>57</v>
      </c>
    </row>
    <row r="28" ht="15" spans="1:2">
      <c r="A28" s="126"/>
      <c r="B28" s="37" t="s">
        <v>44</v>
      </c>
    </row>
    <row r="29" ht="14.25" spans="1:5">
      <c r="A29" s="38" t="s">
        <v>1</v>
      </c>
      <c r="B29" s="38" t="s">
        <v>37</v>
      </c>
      <c r="C29" s="38" t="s">
        <v>38</v>
      </c>
      <c r="D29" s="38" t="s">
        <v>39</v>
      </c>
      <c r="E29" s="38" t="s">
        <v>4</v>
      </c>
    </row>
    <row r="30" spans="1:5">
      <c r="A30" s="127" t="s">
        <v>45</v>
      </c>
      <c r="B30" s="103" t="s">
        <v>46</v>
      </c>
      <c r="C30" s="103" t="s">
        <v>41</v>
      </c>
      <c r="D30" s="103" t="s">
        <v>53</v>
      </c>
      <c r="E30" s="5" t="s">
        <v>58</v>
      </c>
    </row>
  </sheetData>
  <mergeCells count="9">
    <mergeCell ref="G3:J3"/>
    <mergeCell ref="A5:J5"/>
    <mergeCell ref="A3:A4"/>
    <mergeCell ref="B3:B4"/>
    <mergeCell ref="C3:C4"/>
    <mergeCell ref="D3:D4"/>
    <mergeCell ref="E3:E4"/>
    <mergeCell ref="F3:F4"/>
    <mergeCell ref="A1:J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:J2"/>
    </sheetView>
  </sheetViews>
  <sheetFormatPr defaultColWidth="9.1047619047619" defaultRowHeight="12.75"/>
  <cols>
    <col min="1" max="1" width="28.552380952381" style="5" customWidth="1"/>
    <col min="2" max="2" width="24" style="103" customWidth="1"/>
    <col min="3" max="3" width="7.55238095238095" style="103" customWidth="1"/>
    <col min="4" max="4" width="6.55238095238095" style="103" customWidth="1"/>
    <col min="5" max="5" width="17" style="104" customWidth="1"/>
    <col min="6" max="6" width="23.6666666666667" style="104" customWidth="1"/>
    <col min="7" max="9" width="4.55238095238095" style="103" customWidth="1"/>
    <col min="10" max="10" width="2.1047619047619" style="103" customWidth="1"/>
    <col min="11" max="11" width="7" style="105" customWidth="1"/>
    <col min="12" max="12" width="9" style="105" customWidth="1"/>
    <col min="13" max="16384" width="9.1047619047619" style="105"/>
  </cols>
  <sheetData>
    <row r="1" ht="28.95" customHeight="1" spans="1:10">
      <c r="A1" s="106" t="s">
        <v>59</v>
      </c>
      <c r="B1" s="107"/>
      <c r="C1" s="107"/>
      <c r="D1" s="107"/>
      <c r="E1" s="107"/>
      <c r="F1" s="107"/>
      <c r="G1" s="107"/>
      <c r="H1" s="107"/>
      <c r="I1" s="107"/>
      <c r="J1" s="107"/>
    </row>
    <row r="2" ht="61.95" customHeight="1" spans="1:10">
      <c r="A2" s="108"/>
      <c r="B2" s="109"/>
      <c r="C2" s="109"/>
      <c r="D2" s="109"/>
      <c r="E2" s="109"/>
      <c r="F2" s="109"/>
      <c r="G2" s="109"/>
      <c r="H2" s="109"/>
      <c r="I2" s="109"/>
      <c r="J2" s="109"/>
    </row>
    <row r="3" s="2" customFormat="1" customHeight="1" spans="1:11">
      <c r="A3" s="110" t="s">
        <v>1</v>
      </c>
      <c r="B3" s="111" t="s">
        <v>2</v>
      </c>
      <c r="C3" s="111" t="s">
        <v>3</v>
      </c>
      <c r="D3" s="112" t="s">
        <v>4</v>
      </c>
      <c r="E3" s="112" t="s">
        <v>5</v>
      </c>
      <c r="F3" s="113" t="s">
        <v>6</v>
      </c>
      <c r="G3" s="114" t="s">
        <v>7</v>
      </c>
      <c r="H3" s="115"/>
      <c r="I3" s="115"/>
      <c r="J3" s="115"/>
      <c r="K3" s="2" t="s">
        <v>8</v>
      </c>
    </row>
    <row r="4" s="2" customFormat="1" ht="23.25" customHeight="1" spans="1:10">
      <c r="A4" s="15"/>
      <c r="B4" s="16"/>
      <c r="C4" s="16"/>
      <c r="D4" s="16"/>
      <c r="E4" s="16"/>
      <c r="F4" s="116"/>
      <c r="G4" s="117">
        <v>1</v>
      </c>
      <c r="H4" s="117">
        <v>2</v>
      </c>
      <c r="I4" s="117">
        <v>3</v>
      </c>
      <c r="J4" s="117">
        <v>4</v>
      </c>
    </row>
    <row r="5" s="103" customFormat="1" ht="15.75" spans="1:10">
      <c r="A5" s="17" t="s">
        <v>9</v>
      </c>
      <c r="B5" s="18"/>
      <c r="C5" s="18"/>
      <c r="D5" s="18"/>
      <c r="E5" s="18"/>
      <c r="F5" s="18"/>
      <c r="G5" s="18"/>
      <c r="H5" s="18"/>
      <c r="I5" s="18"/>
      <c r="J5" s="18"/>
    </row>
    <row r="6" s="103" customFormat="1" spans="1:13">
      <c r="A6" s="44" t="s">
        <v>10</v>
      </c>
      <c r="B6" s="118" t="s">
        <v>11</v>
      </c>
      <c r="C6" s="118" t="s">
        <v>12</v>
      </c>
      <c r="D6" s="118" t="str">
        <f>"0,6885"</f>
        <v>0,6885</v>
      </c>
      <c r="E6" s="119" t="s">
        <v>13</v>
      </c>
      <c r="F6" s="119" t="s">
        <v>14</v>
      </c>
      <c r="G6" s="118" t="s">
        <v>60</v>
      </c>
      <c r="H6" s="27" t="s">
        <v>61</v>
      </c>
      <c r="I6" s="27"/>
      <c r="J6" s="27"/>
      <c r="K6" s="118" t="s">
        <v>62</v>
      </c>
      <c r="L6" s="118" t="s">
        <v>63</v>
      </c>
      <c r="M6" s="118"/>
    </row>
    <row r="7" s="103" customFormat="1" spans="1:13">
      <c r="A7" s="51" t="s">
        <v>10</v>
      </c>
      <c r="B7" s="120" t="s">
        <v>20</v>
      </c>
      <c r="C7" s="120" t="s">
        <v>12</v>
      </c>
      <c r="D7" s="120" t="str">
        <f>"0,6885"</f>
        <v>0,6885</v>
      </c>
      <c r="E7" s="121" t="s">
        <v>13</v>
      </c>
      <c r="F7" s="121" t="s">
        <v>14</v>
      </c>
      <c r="G7" s="120" t="s">
        <v>60</v>
      </c>
      <c r="H7" s="30" t="s">
        <v>61</v>
      </c>
      <c r="I7" s="30"/>
      <c r="J7" s="30"/>
      <c r="K7" s="120" t="s">
        <v>62</v>
      </c>
      <c r="L7" s="120" t="s">
        <v>63</v>
      </c>
      <c r="M7" s="120"/>
    </row>
    <row r="8" spans="1:13">
      <c r="A8" s="46" t="s">
        <v>21</v>
      </c>
      <c r="B8" s="122" t="s">
        <v>22</v>
      </c>
      <c r="C8" s="122" t="s">
        <v>23</v>
      </c>
      <c r="D8" s="122" t="str">
        <f>"0,6998"</f>
        <v>0,6998</v>
      </c>
      <c r="E8" s="123" t="s">
        <v>13</v>
      </c>
      <c r="F8" s="123" t="s">
        <v>24</v>
      </c>
      <c r="G8" s="122" t="s">
        <v>64</v>
      </c>
      <c r="H8" s="122" t="s">
        <v>65</v>
      </c>
      <c r="I8" s="31" t="s">
        <v>66</v>
      </c>
      <c r="J8" s="31"/>
      <c r="K8" s="128" t="str">
        <f>"15,0"</f>
        <v>15,0</v>
      </c>
      <c r="L8" s="128" t="str">
        <f>"15,2196"</f>
        <v>15,2196</v>
      </c>
      <c r="M8" s="128"/>
    </row>
    <row r="10" ht="15.75" spans="5:5">
      <c r="E10" s="32" t="s">
        <v>28</v>
      </c>
    </row>
    <row r="11" ht="15.75" spans="5:5">
      <c r="E11" s="32" t="s">
        <v>29</v>
      </c>
    </row>
    <row r="12" ht="15.75" spans="5:5">
      <c r="E12" s="32" t="s">
        <v>30</v>
      </c>
    </row>
    <row r="13" spans="5:5">
      <c r="E13" s="104" t="s">
        <v>31</v>
      </c>
    </row>
    <row r="14" spans="5:5">
      <c r="E14" s="104" t="s">
        <v>32</v>
      </c>
    </row>
    <row r="15" spans="5:5">
      <c r="E15" s="104" t="s">
        <v>33</v>
      </c>
    </row>
    <row r="18" ht="18.75" spans="1:2">
      <c r="A18" s="124" t="s">
        <v>34</v>
      </c>
      <c r="B18" s="34"/>
    </row>
    <row r="19" ht="15.75" spans="1:2">
      <c r="A19" s="125" t="s">
        <v>35</v>
      </c>
      <c r="B19" s="23"/>
    </row>
    <row r="20" ht="15" spans="1:2">
      <c r="A20" s="126"/>
      <c r="B20" s="37" t="s">
        <v>36</v>
      </c>
    </row>
    <row r="21" ht="14.25" spans="1:5">
      <c r="A21" s="38" t="s">
        <v>1</v>
      </c>
      <c r="B21" s="38" t="s">
        <v>37</v>
      </c>
      <c r="C21" s="38" t="s">
        <v>38</v>
      </c>
      <c r="D21" s="38" t="s">
        <v>39</v>
      </c>
      <c r="E21" s="38" t="s">
        <v>4</v>
      </c>
    </row>
    <row r="22" spans="1:5">
      <c r="A22" s="127" t="s">
        <v>40</v>
      </c>
      <c r="B22" s="103" t="s">
        <v>36</v>
      </c>
      <c r="C22" s="103" t="s">
        <v>41</v>
      </c>
      <c r="D22" s="103" t="s">
        <v>60</v>
      </c>
      <c r="E22" s="5" t="s">
        <v>67</v>
      </c>
    </row>
    <row r="24" ht="15" spans="1:2">
      <c r="A24" s="126"/>
      <c r="B24" s="37" t="s">
        <v>43</v>
      </c>
    </row>
    <row r="25" ht="14.25" spans="1:5">
      <c r="A25" s="38" t="s">
        <v>1</v>
      </c>
      <c r="B25" s="38" t="s">
        <v>37</v>
      </c>
      <c r="C25" s="38" t="s">
        <v>38</v>
      </c>
      <c r="D25" s="38" t="s">
        <v>39</v>
      </c>
      <c r="E25" s="38" t="s">
        <v>4</v>
      </c>
    </row>
    <row r="26" spans="1:5">
      <c r="A26" s="127" t="s">
        <v>40</v>
      </c>
      <c r="B26" s="103" t="s">
        <v>43</v>
      </c>
      <c r="C26" s="103" t="s">
        <v>41</v>
      </c>
      <c r="D26" s="103" t="s">
        <v>60</v>
      </c>
      <c r="E26" s="5" t="s">
        <v>67</v>
      </c>
    </row>
    <row r="28" ht="15" spans="1:2">
      <c r="A28" s="126"/>
      <c r="B28" s="37" t="s">
        <v>44</v>
      </c>
    </row>
    <row r="29" ht="14.25" spans="1:5">
      <c r="A29" s="38" t="s">
        <v>1</v>
      </c>
      <c r="B29" s="38" t="s">
        <v>37</v>
      </c>
      <c r="C29" s="38" t="s">
        <v>38</v>
      </c>
      <c r="D29" s="38" t="s">
        <v>39</v>
      </c>
      <c r="E29" s="38" t="s">
        <v>4</v>
      </c>
    </row>
    <row r="30" spans="1:5">
      <c r="A30" s="127" t="s">
        <v>45</v>
      </c>
      <c r="B30" s="103" t="s">
        <v>46</v>
      </c>
      <c r="C30" s="103" t="s">
        <v>41</v>
      </c>
      <c r="D30" s="103" t="s">
        <v>65</v>
      </c>
      <c r="E30" s="5" t="s">
        <v>68</v>
      </c>
    </row>
  </sheetData>
  <mergeCells count="9">
    <mergeCell ref="G3:J3"/>
    <mergeCell ref="A5:J5"/>
    <mergeCell ref="A3:A4"/>
    <mergeCell ref="B3:B4"/>
    <mergeCell ref="C3:C4"/>
    <mergeCell ref="D3:D4"/>
    <mergeCell ref="E3:E4"/>
    <mergeCell ref="F3:F4"/>
    <mergeCell ref="A1:J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A1" sqref="A1:J2"/>
    </sheetView>
  </sheetViews>
  <sheetFormatPr defaultColWidth="9.1047619047619" defaultRowHeight="12.75"/>
  <cols>
    <col min="1" max="1" width="28.552380952381" style="5" customWidth="1"/>
    <col min="2" max="2" width="24" style="103" customWidth="1"/>
    <col min="3" max="3" width="7.55238095238095" style="103" customWidth="1"/>
    <col min="4" max="4" width="6.55238095238095" style="103" customWidth="1"/>
    <col min="5" max="5" width="18.4380952380952" style="104" customWidth="1"/>
    <col min="6" max="6" width="26.4380952380952" style="104" customWidth="1"/>
    <col min="7" max="10" width="5.55238095238095" style="103" customWidth="1"/>
    <col min="11" max="11" width="7" style="105" customWidth="1"/>
    <col min="12" max="12" width="10" style="105" customWidth="1"/>
    <col min="13" max="16384" width="9.1047619047619" style="105"/>
  </cols>
  <sheetData>
    <row r="1" ht="28.95" customHeight="1" spans="1:10">
      <c r="A1" s="106" t="s">
        <v>69</v>
      </c>
      <c r="B1" s="107"/>
      <c r="C1" s="107"/>
      <c r="D1" s="107"/>
      <c r="E1" s="107"/>
      <c r="F1" s="107"/>
      <c r="G1" s="107"/>
      <c r="H1" s="107"/>
      <c r="I1" s="107"/>
      <c r="J1" s="107"/>
    </row>
    <row r="2" ht="61.95" customHeight="1" spans="1:10">
      <c r="A2" s="108"/>
      <c r="B2" s="109"/>
      <c r="C2" s="109"/>
      <c r="D2" s="109"/>
      <c r="E2" s="109"/>
      <c r="F2" s="109"/>
      <c r="G2" s="109"/>
      <c r="H2" s="109"/>
      <c r="I2" s="109"/>
      <c r="J2" s="109"/>
    </row>
    <row r="3" s="2" customFormat="1" customHeight="1" spans="1:11">
      <c r="A3" s="110" t="s">
        <v>1</v>
      </c>
      <c r="B3" s="111" t="s">
        <v>2</v>
      </c>
      <c r="C3" s="111" t="s">
        <v>3</v>
      </c>
      <c r="D3" s="112" t="s">
        <v>4</v>
      </c>
      <c r="E3" s="112" t="s">
        <v>5</v>
      </c>
      <c r="F3" s="113" t="s">
        <v>6</v>
      </c>
      <c r="G3" s="114" t="s">
        <v>7</v>
      </c>
      <c r="H3" s="115"/>
      <c r="I3" s="115"/>
      <c r="J3" s="115"/>
      <c r="K3" s="2" t="s">
        <v>8</v>
      </c>
    </row>
    <row r="4" s="2" customFormat="1" ht="23.25" customHeight="1" spans="1:10">
      <c r="A4" s="15"/>
      <c r="B4" s="16"/>
      <c r="C4" s="16"/>
      <c r="D4" s="16"/>
      <c r="E4" s="16"/>
      <c r="F4" s="116"/>
      <c r="G4" s="117">
        <v>1</v>
      </c>
      <c r="H4" s="117">
        <v>2</v>
      </c>
      <c r="I4" s="117">
        <v>3</v>
      </c>
      <c r="J4" s="117">
        <v>4</v>
      </c>
    </row>
    <row r="5" s="103" customFormat="1" ht="15.75" spans="1:10">
      <c r="A5" s="17" t="s">
        <v>70</v>
      </c>
      <c r="B5" s="18"/>
      <c r="C5" s="18"/>
      <c r="D5" s="18"/>
      <c r="E5" s="18"/>
      <c r="F5" s="18"/>
      <c r="G5" s="18"/>
      <c r="H5" s="18"/>
      <c r="I5" s="18"/>
      <c r="J5" s="18"/>
    </row>
    <row r="6" s="103" customFormat="1" spans="1:13">
      <c r="A6" s="49" t="s">
        <v>71</v>
      </c>
      <c r="B6" s="130" t="s">
        <v>72</v>
      </c>
      <c r="C6" s="130" t="s">
        <v>73</v>
      </c>
      <c r="D6" s="130" t="str">
        <f>"1,1076"</f>
        <v>1,1076</v>
      </c>
      <c r="E6" s="131" t="s">
        <v>13</v>
      </c>
      <c r="F6" s="131" t="s">
        <v>14</v>
      </c>
      <c r="G6" s="130" t="s">
        <v>74</v>
      </c>
      <c r="H6" s="130" t="s">
        <v>17</v>
      </c>
      <c r="I6" s="48"/>
      <c r="J6" s="48"/>
      <c r="K6" s="130" t="s">
        <v>75</v>
      </c>
      <c r="L6" s="130" t="s">
        <v>76</v>
      </c>
      <c r="M6" s="130"/>
    </row>
    <row r="7" s="103" customFormat="1" spans="1:6">
      <c r="A7" s="5"/>
      <c r="E7" s="104"/>
      <c r="F7" s="104"/>
    </row>
    <row r="8" ht="15.75" spans="1:10">
      <c r="A8" s="23" t="s">
        <v>77</v>
      </c>
      <c r="B8" s="24"/>
      <c r="C8" s="24"/>
      <c r="D8" s="24"/>
      <c r="E8" s="24"/>
      <c r="F8" s="24"/>
      <c r="G8" s="24"/>
      <c r="H8" s="24"/>
      <c r="I8" s="24"/>
      <c r="J8" s="24"/>
    </row>
    <row r="9" spans="1:13">
      <c r="A9" s="49" t="s">
        <v>78</v>
      </c>
      <c r="B9" s="130" t="s">
        <v>79</v>
      </c>
      <c r="C9" s="130" t="s">
        <v>80</v>
      </c>
      <c r="D9" s="130" t="str">
        <f>"0,9277"</f>
        <v>0,9277</v>
      </c>
      <c r="E9" s="131" t="s">
        <v>81</v>
      </c>
      <c r="F9" s="131" t="s">
        <v>82</v>
      </c>
      <c r="G9" s="130" t="s">
        <v>83</v>
      </c>
      <c r="H9" s="130" t="s">
        <v>25</v>
      </c>
      <c r="I9" s="130" t="s">
        <v>27</v>
      </c>
      <c r="J9" s="48" t="s">
        <v>74</v>
      </c>
      <c r="K9" s="132" t="str">
        <f>"70,0"</f>
        <v>70,0</v>
      </c>
      <c r="L9" s="132" t="str">
        <f>"64,9425"</f>
        <v>64,9425</v>
      </c>
      <c r="M9" s="132"/>
    </row>
    <row r="11" ht="15.75" spans="1:10">
      <c r="A11" s="23" t="s">
        <v>9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3">
      <c r="A12" s="49" t="s">
        <v>84</v>
      </c>
      <c r="B12" s="130" t="s">
        <v>85</v>
      </c>
      <c r="C12" s="130" t="s">
        <v>86</v>
      </c>
      <c r="D12" s="130" t="str">
        <f>"0,8530"</f>
        <v>0,8530</v>
      </c>
      <c r="E12" s="131" t="s">
        <v>87</v>
      </c>
      <c r="F12" s="131" t="s">
        <v>14</v>
      </c>
      <c r="G12" s="130" t="s">
        <v>74</v>
      </c>
      <c r="H12" s="48" t="s">
        <v>17</v>
      </c>
      <c r="I12" s="48"/>
      <c r="J12" s="48"/>
      <c r="K12" s="132" t="str">
        <f>"80,0"</f>
        <v>80,0</v>
      </c>
      <c r="L12" s="132" t="str">
        <f>"68,9264"</f>
        <v>68,9264</v>
      </c>
      <c r="M12" s="132"/>
    </row>
    <row r="14" ht="15.75" spans="1:10">
      <c r="A14" s="23" t="s">
        <v>9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3">
      <c r="A15" s="49" t="s">
        <v>21</v>
      </c>
      <c r="B15" s="130" t="s">
        <v>22</v>
      </c>
      <c r="C15" s="130" t="s">
        <v>23</v>
      </c>
      <c r="D15" s="130" t="str">
        <f>"0,6998"</f>
        <v>0,6998</v>
      </c>
      <c r="E15" s="131" t="s">
        <v>13</v>
      </c>
      <c r="F15" s="131" t="s">
        <v>24</v>
      </c>
      <c r="G15" s="130" t="s">
        <v>88</v>
      </c>
      <c r="H15" s="130" t="s">
        <v>89</v>
      </c>
      <c r="I15" s="130" t="s">
        <v>90</v>
      </c>
      <c r="J15" s="48" t="s">
        <v>91</v>
      </c>
      <c r="K15" s="132" t="str">
        <f>"125,0"</f>
        <v>125,0</v>
      </c>
      <c r="L15" s="132" t="str">
        <f>"126,8297"</f>
        <v>126,8297</v>
      </c>
      <c r="M15" s="132"/>
    </row>
    <row r="17" ht="15.75" spans="5:5">
      <c r="E17" s="32" t="s">
        <v>28</v>
      </c>
    </row>
    <row r="18" ht="15.75" spans="5:5">
      <c r="E18" s="32" t="s">
        <v>29</v>
      </c>
    </row>
    <row r="19" ht="15.75" spans="5:5">
      <c r="E19" s="32" t="s">
        <v>30</v>
      </c>
    </row>
    <row r="20" spans="5:5">
      <c r="E20" s="104" t="s">
        <v>31</v>
      </c>
    </row>
    <row r="21" spans="5:5">
      <c r="E21" s="104" t="s">
        <v>32</v>
      </c>
    </row>
    <row r="22" spans="5:5">
      <c r="E22" s="104" t="s">
        <v>33</v>
      </c>
    </row>
    <row r="25" ht="18.75" spans="1:2">
      <c r="A25" s="124" t="s">
        <v>34</v>
      </c>
      <c r="B25" s="34"/>
    </row>
    <row r="26" ht="15.75" spans="1:2">
      <c r="A26" s="125" t="s">
        <v>92</v>
      </c>
      <c r="B26" s="23"/>
    </row>
    <row r="27" ht="15" spans="1:2">
      <c r="A27" s="126"/>
      <c r="B27" s="37" t="s">
        <v>43</v>
      </c>
    </row>
    <row r="28" ht="14.25" spans="1:5">
      <c r="A28" s="38" t="s">
        <v>1</v>
      </c>
      <c r="B28" s="38" t="s">
        <v>37</v>
      </c>
      <c r="C28" s="38" t="s">
        <v>38</v>
      </c>
      <c r="D28" s="38" t="s">
        <v>39</v>
      </c>
      <c r="E28" s="38" t="s">
        <v>4</v>
      </c>
    </row>
    <row r="29" spans="1:5">
      <c r="A29" s="127" t="s">
        <v>93</v>
      </c>
      <c r="B29" s="103" t="s">
        <v>43</v>
      </c>
      <c r="C29" s="103" t="s">
        <v>94</v>
      </c>
      <c r="D29" s="103" t="s">
        <v>17</v>
      </c>
      <c r="E29" s="5" t="s">
        <v>95</v>
      </c>
    </row>
    <row r="31" ht="15" spans="1:2">
      <c r="A31" s="126"/>
      <c r="B31" s="37" t="s">
        <v>44</v>
      </c>
    </row>
    <row r="32" ht="14.25" spans="1:5">
      <c r="A32" s="38" t="s">
        <v>1</v>
      </c>
      <c r="B32" s="38" t="s">
        <v>37</v>
      </c>
      <c r="C32" s="38" t="s">
        <v>38</v>
      </c>
      <c r="D32" s="38" t="s">
        <v>39</v>
      </c>
      <c r="E32" s="38" t="s">
        <v>4</v>
      </c>
    </row>
    <row r="33" spans="1:5">
      <c r="A33" s="127" t="s">
        <v>96</v>
      </c>
      <c r="B33" s="103" t="s">
        <v>46</v>
      </c>
      <c r="C33" s="103" t="s">
        <v>41</v>
      </c>
      <c r="D33" s="103" t="s">
        <v>74</v>
      </c>
      <c r="E33" s="5" t="s">
        <v>97</v>
      </c>
    </row>
    <row r="34" spans="1:5">
      <c r="A34" s="127" t="s">
        <v>98</v>
      </c>
      <c r="B34" s="103" t="s">
        <v>46</v>
      </c>
      <c r="C34" s="103" t="s">
        <v>99</v>
      </c>
      <c r="D34" s="103" t="s">
        <v>27</v>
      </c>
      <c r="E34" s="5" t="s">
        <v>100</v>
      </c>
    </row>
    <row r="37" ht="15.75" spans="1:2">
      <c r="A37" s="125" t="s">
        <v>35</v>
      </c>
      <c r="B37" s="23"/>
    </row>
    <row r="38" ht="15" spans="1:2">
      <c r="A38" s="126"/>
      <c r="B38" s="37" t="s">
        <v>44</v>
      </c>
    </row>
    <row r="39" ht="14.25" spans="1:5">
      <c r="A39" s="38" t="s">
        <v>1</v>
      </c>
      <c r="B39" s="38" t="s">
        <v>37</v>
      </c>
      <c r="C39" s="38" t="s">
        <v>38</v>
      </c>
      <c r="D39" s="38" t="s">
        <v>39</v>
      </c>
      <c r="E39" s="38" t="s">
        <v>4</v>
      </c>
    </row>
    <row r="40" spans="1:5">
      <c r="A40" s="127" t="s">
        <v>45</v>
      </c>
      <c r="B40" s="103" t="s">
        <v>46</v>
      </c>
      <c r="C40" s="103" t="s">
        <v>41</v>
      </c>
      <c r="D40" s="103" t="s">
        <v>90</v>
      </c>
      <c r="E40" s="5" t="s">
        <v>101</v>
      </c>
    </row>
  </sheetData>
  <mergeCells count="12">
    <mergeCell ref="G3:J3"/>
    <mergeCell ref="A5:J5"/>
    <mergeCell ref="A8:J8"/>
    <mergeCell ref="A11:J11"/>
    <mergeCell ref="A14:J14"/>
    <mergeCell ref="A3:A4"/>
    <mergeCell ref="B3:B4"/>
    <mergeCell ref="C3:C4"/>
    <mergeCell ref="D3:D4"/>
    <mergeCell ref="E3:E4"/>
    <mergeCell ref="F3:F4"/>
    <mergeCell ref="A1:J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opLeftCell="A10" workbookViewId="0">
      <selection activeCell="A1" sqref="A1:Y2"/>
    </sheetView>
  </sheetViews>
  <sheetFormatPr defaultColWidth="9.1047619047619" defaultRowHeight="12.75"/>
  <cols>
    <col min="1" max="1" width="24.8857142857143" style="4" customWidth="1"/>
    <col min="2" max="2" width="26.552380952381" style="3" customWidth="1"/>
    <col min="3" max="3" width="7.55238095238095" style="3" customWidth="1"/>
    <col min="4" max="4" width="6.55238095238095" style="3" customWidth="1"/>
    <col min="5" max="5" width="17" style="4" customWidth="1"/>
    <col min="6" max="6" width="26.552380952381" style="4" customWidth="1"/>
    <col min="7" max="9" width="5.55238095238095" style="3" customWidth="1"/>
    <col min="10" max="10" width="4.78095238095238" style="3" customWidth="1"/>
    <col min="11" max="11" width="5.78095238095238" style="5" customWidth="1"/>
    <col min="12" max="12" width="8.55238095238095" style="6" customWidth="1"/>
    <col min="13" max="13" width="7.1047619047619" style="4" customWidth="1"/>
    <col min="14" max="16384" width="9.1047619047619" style="7"/>
  </cols>
  <sheetData>
    <row r="1" s="1" customFormat="1" ht="28.95" customHeight="1" spans="1:13">
      <c r="A1" s="8" t="s">
        <v>102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/>
    </row>
    <row r="2" s="1" customFormat="1" ht="61.95" customHeight="1" spans="1:1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1"/>
    </row>
    <row r="3" s="2" customFormat="1" customHeight="1" spans="1:13">
      <c r="A3" s="12" t="s">
        <v>1</v>
      </c>
      <c r="B3" s="13" t="s">
        <v>103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104</v>
      </c>
      <c r="H3" s="14"/>
      <c r="I3" s="14"/>
      <c r="J3" s="14"/>
      <c r="K3" s="14" t="s">
        <v>8</v>
      </c>
      <c r="L3" s="14" t="s">
        <v>105</v>
      </c>
      <c r="M3" s="42" t="s">
        <v>106</v>
      </c>
    </row>
    <row r="4" s="2" customFormat="1" ht="23.25" customHeight="1" spans="1:13">
      <c r="A4" s="15"/>
      <c r="B4" s="16"/>
      <c r="C4" s="16"/>
      <c r="D4" s="16"/>
      <c r="E4" s="16"/>
      <c r="F4" s="16"/>
      <c r="G4" s="16">
        <v>1</v>
      </c>
      <c r="H4" s="16">
        <v>2</v>
      </c>
      <c r="I4" s="16">
        <v>3</v>
      </c>
      <c r="J4" s="16" t="s">
        <v>107</v>
      </c>
      <c r="K4" s="16"/>
      <c r="L4" s="16"/>
      <c r="M4" s="43"/>
    </row>
    <row r="5" s="3" customFormat="1" ht="15.75" spans="1:13">
      <c r="A5" s="17" t="s">
        <v>108</v>
      </c>
      <c r="B5" s="18"/>
      <c r="C5" s="18"/>
      <c r="D5" s="18"/>
      <c r="E5" s="18"/>
      <c r="F5" s="18"/>
      <c r="G5" s="18"/>
      <c r="H5" s="18"/>
      <c r="I5" s="18"/>
      <c r="J5" s="18"/>
      <c r="K5" s="5"/>
      <c r="L5" s="6"/>
      <c r="M5" s="4"/>
    </row>
    <row r="6" s="3" customFormat="1" spans="1:13">
      <c r="A6" s="25" t="s">
        <v>109</v>
      </c>
      <c r="B6" s="26" t="s">
        <v>110</v>
      </c>
      <c r="C6" s="26" t="s">
        <v>111</v>
      </c>
      <c r="D6" s="26" t="str">
        <f>"0,8421"</f>
        <v>0,8421</v>
      </c>
      <c r="E6" s="25" t="s">
        <v>13</v>
      </c>
      <c r="F6" s="25" t="s">
        <v>112</v>
      </c>
      <c r="G6" s="26" t="s">
        <v>113</v>
      </c>
      <c r="H6" s="26" t="s">
        <v>114</v>
      </c>
      <c r="I6" s="26" t="s">
        <v>115</v>
      </c>
      <c r="J6" s="48"/>
      <c r="K6" s="49" t="str">
        <f>"117,5"</f>
        <v>117,5</v>
      </c>
      <c r="L6" s="50" t="str">
        <f>"98,9526"</f>
        <v>98,9526</v>
      </c>
      <c r="M6" s="25"/>
    </row>
    <row r="7" s="3" customFormat="1" spans="1:13">
      <c r="A7" s="4"/>
      <c r="E7" s="4"/>
      <c r="F7" s="4"/>
      <c r="K7" s="5"/>
      <c r="L7" s="6"/>
      <c r="M7" s="4"/>
    </row>
    <row r="8" ht="15.75" spans="1:10">
      <c r="A8" s="23" t="s">
        <v>116</v>
      </c>
      <c r="B8" s="24"/>
      <c r="C8" s="24"/>
      <c r="D8" s="24"/>
      <c r="E8" s="24"/>
      <c r="F8" s="24"/>
      <c r="G8" s="24"/>
      <c r="H8" s="24"/>
      <c r="I8" s="24"/>
      <c r="J8" s="24"/>
    </row>
    <row r="9" spans="1:13">
      <c r="A9" s="19" t="s">
        <v>117</v>
      </c>
      <c r="B9" s="20" t="s">
        <v>118</v>
      </c>
      <c r="C9" s="20" t="s">
        <v>119</v>
      </c>
      <c r="D9" s="20" t="str">
        <f>"0,5678"</f>
        <v>0,5678</v>
      </c>
      <c r="E9" s="19" t="s">
        <v>13</v>
      </c>
      <c r="F9" s="19" t="s">
        <v>120</v>
      </c>
      <c r="G9" s="27" t="s">
        <v>121</v>
      </c>
      <c r="H9" s="20" t="s">
        <v>121</v>
      </c>
      <c r="I9" s="20" t="s">
        <v>122</v>
      </c>
      <c r="J9" s="27"/>
      <c r="K9" s="44" t="str">
        <f>"285,0"</f>
        <v>285,0</v>
      </c>
      <c r="L9" s="45" t="str">
        <f>"161,8230"</f>
        <v>161,8230</v>
      </c>
      <c r="M9" s="19"/>
    </row>
    <row r="10" spans="1:13">
      <c r="A10" s="21" t="s">
        <v>117</v>
      </c>
      <c r="B10" s="22" t="s">
        <v>123</v>
      </c>
      <c r="C10" s="22" t="s">
        <v>119</v>
      </c>
      <c r="D10" s="22" t="str">
        <f>"0,5678"</f>
        <v>0,5678</v>
      </c>
      <c r="E10" s="21" t="s">
        <v>13</v>
      </c>
      <c r="F10" s="21" t="s">
        <v>120</v>
      </c>
      <c r="G10" s="31" t="s">
        <v>121</v>
      </c>
      <c r="H10" s="22" t="s">
        <v>121</v>
      </c>
      <c r="I10" s="22" t="s">
        <v>122</v>
      </c>
      <c r="J10" s="31"/>
      <c r="K10" s="46" t="str">
        <f>"285,0"</f>
        <v>285,0</v>
      </c>
      <c r="L10" s="47" t="str">
        <f>"170,7233"</f>
        <v>170,7233</v>
      </c>
      <c r="M10" s="21"/>
    </row>
    <row r="12" ht="15.75" spans="5:5">
      <c r="E12" s="32" t="s">
        <v>28</v>
      </c>
    </row>
    <row r="13" ht="15.75" spans="5:5">
      <c r="E13" s="32" t="s">
        <v>29</v>
      </c>
    </row>
    <row r="14" ht="15.75" spans="5:5">
      <c r="E14" s="32" t="s">
        <v>30</v>
      </c>
    </row>
    <row r="15" spans="5:5">
      <c r="E15" s="4" t="s">
        <v>31</v>
      </c>
    </row>
    <row r="16" spans="5:5">
      <c r="E16" s="4" t="s">
        <v>32</v>
      </c>
    </row>
    <row r="17" spans="5:5">
      <c r="E17" s="4" t="s">
        <v>33</v>
      </c>
    </row>
    <row r="20" ht="18.75" spans="1:2">
      <c r="A20" s="33" t="s">
        <v>34</v>
      </c>
      <c r="B20" s="34"/>
    </row>
    <row r="21" ht="15.75" spans="1:2">
      <c r="A21" s="35" t="s">
        <v>92</v>
      </c>
      <c r="B21" s="23"/>
    </row>
    <row r="22" ht="15" spans="1:2">
      <c r="A22" s="36"/>
      <c r="B22" s="37" t="s">
        <v>43</v>
      </c>
    </row>
    <row r="23" ht="14.25" spans="1:5">
      <c r="A23" s="38" t="s">
        <v>1</v>
      </c>
      <c r="B23" s="38" t="s">
        <v>37</v>
      </c>
      <c r="C23" s="38" t="s">
        <v>38</v>
      </c>
      <c r="D23" s="38" t="s">
        <v>39</v>
      </c>
      <c r="E23" s="38" t="s">
        <v>4</v>
      </c>
    </row>
    <row r="24" spans="1:5">
      <c r="A24" s="39" t="s">
        <v>124</v>
      </c>
      <c r="B24" s="3" t="s">
        <v>43</v>
      </c>
      <c r="C24" s="3" t="s">
        <v>125</v>
      </c>
      <c r="D24" s="3" t="s">
        <v>115</v>
      </c>
      <c r="E24" s="5" t="s">
        <v>126</v>
      </c>
    </row>
    <row r="27" ht="15.75" spans="1:2">
      <c r="A27" s="35" t="s">
        <v>35</v>
      </c>
      <c r="B27" s="23"/>
    </row>
    <row r="28" ht="15" spans="1:2">
      <c r="A28" s="36"/>
      <c r="B28" s="37" t="s">
        <v>43</v>
      </c>
    </row>
    <row r="29" ht="14.25" spans="1:5">
      <c r="A29" s="38" t="s">
        <v>1</v>
      </c>
      <c r="B29" s="38" t="s">
        <v>37</v>
      </c>
      <c r="C29" s="38" t="s">
        <v>38</v>
      </c>
      <c r="D29" s="38" t="s">
        <v>39</v>
      </c>
      <c r="E29" s="38" t="s">
        <v>4</v>
      </c>
    </row>
    <row r="30" spans="1:5">
      <c r="A30" s="39" t="s">
        <v>127</v>
      </c>
      <c r="B30" s="3" t="s">
        <v>43</v>
      </c>
      <c r="C30" s="3" t="s">
        <v>128</v>
      </c>
      <c r="D30" s="3" t="s">
        <v>122</v>
      </c>
      <c r="E30" s="5" t="s">
        <v>129</v>
      </c>
    </row>
    <row r="32" ht="15" spans="1:2">
      <c r="A32" s="36"/>
      <c r="B32" s="37" t="s">
        <v>130</v>
      </c>
    </row>
    <row r="33" ht="14.25" spans="1:5">
      <c r="A33" s="38" t="s">
        <v>1</v>
      </c>
      <c r="B33" s="38" t="s">
        <v>37</v>
      </c>
      <c r="C33" s="38" t="s">
        <v>38</v>
      </c>
      <c r="D33" s="38" t="s">
        <v>39</v>
      </c>
      <c r="E33" s="38" t="s">
        <v>4</v>
      </c>
    </row>
    <row r="34" spans="1:5">
      <c r="A34" s="39" t="s">
        <v>127</v>
      </c>
      <c r="B34" s="3" t="s">
        <v>131</v>
      </c>
      <c r="C34" s="3" t="s">
        <v>128</v>
      </c>
      <c r="D34" s="3" t="s">
        <v>122</v>
      </c>
      <c r="E34" s="5" t="s">
        <v>132</v>
      </c>
    </row>
  </sheetData>
  <mergeCells count="13">
    <mergeCell ref="G3:J3"/>
    <mergeCell ref="A5:J5"/>
    <mergeCell ref="A8:J8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A1:M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Лист1</vt:lpstr>
      <vt:lpstr>Лист2</vt:lpstr>
      <vt:lpstr>Лист3</vt:lpstr>
      <vt:lpstr>«Excalibur»</vt:lpstr>
      <vt:lpstr>«Rus bullet»</vt:lpstr>
      <vt:lpstr>«Rus brick»</vt:lpstr>
      <vt:lpstr>«Rus HUB»</vt:lpstr>
      <vt:lpstr>«Rus Axle»</vt:lpstr>
      <vt:lpstr>AWPC MP soft eq. BP</vt:lpstr>
      <vt:lpstr>«Russian Roullette»</vt:lpstr>
      <vt:lpstr>AWPC MP soft eq. BP (2)</vt:lpstr>
      <vt:lpstr>MR BP 1 bw. AWPC</vt:lpstr>
      <vt:lpstr>MR BP 1 bw. WPC</vt:lpstr>
      <vt:lpstr>Лист34</vt:lpstr>
      <vt:lpstr>WPA RAW PP</vt:lpstr>
      <vt:lpstr>AWPA RAW PP</vt:lpstr>
      <vt:lpstr>WPA SC</vt:lpstr>
      <vt:lpstr>AWPA SC</vt:lpstr>
      <vt:lpstr>WPA OB</vt:lpstr>
      <vt:lpstr>AWPA OB</vt:lpstr>
      <vt:lpstr>AWPA m.ply PL</vt:lpstr>
      <vt:lpstr>AWPA raw PL</vt:lpstr>
      <vt:lpstr>AWPA raw BP</vt:lpstr>
      <vt:lpstr>AWPA m.ply DL</vt:lpstr>
      <vt:lpstr>AWPA raw DL</vt:lpstr>
      <vt:lpstr>WPA raw PL</vt:lpstr>
      <vt:lpstr>WPA raw BP</vt:lpstr>
      <vt:lpstr>WPA m.ply DL</vt:lpstr>
      <vt:lpstr>WPA st.ply DL</vt:lpstr>
      <vt:lpstr>WPA raw DL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Oleg</cp:lastModifiedBy>
  <dcterms:created xsi:type="dcterms:W3CDTF">2006-09-16T00:00:00Z</dcterms:created>
  <dcterms:modified xsi:type="dcterms:W3CDTF">2021-09-09T06:36:35Z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08E5DE48C180424B81601CFEAA064CF6</vt:lpwstr>
  </property>
  <property fmtid="{D5CDD505-2E9C-101B-9397-08002B2CF9AE}" pid="3" name="KSOProductBuildVer">
    <vt:lpwstr>1049-11.2.0.10265</vt:lpwstr>
  </property>
</Properties>
</file>