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Ноябрь/"/>
    </mc:Choice>
  </mc:AlternateContent>
  <xr:revisionPtr revIDLastSave="0" documentId="13_ncr:1_{191CF3C3-66C5-154E-836D-8A1C63FC83FB}" xr6:coauthVersionLast="45" xr6:coauthVersionMax="45" xr10:uidLastSave="{00000000-0000-0000-0000-000000000000}"/>
  <bookViews>
    <workbookView xWindow="0" yWindow="460" windowWidth="28800" windowHeight="16140" firstSheet="6" activeTab="11" xr2:uid="{00000000-000D-0000-FFFF-FFFF00000000}"/>
  </bookViews>
  <sheets>
    <sheet name="WRPF ПЛ без экипировки ДК" sheetId="13" r:id="rId1"/>
    <sheet name="WRPF ПЛ без экипировки" sheetId="14" r:id="rId2"/>
    <sheet name="WRPF ПЛ в бинтах ДК" sheetId="15" r:id="rId3"/>
    <sheet name="WRPF ПЛ в бинтах" sheetId="16" r:id="rId4"/>
    <sheet name="WRPF Двоеборье без экип ДК" sheetId="5" r:id="rId5"/>
    <sheet name="WRPF Жим лежа без экип ДК" sheetId="10" r:id="rId6"/>
    <sheet name="WRPF Жим лежа без экип" sheetId="11" r:id="rId7"/>
    <sheet name="WEPF Жим многослой" sheetId="8" r:id="rId8"/>
    <sheet name="WEPF Жим софт однопетельная" sheetId="12" r:id="rId9"/>
    <sheet name="WEPF Жим софт многопетельная" sheetId="9" r:id="rId10"/>
    <sheet name="WRPF Тяга без экипировки ДК" sheetId="6" r:id="rId11"/>
    <sheet name="WRPF Тяга без экипировки" sheetId="7" r:id="rId12"/>
  </sheets>
  <calcPr calcId="0"/>
</workbook>
</file>

<file path=xl/calcChain.xml><?xml version="1.0" encoding="utf-8"?>
<calcChain xmlns="http://schemas.openxmlformats.org/spreadsheetml/2006/main">
  <c r="U24" i="16" l="1"/>
  <c r="U23" i="16"/>
  <c r="U22" i="16"/>
  <c r="T22" i="16"/>
  <c r="U19" i="16"/>
  <c r="U16" i="16"/>
  <c r="T16" i="16"/>
  <c r="U13" i="16"/>
  <c r="T13" i="16"/>
  <c r="U10" i="16"/>
  <c r="T10" i="16"/>
  <c r="U7" i="16"/>
  <c r="U6" i="16"/>
  <c r="T6" i="16"/>
  <c r="T25" i="15"/>
  <c r="S25" i="15"/>
  <c r="T22" i="15"/>
  <c r="S22" i="15"/>
  <c r="T19" i="15"/>
  <c r="S19" i="15"/>
  <c r="T16" i="15"/>
  <c r="T13" i="15"/>
  <c r="S13" i="15"/>
  <c r="T12" i="15"/>
  <c r="S12" i="15"/>
  <c r="T9" i="15"/>
  <c r="S9" i="15"/>
  <c r="T6" i="15"/>
  <c r="S6" i="15"/>
  <c r="T12" i="14"/>
  <c r="S12" i="14"/>
  <c r="T9" i="14"/>
  <c r="S9" i="14"/>
  <c r="T6" i="14"/>
  <c r="S6" i="14"/>
  <c r="T33" i="13"/>
  <c r="S33" i="13"/>
  <c r="T30" i="13"/>
  <c r="T29" i="13"/>
  <c r="S29" i="13"/>
  <c r="T28" i="13"/>
  <c r="S28" i="13"/>
  <c r="T27" i="13"/>
  <c r="S27" i="13"/>
  <c r="T26" i="13"/>
  <c r="S26" i="13"/>
  <c r="T25" i="13"/>
  <c r="S25" i="13"/>
  <c r="T24" i="13"/>
  <c r="S24" i="13"/>
  <c r="T21" i="13"/>
  <c r="S21" i="13"/>
  <c r="T18" i="13"/>
  <c r="S18" i="13"/>
  <c r="T17" i="13"/>
  <c r="S17" i="13"/>
  <c r="T14" i="13"/>
  <c r="S14" i="13"/>
  <c r="T13" i="13"/>
  <c r="S13" i="13"/>
  <c r="T10" i="13"/>
  <c r="S10" i="13"/>
  <c r="T9" i="13"/>
  <c r="S9" i="13"/>
  <c r="T6" i="13"/>
  <c r="S6" i="13"/>
  <c r="L7" i="12"/>
  <c r="K7" i="12"/>
  <c r="L6" i="12"/>
  <c r="K6" i="12"/>
  <c r="L66" i="11"/>
  <c r="K66" i="11"/>
  <c r="L63" i="11"/>
  <c r="K63" i="11"/>
  <c r="L62" i="11"/>
  <c r="K62" i="11"/>
  <c r="L61" i="11"/>
  <c r="K61" i="11"/>
  <c r="L60" i="11"/>
  <c r="K60" i="11"/>
  <c r="L57" i="11"/>
  <c r="K57" i="11"/>
  <c r="L56" i="11"/>
  <c r="K56" i="11"/>
  <c r="L55" i="11"/>
  <c r="K55" i="11"/>
  <c r="L54" i="11"/>
  <c r="K54" i="11"/>
  <c r="L53" i="11"/>
  <c r="K53" i="11"/>
  <c r="L50" i="11"/>
  <c r="K50" i="11"/>
  <c r="L49" i="11"/>
  <c r="K49" i="11"/>
  <c r="L48" i="11"/>
  <c r="K48" i="11"/>
  <c r="L47" i="11"/>
  <c r="K47" i="11"/>
  <c r="L46" i="11"/>
  <c r="K46" i="11"/>
  <c r="L43" i="11"/>
  <c r="K43" i="11"/>
  <c r="L42" i="11"/>
  <c r="K42" i="11"/>
  <c r="L41" i="11"/>
  <c r="K41" i="11"/>
  <c r="L40" i="11"/>
  <c r="K40" i="11"/>
  <c r="L39" i="11"/>
  <c r="K39" i="11"/>
  <c r="L38" i="11"/>
  <c r="K38" i="11"/>
  <c r="L37" i="11"/>
  <c r="K37" i="11"/>
  <c r="L34" i="11"/>
  <c r="K34" i="11"/>
  <c r="L31" i="11"/>
  <c r="K31" i="11"/>
  <c r="L30" i="11"/>
  <c r="K30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19" i="11"/>
  <c r="K19" i="11"/>
  <c r="L16" i="11"/>
  <c r="K16" i="11"/>
  <c r="L13" i="11"/>
  <c r="K13" i="11"/>
  <c r="L10" i="11"/>
  <c r="K10" i="11"/>
  <c r="L7" i="11"/>
  <c r="K7" i="11"/>
  <c r="L6" i="11"/>
  <c r="K6" i="11"/>
  <c r="L46" i="10"/>
  <c r="K46" i="10"/>
  <c r="L43" i="10"/>
  <c r="K43" i="10"/>
  <c r="L42" i="10"/>
  <c r="K42" i="10"/>
  <c r="L41" i="10"/>
  <c r="K41" i="10"/>
  <c r="L40" i="10"/>
  <c r="K40" i="10"/>
  <c r="L37" i="10"/>
  <c r="K37" i="10"/>
  <c r="L36" i="10"/>
  <c r="K36" i="10"/>
  <c r="L35" i="10"/>
  <c r="L34" i="10"/>
  <c r="K34" i="10"/>
  <c r="L33" i="10"/>
  <c r="K33" i="10"/>
  <c r="L30" i="10"/>
  <c r="K30" i="10"/>
  <c r="L29" i="10"/>
  <c r="K29" i="10"/>
  <c r="L28" i="10"/>
  <c r="K28" i="10"/>
  <c r="L27" i="10"/>
  <c r="K27" i="10"/>
  <c r="L24" i="10"/>
  <c r="K24" i="10"/>
  <c r="L23" i="10"/>
  <c r="K23" i="10"/>
  <c r="L22" i="10"/>
  <c r="K22" i="10"/>
  <c r="L19" i="10"/>
  <c r="K19" i="10"/>
  <c r="L18" i="10"/>
  <c r="K18" i="10"/>
  <c r="L15" i="10"/>
  <c r="K15" i="10"/>
  <c r="L14" i="10"/>
  <c r="K14" i="10"/>
  <c r="L11" i="10"/>
  <c r="K11" i="10"/>
  <c r="L10" i="10"/>
  <c r="K10" i="10"/>
  <c r="L7" i="10"/>
  <c r="K7" i="10"/>
  <c r="L6" i="10"/>
  <c r="K6" i="10"/>
  <c r="L6" i="9"/>
  <c r="K6" i="9"/>
  <c r="L6" i="8"/>
  <c r="L9" i="7"/>
  <c r="K9" i="7"/>
  <c r="L6" i="7"/>
  <c r="K6" i="7"/>
  <c r="K13" i="6"/>
  <c r="L10" i="6"/>
  <c r="L9" i="6"/>
  <c r="K9" i="6"/>
  <c r="L6" i="6"/>
  <c r="K6" i="6"/>
  <c r="P6" i="5"/>
  <c r="O6" i="5"/>
</calcChain>
</file>

<file path=xl/sharedStrings.xml><?xml version="1.0" encoding="utf-8"?>
<sst xmlns="http://schemas.openxmlformats.org/spreadsheetml/2006/main" count="1595" uniqueCount="525">
  <si>
    <t>ФИО</t>
  </si>
  <si>
    <t>Собственный 
вес</t>
  </si>
  <si>
    <t>Команда</t>
  </si>
  <si>
    <t>Город/Область</t>
  </si>
  <si>
    <t>Очки</t>
  </si>
  <si>
    <t>Тренер</t>
  </si>
  <si>
    <t>ВЕСОВАЯ КАТЕГОРИЯ   75</t>
  </si>
  <si>
    <t>1</t>
  </si>
  <si>
    <t xml:space="preserve">лично </t>
  </si>
  <si>
    <t>35,0</t>
  </si>
  <si>
    <t>ВЕСОВАЯ КАТЕГОРИЯ   67.5</t>
  </si>
  <si>
    <t>Валов Алексей</t>
  </si>
  <si>
    <t>64,90</t>
  </si>
  <si>
    <t xml:space="preserve">Киров/Кировская область </t>
  </si>
  <si>
    <t>65,0</t>
  </si>
  <si>
    <t>Прозоров Д.</t>
  </si>
  <si>
    <t>Шихалеев Александр</t>
  </si>
  <si>
    <t>Открытая (05.06.1986)/35</t>
  </si>
  <si>
    <t>73,40</t>
  </si>
  <si>
    <t xml:space="preserve">Омутнинск/Кировская область </t>
  </si>
  <si>
    <t>75,0</t>
  </si>
  <si>
    <t>20,0</t>
  </si>
  <si>
    <t>ВЕСОВАЯ КАТЕГОРИЯ   82.5</t>
  </si>
  <si>
    <t>Плюснин Олег</t>
  </si>
  <si>
    <t>Открытая (22.03.1963)/58</t>
  </si>
  <si>
    <t>78,50</t>
  </si>
  <si>
    <t>80,0</t>
  </si>
  <si>
    <t>ВЕСОВАЯ КАТЕГОРИЯ   90</t>
  </si>
  <si>
    <t>Лусников Антон</t>
  </si>
  <si>
    <t>Открытая (10.09.1990)/31</t>
  </si>
  <si>
    <t>89,00</t>
  </si>
  <si>
    <t>90,0</t>
  </si>
  <si>
    <t>Обухов Ф.</t>
  </si>
  <si>
    <t>Вахидов Шухрат</t>
  </si>
  <si>
    <t xml:space="preserve">Слободской/Кировская область </t>
  </si>
  <si>
    <t>ВЕСОВАЯ КАТЕГОРИЯ   44</t>
  </si>
  <si>
    <t>Нестифорова Амина</t>
  </si>
  <si>
    <t>25,00</t>
  </si>
  <si>
    <t xml:space="preserve">Котельнич/Кировская область </t>
  </si>
  <si>
    <t>ВЕСОВАЯ КАТЕГОРИЯ   60</t>
  </si>
  <si>
    <t>Смертина Екатерина</t>
  </si>
  <si>
    <t>59,90</t>
  </si>
  <si>
    <t>30,0</t>
  </si>
  <si>
    <t>40,0</t>
  </si>
  <si>
    <t xml:space="preserve">Ашуралиева Д. </t>
  </si>
  <si>
    <t>ВЕСОВАЯ КАТЕГОРИЯ   52</t>
  </si>
  <si>
    <t>Нифонтов Артём</t>
  </si>
  <si>
    <t>34,10</t>
  </si>
  <si>
    <t>17,5</t>
  </si>
  <si>
    <t>2</t>
  </si>
  <si>
    <t>Сметанин Вячеслав</t>
  </si>
  <si>
    <t>34,40</t>
  </si>
  <si>
    <t>3</t>
  </si>
  <si>
    <t>Шуклин М.</t>
  </si>
  <si>
    <t>4</t>
  </si>
  <si>
    <t>5</t>
  </si>
  <si>
    <t>ВЕСОВАЯ КАТЕГОРИЯ   48</t>
  </si>
  <si>
    <t>Гулина Татьяна</t>
  </si>
  <si>
    <t>47,20</t>
  </si>
  <si>
    <t>47,5</t>
  </si>
  <si>
    <t>Малых Кирилл</t>
  </si>
  <si>
    <t>89,50</t>
  </si>
  <si>
    <t xml:space="preserve">Record gym </t>
  </si>
  <si>
    <t>Баженов Валерий</t>
  </si>
  <si>
    <t>85,60</t>
  </si>
  <si>
    <t>87,5</t>
  </si>
  <si>
    <t>ВЕСОВАЯ КАТЕГОРИЯ   100</t>
  </si>
  <si>
    <t>Прозоров Дмитрий</t>
  </si>
  <si>
    <t>Открытая (12.03.1985)/36</t>
  </si>
  <si>
    <t>91,60</t>
  </si>
  <si>
    <t>Жим лёжа</t>
  </si>
  <si>
    <t>Становая тяга</t>
  </si>
  <si>
    <t>Сумма</t>
  </si>
  <si>
    <t>Рек</t>
  </si>
  <si>
    <t>ВЕСОВАЯ КАТЕГОРИЯ   56</t>
  </si>
  <si>
    <t>Мальщукова Екатерина</t>
  </si>
  <si>
    <t>Открытая (22.12.1990)/30</t>
  </si>
  <si>
    <t>55,30</t>
  </si>
  <si>
    <t>60,0</t>
  </si>
  <si>
    <t>62,5</t>
  </si>
  <si>
    <t>110,0</t>
  </si>
  <si>
    <t>117,5</t>
  </si>
  <si>
    <t>122,5</t>
  </si>
  <si>
    <t>Мухаметдинов В.</t>
  </si>
  <si>
    <t>Результат</t>
  </si>
  <si>
    <t>Кропотова Анастасия</t>
  </si>
  <si>
    <t>Открытая (30.01.1994)/27</t>
  </si>
  <si>
    <t>54,30</t>
  </si>
  <si>
    <t>120,0</t>
  </si>
  <si>
    <t>125,0</t>
  </si>
  <si>
    <t>130,0</t>
  </si>
  <si>
    <t>Дудинец А.</t>
  </si>
  <si>
    <t>Кононенко Михаил</t>
  </si>
  <si>
    <t>Открытая (21.11.1987)/33</t>
  </si>
  <si>
    <t>89,20</t>
  </si>
  <si>
    <t>190,0</t>
  </si>
  <si>
    <t>202,5</t>
  </si>
  <si>
    <t>230,0</t>
  </si>
  <si>
    <t>-</t>
  </si>
  <si>
    <t>Воронов Дмитрий</t>
  </si>
  <si>
    <t>Открытая (17.12.1989)/31</t>
  </si>
  <si>
    <t>86,30</t>
  </si>
  <si>
    <t>205,0</t>
  </si>
  <si>
    <t>ВЕСОВАЯ КАТЕГОРИЯ   90+</t>
  </si>
  <si>
    <t>Татарских Иван</t>
  </si>
  <si>
    <t>Мастера 40-49 (12.10.1972)/49</t>
  </si>
  <si>
    <t>99,30</t>
  </si>
  <si>
    <t>200,0</t>
  </si>
  <si>
    <t>220,0</t>
  </si>
  <si>
    <t>Порошин Тимофей</t>
  </si>
  <si>
    <t>Юноши 14-16 (26.03.2009)/12</t>
  </si>
  <si>
    <t>50,10</t>
  </si>
  <si>
    <t>55,0</t>
  </si>
  <si>
    <t>Балановский Михаил</t>
  </si>
  <si>
    <t>Юноши 14-16 (09.07.2009)/12</t>
  </si>
  <si>
    <t>54,70</t>
  </si>
  <si>
    <t>Дудинец Андрей</t>
  </si>
  <si>
    <t>Открытая (02.06.1991)/30</t>
  </si>
  <si>
    <t>94,00</t>
  </si>
  <si>
    <t>280,0</t>
  </si>
  <si>
    <t>292,5</t>
  </si>
  <si>
    <t>ВЕСОВАЯ КАТЕГОРИЯ   110</t>
  </si>
  <si>
    <t>Вихарев Алексей</t>
  </si>
  <si>
    <t>Мастера 40-49 (05.08.1973)/48</t>
  </si>
  <si>
    <t>107,40</t>
  </si>
  <si>
    <t>295,0</t>
  </si>
  <si>
    <t>315,0</t>
  </si>
  <si>
    <t>Бажанова Вера</t>
  </si>
  <si>
    <t>Открытая (26.02.1992)/29</t>
  </si>
  <si>
    <t>48,00</t>
  </si>
  <si>
    <t>67,5</t>
  </si>
  <si>
    <t>70,0</t>
  </si>
  <si>
    <t>72,5</t>
  </si>
  <si>
    <t>Киселёв А.</t>
  </si>
  <si>
    <t>Никулина Марина</t>
  </si>
  <si>
    <t>Открытая (11.02.1993)/28</t>
  </si>
  <si>
    <t>47,90</t>
  </si>
  <si>
    <t>52,5</t>
  </si>
  <si>
    <t>57,5</t>
  </si>
  <si>
    <t>Трушкова Ольга</t>
  </si>
  <si>
    <t>Открытая (08.03.1988)/33</t>
  </si>
  <si>
    <t>53,40</t>
  </si>
  <si>
    <t>50,0</t>
  </si>
  <si>
    <t>Новокшонов Н.</t>
  </si>
  <si>
    <t>Досхоева Марет</t>
  </si>
  <si>
    <t>Юниорки (03.12.1999)/21</t>
  </si>
  <si>
    <t>72,10</t>
  </si>
  <si>
    <t>100,0</t>
  </si>
  <si>
    <t>105,0</t>
  </si>
  <si>
    <t>Открытая (03.12.1999)/21</t>
  </si>
  <si>
    <t>Маркарян Георгий</t>
  </si>
  <si>
    <t>Открытая (10.05.1994)/27</t>
  </si>
  <si>
    <t>64,20</t>
  </si>
  <si>
    <t>Романцев В.</t>
  </si>
  <si>
    <t>Мастера 40-49 (24.12.1973)/47</t>
  </si>
  <si>
    <t>85,0</t>
  </si>
  <si>
    <t>95,0</t>
  </si>
  <si>
    <t>Однороженко Андрей</t>
  </si>
  <si>
    <t>Открытая (20.12.1990)/30</t>
  </si>
  <si>
    <t>74,60</t>
  </si>
  <si>
    <t>135,0</t>
  </si>
  <si>
    <t>Дёмин Сергей</t>
  </si>
  <si>
    <t>Открытая (24.05.1984)/37</t>
  </si>
  <si>
    <t>73,50</t>
  </si>
  <si>
    <t>Пименов Денис</t>
  </si>
  <si>
    <t>Открытая (19.10.1976)/45</t>
  </si>
  <si>
    <t>82,00</t>
  </si>
  <si>
    <t>162,5</t>
  </si>
  <si>
    <t>167,5</t>
  </si>
  <si>
    <t>170,0</t>
  </si>
  <si>
    <t>140,0</t>
  </si>
  <si>
    <t>145,0</t>
  </si>
  <si>
    <t>Кобелев Артем</t>
  </si>
  <si>
    <t>Открытая (11.03.1991)/30</t>
  </si>
  <si>
    <t>81,60</t>
  </si>
  <si>
    <t>Мастера 50-59 (22.03.1963)/58</t>
  </si>
  <si>
    <t>Семакин Дмитрий</t>
  </si>
  <si>
    <t>Открытая (14.11.1993)/27</t>
  </si>
  <si>
    <t>89,10</t>
  </si>
  <si>
    <t>152,5</t>
  </si>
  <si>
    <t>157,5</t>
  </si>
  <si>
    <t>Василенко Иван</t>
  </si>
  <si>
    <t>Открытая (20.06.1985)/36</t>
  </si>
  <si>
    <t>88,30</t>
  </si>
  <si>
    <t>165,0</t>
  </si>
  <si>
    <t>Кислицын Денис</t>
  </si>
  <si>
    <t>Мастера 40-49 (28.12.1973)/47</t>
  </si>
  <si>
    <t>86,90</t>
  </si>
  <si>
    <t>Мастера 40-49 (31.10.1975)/46</t>
  </si>
  <si>
    <t>155,0</t>
  </si>
  <si>
    <t>Ефимовский Владислав</t>
  </si>
  <si>
    <t>Открытая (20.12.1995)/25</t>
  </si>
  <si>
    <t>98,70</t>
  </si>
  <si>
    <t xml:space="preserve">Котлас/Архангельская область </t>
  </si>
  <si>
    <t>180,0</t>
  </si>
  <si>
    <t>Кочергин Василий</t>
  </si>
  <si>
    <t>Открытая (28.02.1996)/25</t>
  </si>
  <si>
    <t>94,60</t>
  </si>
  <si>
    <t>Иванов И.</t>
  </si>
  <si>
    <t>Фомкин Павел</t>
  </si>
  <si>
    <t>Открытая (11.07.1988)/33</t>
  </si>
  <si>
    <t>100,00</t>
  </si>
  <si>
    <t xml:space="preserve">Кирово-Чепецк/Кировская область </t>
  </si>
  <si>
    <t>Ельцов Сергей</t>
  </si>
  <si>
    <t>Открытая (07.12.1991)/29</t>
  </si>
  <si>
    <t>97,10</t>
  </si>
  <si>
    <t>147,5</t>
  </si>
  <si>
    <t>150,0</t>
  </si>
  <si>
    <t>Прыгунов Михаил</t>
  </si>
  <si>
    <t>Открытая (16.08.1984)/37</t>
  </si>
  <si>
    <t>108,70</t>
  </si>
  <si>
    <t>175,0</t>
  </si>
  <si>
    <t>Берлин П.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</si>
  <si>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</si>
  <si>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</si>
  <si>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</si>
  <si>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</si>
  <si>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</si>
  <si>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Результат </t>
  </si>
  <si>
    <t xml:space="preserve">Wilks </t>
  </si>
  <si>
    <t>48</t>
  </si>
  <si>
    <t>96,0190</t>
  </si>
  <si>
    <t>75</t>
  </si>
  <si>
    <t>80,6300</t>
  </si>
  <si>
    <t>56</t>
  </si>
  <si>
    <t>75,3375</t>
  </si>
  <si>
    <t xml:space="preserve">Мужчины </t>
  </si>
  <si>
    <t>82.5</t>
  </si>
  <si>
    <t>112,6270</t>
  </si>
  <si>
    <t>100</t>
  </si>
  <si>
    <t>110,1240</t>
  </si>
  <si>
    <t>101,2700</t>
  </si>
  <si>
    <t>Девушки 14-16 (08.11.2011)/10</t>
  </si>
  <si>
    <t>25,0</t>
  </si>
  <si>
    <t>27,5</t>
  </si>
  <si>
    <t xml:space="preserve">Лялин М. </t>
  </si>
  <si>
    <t>Лысова Елизовета</t>
  </si>
  <si>
    <t>Девушки 14-16 (05.04.2014)/7</t>
  </si>
  <si>
    <t>23,40</t>
  </si>
  <si>
    <t>15,0</t>
  </si>
  <si>
    <t>Мастера 40-49 (28.04.1973)/48</t>
  </si>
  <si>
    <t>Черезова Елена</t>
  </si>
  <si>
    <t>Мастера 40-49 (25.11.1977)/43</t>
  </si>
  <si>
    <t>55,50</t>
  </si>
  <si>
    <t>Разумов С.</t>
  </si>
  <si>
    <t>Перминова Евгения</t>
  </si>
  <si>
    <t>Девушки 14-16 (07.04.2005)/16</t>
  </si>
  <si>
    <t>59,50</t>
  </si>
  <si>
    <t>45,0</t>
  </si>
  <si>
    <t>Девушки 17-19 (18.08.2002)/19</t>
  </si>
  <si>
    <t>Сюзев Кирилл</t>
  </si>
  <si>
    <t>Юноши 14-16 (06.06.2008)/13</t>
  </si>
  <si>
    <t>48,80</t>
  </si>
  <si>
    <t>Юноши 14-16 (21.06.2012)/9</t>
  </si>
  <si>
    <t>42,5</t>
  </si>
  <si>
    <t>Юноши 14-16 (23.11.2009)/11</t>
  </si>
  <si>
    <t>32,5</t>
  </si>
  <si>
    <t>Докукин Лев</t>
  </si>
  <si>
    <t>Юноши 14-16 (03.08.2011)/10</t>
  </si>
  <si>
    <t>40,20</t>
  </si>
  <si>
    <t>22,5</t>
  </si>
  <si>
    <t>Елькин Константин</t>
  </si>
  <si>
    <t>Юноши 14-16 (07.02.2011)/10</t>
  </si>
  <si>
    <t>45,10</t>
  </si>
  <si>
    <t>6</t>
  </si>
  <si>
    <t>Янников Никита</t>
  </si>
  <si>
    <t>Юноши 14-16 (22.04.2011)/10</t>
  </si>
  <si>
    <t>26,00</t>
  </si>
  <si>
    <t>Вачевских Данил</t>
  </si>
  <si>
    <t>Юноши 14-16 (13.08.2005)/16</t>
  </si>
  <si>
    <t>70,90</t>
  </si>
  <si>
    <t>82,5</t>
  </si>
  <si>
    <t>Лялин Михаил</t>
  </si>
  <si>
    <t>Мастера 40-49 (28.06.1976)/45</t>
  </si>
  <si>
    <t>72,70</t>
  </si>
  <si>
    <t>107,5</t>
  </si>
  <si>
    <t>Дмитриев К.</t>
  </si>
  <si>
    <t>Шатов Николай</t>
  </si>
  <si>
    <t>Мастера 40-49 (08.10.1980)/41</t>
  </si>
  <si>
    <t>80,30</t>
  </si>
  <si>
    <t>127,5</t>
  </si>
  <si>
    <t>Юниоры (19.11.1997)/23</t>
  </si>
  <si>
    <t>160,0</t>
  </si>
  <si>
    <t>Андрей Петухов</t>
  </si>
  <si>
    <t>Юниоры (01.03.1999)/22</t>
  </si>
  <si>
    <t>137,5</t>
  </si>
  <si>
    <t>Решетников А.</t>
  </si>
  <si>
    <t>Новокшонов Николай</t>
  </si>
  <si>
    <t>Открытая (05.11.1973)/48</t>
  </si>
  <si>
    <t>87,70</t>
  </si>
  <si>
    <t>187,5</t>
  </si>
  <si>
    <t>Лебединский Никита</t>
  </si>
  <si>
    <t>Открытая (09.05.1997)/24</t>
  </si>
  <si>
    <t>88,00</t>
  </si>
  <si>
    <t>Мастера 40-49 (05.11.1973)/48</t>
  </si>
  <si>
    <t>Смертин Владимир</t>
  </si>
  <si>
    <t>Мастера 50-59 (20.07.1966)/55</t>
  </si>
  <si>
    <t>88,90</t>
  </si>
  <si>
    <t>115,0</t>
  </si>
  <si>
    <t>Мастера 60-69 (16.08.1960)/61</t>
  </si>
  <si>
    <t>210,0</t>
  </si>
  <si>
    <t>212,5</t>
  </si>
  <si>
    <t>Борняков Дмитрий</t>
  </si>
  <si>
    <t>Открытая (12.08.1981)/40</t>
  </si>
  <si>
    <t>98,30</t>
  </si>
  <si>
    <t>Сенин Денис</t>
  </si>
  <si>
    <t>Открытая (28.05.1985)/36</t>
  </si>
  <si>
    <t>96,70</t>
  </si>
  <si>
    <t>Сенин Иван</t>
  </si>
  <si>
    <t>Открытая (29.08.1991)/30</t>
  </si>
  <si>
    <t>95,30</t>
  </si>
  <si>
    <t>Мастера 40-49 (12.08.1981)/40</t>
  </si>
  <si>
    <t>Шургин Станислав</t>
  </si>
  <si>
    <t>Открытая (14.08.1986)/35</t>
  </si>
  <si>
    <t>106,20</t>
  </si>
  <si>
    <t xml:space="preserve">Советск/Тульская область </t>
  </si>
  <si>
    <t>207,5</t>
  </si>
  <si>
    <t>Мальков Дмитрий</t>
  </si>
  <si>
    <t>Открытая (13.06.1983)/38</t>
  </si>
  <si>
    <t>109,20</t>
  </si>
  <si>
    <t>177,5</t>
  </si>
  <si>
    <t>185,0</t>
  </si>
  <si>
    <t>192,5</t>
  </si>
  <si>
    <t>Ронжин Данил</t>
  </si>
  <si>
    <t>Открытая (14.12.1993)/27</t>
  </si>
  <si>
    <t>109,50</t>
  </si>
  <si>
    <t>Шумихин Сергей</t>
  </si>
  <si>
    <t>104,20</t>
  </si>
  <si>
    <t>Зяблицев Андрей</t>
  </si>
  <si>
    <t>Мастера 40-49 (28.12.1978)/42</t>
  </si>
  <si>
    <t>109,80</t>
  </si>
  <si>
    <t>ВЕСОВАЯ КАТЕГОРИЯ   125</t>
  </si>
  <si>
    <t>Бехтерев Алексей</t>
  </si>
  <si>
    <t>Открытая (10.05.1980)/41</t>
  </si>
  <si>
    <t>124,10</t>
  </si>
  <si>
    <t>195,0</t>
  </si>
  <si>
    <t>Лысов Егор</t>
  </si>
  <si>
    <t>Открытая (08.06.1995)/26</t>
  </si>
  <si>
    <t>121,00</t>
  </si>
  <si>
    <t>Мастера 40-49 (10.05.1980)/41</t>
  </si>
  <si>
    <t>Цыбелев Алексей</t>
  </si>
  <si>
    <t>Мастера 40-49 (13.06.1973)/48</t>
  </si>
  <si>
    <t>113,60</t>
  </si>
  <si>
    <t xml:space="preserve">Уржум/Кировская область </t>
  </si>
  <si>
    <t>197,5</t>
  </si>
  <si>
    <t>ВЕСОВАЯ КАТЕГОРИЯ   140</t>
  </si>
  <si>
    <t>Бронников Игорь</t>
  </si>
  <si>
    <t>Мастера 40-49 (11.01.1975)/46</t>
  </si>
  <si>
    <t>136,80</t>
  </si>
  <si>
    <t xml:space="preserve">Кирово-Чепецк/Кировская област </t>
  </si>
  <si>
    <t>217,5</t>
  </si>
  <si>
    <t xml:space="preserve">Юноши </t>
  </si>
  <si>
    <t xml:space="preserve">Юноши 14-16 </t>
  </si>
  <si>
    <t>63,0870</t>
  </si>
  <si>
    <t>52</t>
  </si>
  <si>
    <t>56,7545</t>
  </si>
  <si>
    <t>55,1670</t>
  </si>
  <si>
    <t>132,8880</t>
  </si>
  <si>
    <t>110</t>
  </si>
  <si>
    <t>126,4800</t>
  </si>
  <si>
    <t>90</t>
  </si>
  <si>
    <t>121,3312</t>
  </si>
  <si>
    <t xml:space="preserve">Мастера </t>
  </si>
  <si>
    <t xml:space="preserve">Мастера 40-49 </t>
  </si>
  <si>
    <t>135,1630</t>
  </si>
  <si>
    <t>140</t>
  </si>
  <si>
    <t>131,4880</t>
  </si>
  <si>
    <t>125,4845</t>
  </si>
  <si>
    <t>290,0</t>
  </si>
  <si>
    <t>310,5</t>
  </si>
  <si>
    <t>250,0</t>
  </si>
  <si>
    <t>260,0</t>
  </si>
  <si>
    <t>Приседание</t>
  </si>
  <si>
    <t>Шулепова Екатерина</t>
  </si>
  <si>
    <t>Открытая (10.05.1997)/24</t>
  </si>
  <si>
    <t>43,40</t>
  </si>
  <si>
    <t>Норкина Анастасия</t>
  </si>
  <si>
    <t>Юниорки (09.11.1998)/23</t>
  </si>
  <si>
    <t>50,30</t>
  </si>
  <si>
    <t>Помаскина Лейла</t>
  </si>
  <si>
    <t>Открытая (16.01.1988)/33</t>
  </si>
  <si>
    <t>51,50</t>
  </si>
  <si>
    <t>77,5</t>
  </si>
  <si>
    <t>Обжерина Факия</t>
  </si>
  <si>
    <t>Открытая (07.03.1984)/37</t>
  </si>
  <si>
    <t>55,60</t>
  </si>
  <si>
    <t>Смирнова Ольга</t>
  </si>
  <si>
    <t>Открытая (26.10.1987)/34</t>
  </si>
  <si>
    <t>Кропотова А.</t>
  </si>
  <si>
    <t>Вохминцева Ирина</t>
  </si>
  <si>
    <t>Открытая (26.12.1989)/31</t>
  </si>
  <si>
    <t>56,60</t>
  </si>
  <si>
    <t>Кротова Мария</t>
  </si>
  <si>
    <t>Открытая (25.11.1996)/24</t>
  </si>
  <si>
    <t>65,00</t>
  </si>
  <si>
    <t>Волосков И.</t>
  </si>
  <si>
    <t>Шевнин Никита</t>
  </si>
  <si>
    <t>Юниоры (02.02.2000)/21</t>
  </si>
  <si>
    <t>82,40</t>
  </si>
  <si>
    <t xml:space="preserve">Киров/Калужская область </t>
  </si>
  <si>
    <t>Кучергин Артем</t>
  </si>
  <si>
    <t>Открытая (02.05.1990)/31</t>
  </si>
  <si>
    <t>81,30</t>
  </si>
  <si>
    <t>232,5</t>
  </si>
  <si>
    <t>Братухин Дмитрий</t>
  </si>
  <si>
    <t>Открытая (09.10.1994)/27</t>
  </si>
  <si>
    <t>102,5</t>
  </si>
  <si>
    <t>215,0</t>
  </si>
  <si>
    <t>225,0</t>
  </si>
  <si>
    <t>Открытая (02.02.2000)/21</t>
  </si>
  <si>
    <t>Кокорин Алексей</t>
  </si>
  <si>
    <t>Открытая (18.06.1979)/42</t>
  </si>
  <si>
    <t>82,50</t>
  </si>
  <si>
    <t>Мастера 40-49 (18.06.1979)/42</t>
  </si>
  <si>
    <t>Титов Сергей</t>
  </si>
  <si>
    <t>Мастера 40-49 (17.04.1978)/43</t>
  </si>
  <si>
    <t>Абрамов Сергей</t>
  </si>
  <si>
    <t>Открытая (19.07.1990)/31</t>
  </si>
  <si>
    <t>98,00</t>
  </si>
  <si>
    <t xml:space="preserve">Ярославль/Ярославская область </t>
  </si>
  <si>
    <t xml:space="preserve">Сумма </t>
  </si>
  <si>
    <t>352,5795</t>
  </si>
  <si>
    <t>60</t>
  </si>
  <si>
    <t>265,0</t>
  </si>
  <si>
    <t>295,8195</t>
  </si>
  <si>
    <t>67.5</t>
  </si>
  <si>
    <t>278,0115</t>
  </si>
  <si>
    <t>Решетников Александр</t>
  </si>
  <si>
    <t>Юниоры (22.02.1999)/22</t>
  </si>
  <si>
    <t>310,0</t>
  </si>
  <si>
    <t>325,0</t>
  </si>
  <si>
    <t>335,0</t>
  </si>
  <si>
    <t>237,5</t>
  </si>
  <si>
    <t>355,0</t>
  </si>
  <si>
    <t>362,5</t>
  </si>
  <si>
    <t>Суслов Н.</t>
  </si>
  <si>
    <t>Завидонов Игорь</t>
  </si>
  <si>
    <t>Мастера 50-59 (17.11.1969)/51</t>
  </si>
  <si>
    <t>121,90</t>
  </si>
  <si>
    <t>Ходырев Илья</t>
  </si>
  <si>
    <t>Открытая (04.01.1996)/25</t>
  </si>
  <si>
    <t>138,90</t>
  </si>
  <si>
    <t>Левковская Полина</t>
  </si>
  <si>
    <t>Юниорки (15.05.1998)/23</t>
  </si>
  <si>
    <t>70,00</t>
  </si>
  <si>
    <t>Перминов Макар</t>
  </si>
  <si>
    <t>Юноши 17-19 (08.08.2002)/19</t>
  </si>
  <si>
    <t>67,40</t>
  </si>
  <si>
    <t>Чирков Алексей</t>
  </si>
  <si>
    <t>Юноши 17-19 (07.01.2003)/18</t>
  </si>
  <si>
    <t>77,60</t>
  </si>
  <si>
    <t>Поскребышев Артур</t>
  </si>
  <si>
    <t>Открытая (07.09.1994)/27</t>
  </si>
  <si>
    <t>80,70</t>
  </si>
  <si>
    <t>Эсаулов Евгений</t>
  </si>
  <si>
    <t>Открытая (09.05.1994)/27</t>
  </si>
  <si>
    <t>118,30</t>
  </si>
  <si>
    <t>132,5</t>
  </si>
  <si>
    <t>Суслов Павел</t>
  </si>
  <si>
    <t>Открытая (18.07.1990)/31</t>
  </si>
  <si>
    <t>92,80</t>
  </si>
  <si>
    <t>245,0</t>
  </si>
  <si>
    <t>275,0</t>
  </si>
  <si>
    <t>235,0</t>
  </si>
  <si>
    <t>Суетин Лев</t>
  </si>
  <si>
    <t>Открытая (16.03.1982)/39</t>
  </si>
  <si>
    <t>97,20</t>
  </si>
  <si>
    <t>Гущин А.</t>
  </si>
  <si>
    <t>Куртеева Наталья</t>
  </si>
  <si>
    <t>Открытая (12.07.1996)/25</t>
  </si>
  <si>
    <t>95,10</t>
  </si>
  <si>
    <t>Абашев Артём</t>
  </si>
  <si>
    <t>Юниоры (22.01.1999)/22</t>
  </si>
  <si>
    <t>240,0</t>
  </si>
  <si>
    <t>Менщиков Сергей</t>
  </si>
  <si>
    <t>Открытая (18.08.1986)/35</t>
  </si>
  <si>
    <t>87,60</t>
  </si>
  <si>
    <t>255,0</t>
  </si>
  <si>
    <t>Гущин Александр</t>
  </si>
  <si>
    <t>Открытая (03.07.1990)/31</t>
  </si>
  <si>
    <t xml:space="preserve">Меркулов С. </t>
  </si>
  <si>
    <t>Крекнин Дмитрий</t>
  </si>
  <si>
    <t>Открытая (09.07.1995)/26</t>
  </si>
  <si>
    <t>83,20</t>
  </si>
  <si>
    <t/>
  </si>
  <si>
    <t>Караваев Артём</t>
  </si>
  <si>
    <t>Открытая (07.09.1995)/26</t>
  </si>
  <si>
    <t>95,80</t>
  </si>
  <si>
    <t>142,5</t>
  </si>
  <si>
    <t>Хлебников Егор</t>
  </si>
  <si>
    <t>Открытая (28.06.1995)/26</t>
  </si>
  <si>
    <t xml:space="preserve">Команда кировской области </t>
  </si>
  <si>
    <t>Гончаров А.</t>
  </si>
  <si>
    <t>Новоселов Дмитрий</t>
  </si>
  <si>
    <t>Открытая (03.04.1994)/27</t>
  </si>
  <si>
    <t>98,80</t>
  </si>
  <si>
    <t>Всероссийский мастерский турнир “Кубок имени Андрея Беляева” 
WRPF любители Силовое двоеборье без экипировки ДК
Киров/Кировская область, 13-14 ноября 2021 года</t>
  </si>
  <si>
    <t>Всероссийский мастерский турнир “Кубок имени Андрея Беляева”
WRPF любители Становая тяга без экипировки ДК
Киров/Кировская область, 13-14 ноября 2021 года</t>
  </si>
  <si>
    <t>Всероссийский мастерский турнир “Кубок имени Андрея Беляева”
WRPF любители Становая тяга без экипировки
Киров/Кировская область, 13-14 ноября 2021 года</t>
  </si>
  <si>
    <t>Всероссийский мастерский турнир “Кубок имени Андрея Беляева”
WEPF любители Жим лежа в многослойной экипировке
Киров/Кировская область, 13-14 ноября 2021 года</t>
  </si>
  <si>
    <t>Всероссийский мастерский турнир “Кубок имени Андрея Беляева”
WEPF Жим лежа в многопетельной софт экипировке
Киров/Кировская область, 13-14 ноября 2021 года</t>
  </si>
  <si>
    <t>Всероссийский мастерский турнир “Кубок имени Андрея Беляева”
WRPF любители Жим лежа без экипировки ДК
Киров/Кировская область, 13-14 ноября 2021 года</t>
  </si>
  <si>
    <t>Всероссийский мастерский турнир “Кубок имени Андрея Беляева”
WRPF любители Жим лежа без экипировки
Киров/Кировская область, 13-14 ноября 2021 года</t>
  </si>
  <si>
    <t>Всероссийский мастерский турнир “Кубок имени Андрея Беляева”
WEPF Жим лежа в однопетельной софт экипировке
Киров/Кировская область, 13-14 ноября 2021 года</t>
  </si>
  <si>
    <t>Всероссийский мастерский турнир “Кубок имени Андрея Беляева”
WRPF любители Пауэрлифтинг без экипировки ДК
Киров/Кировская область, 13-14 ноября 2021 года</t>
  </si>
  <si>
    <t>Всероссийский мастерский турнир “Кубок имени Андрея Беляева”
WRPF любители Пауэрлифтинг без экипировки
Киров/Кировская область, 13-14 ноября 2021 года</t>
  </si>
  <si>
    <t>Всероссийский мастерский турнир “Кубок имени Андрея Беляева”
WRPF любители Пауэрлифтинг классический в бинтах ДК
Киров/Кировская область, 13-14 ноября 2021 года</t>
  </si>
  <si>
    <t>Всероссийский мастерский турнир “Кубок имени Андрея Беляева”
WRPF любители Пауэрлифтинг классический в бинтах
Киров/Кировская область, 13-14 ноября 2021 года</t>
  </si>
  <si>
    <t xml:space="preserve">Сыктывкар/Республика Коми </t>
  </si>
  <si>
    <t xml:space="preserve">Воркута/Республика Коми </t>
  </si>
  <si>
    <t xml:space="preserve">Ухта/Республика Коми </t>
  </si>
  <si>
    <t>Санкт-Петербург</t>
  </si>
  <si>
    <t>Весовая категория</t>
  </si>
  <si>
    <t xml:space="preserve">Глазов/Республика Удмуртия </t>
  </si>
  <si>
    <t>Самостоятельно</t>
  </si>
  <si>
    <t>№</t>
  </si>
  <si>
    <t xml:space="preserve">
Дата рождения/Возраст</t>
  </si>
  <si>
    <t>Возрастная группа</t>
  </si>
  <si>
    <t>O</t>
  </si>
  <si>
    <t>J</t>
  </si>
  <si>
    <t>M1</t>
  </si>
  <si>
    <t>M2</t>
  </si>
  <si>
    <t>T2</t>
  </si>
  <si>
    <t>T1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</si>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</sst>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0.0000"/>
  </numFmts>
  <fonts count="9">
    <font>
      <sz val="11"/>
      <name val="Calibri"/>
    </font>
    <font>
      <sz val="10"/>
      <name val="Arial Cyr"/>
    </font>
    <font>
      <b/>
      <sz val="10"/>
      <name val="Arial Cyr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sz val="14"/>
      <name val="Arial Cyr"/>
    </font>
    <font>
      <b/>
      <strike/>
      <sz val="10"/>
      <color theme="5"/>
      <name val="Arial Cyr"/>
    </font>
    <font>
      <i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D7E4BE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indent="1"/>
    </xf>
    <xf numFmtId="49" fontId="8" fillId="0" borderId="0" xfId="0" applyNumberFormat="1" applyFont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20" xfId="0" applyNumberFormat="1" applyFont="1" applyBorder="1" applyAlignment="1">
      <alignment horizontal="center" vertical="center"/>
    </xf>
    <xf numFmtId="166" fontId="2" fillId="0" borderId="21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59"/>
  <sheetViews>
    <sheetView workbookViewId="0">
      <selection activeCell="E34" sqref="E34"/>
    </sheetView>
  </sheetViews>
  <sheetFormatPr baseColWidth="10" defaultColWidth="9" defaultRowHeight="13"/>
  <cols>
    <col min="1" max="1" width="7.1640625" style="1" bestFit="1" customWidth="1"/>
    <col min="2" max="2" width="19.6640625" style="1" bestFit="1" customWidth="1"/>
    <col min="3" max="3" width="27.1640625" style="1" bestFit="1" customWidth="1"/>
    <col min="4" max="4" width="20.6640625" style="1" bestFit="1" customWidth="1"/>
    <col min="5" max="5" width="10" style="1" bestFit="1" customWidth="1"/>
    <col min="6" max="6" width="30.5" style="1" bestFit="1" customWidth="1"/>
    <col min="7" max="9" width="5.5" style="2" customWidth="1"/>
    <col min="10" max="10" width="4.5" style="2" customWidth="1"/>
    <col min="11" max="13" width="5.5" style="2" customWidth="1"/>
    <col min="14" max="14" width="4.5" style="2" customWidth="1"/>
    <col min="15" max="17" width="5.5" style="2" customWidth="1"/>
    <col min="18" max="18" width="4.5" style="2" customWidth="1"/>
    <col min="19" max="19" width="7.5" style="29" bestFit="1" customWidth="1"/>
    <col min="20" max="20" width="8.5" style="2" bestFit="1" customWidth="1"/>
    <col min="21" max="21" width="24.5" style="1" bestFit="1" customWidth="1"/>
    <col min="22" max="22" width="9" style="3" bestFit="1" customWidth="1"/>
    <col min="23" max="16384" width="9" style="3"/>
  </cols>
  <sheetData>
    <row r="1" spans="1:21" s="4" customFormat="1" ht="29" customHeight="1" thickBot="1">
      <c r="A1" s="40" t="s">
        <v>504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372</v>
      </c>
      <c r="H3" s="54"/>
      <c r="I3" s="54"/>
      <c r="J3" s="55"/>
      <c r="K3" s="53" t="s">
        <v>70</v>
      </c>
      <c r="L3" s="54"/>
      <c r="M3" s="54"/>
      <c r="N3" s="55"/>
      <c r="O3" s="53" t="s">
        <v>71</v>
      </c>
      <c r="P3" s="54"/>
      <c r="Q3" s="54"/>
      <c r="R3" s="55"/>
      <c r="S3" s="49" t="s">
        <v>72</v>
      </c>
      <c r="T3" s="48" t="s">
        <v>4</v>
      </c>
      <c r="U3" s="46" t="s">
        <v>5</v>
      </c>
    </row>
    <row r="4" spans="1:21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6">
        <v>1</v>
      </c>
      <c r="L4" s="6">
        <v>2</v>
      </c>
      <c r="M4" s="6">
        <v>3</v>
      </c>
      <c r="N4" s="6" t="s">
        <v>73</v>
      </c>
      <c r="O4" s="6">
        <v>1</v>
      </c>
      <c r="P4" s="6">
        <v>2</v>
      </c>
      <c r="Q4" s="6">
        <v>3</v>
      </c>
      <c r="R4" s="6" t="s">
        <v>73</v>
      </c>
      <c r="S4" s="50"/>
      <c r="T4" s="39"/>
      <c r="U4" s="47"/>
    </row>
    <row r="5" spans="1:21" ht="16">
      <c r="A5" s="35" t="s">
        <v>35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1:21">
      <c r="A6" s="7" t="s">
        <v>7</v>
      </c>
      <c r="B6" s="8" t="s">
        <v>373</v>
      </c>
      <c r="C6" s="8" t="s">
        <v>374</v>
      </c>
      <c r="D6" s="8" t="s">
        <v>375</v>
      </c>
      <c r="E6" s="8" t="s">
        <v>518</v>
      </c>
      <c r="F6" s="8" t="s">
        <v>13</v>
      </c>
      <c r="G6" s="17" t="s">
        <v>112</v>
      </c>
      <c r="H6" s="17" t="s">
        <v>78</v>
      </c>
      <c r="I6" s="17" t="s">
        <v>79</v>
      </c>
      <c r="J6" s="7"/>
      <c r="K6" s="17" t="s">
        <v>42</v>
      </c>
      <c r="L6" s="17" t="s">
        <v>256</v>
      </c>
      <c r="M6" s="18" t="s">
        <v>9</v>
      </c>
      <c r="N6" s="7"/>
      <c r="O6" s="17" t="s">
        <v>31</v>
      </c>
      <c r="P6" s="17" t="s">
        <v>156</v>
      </c>
      <c r="Q6" s="18" t="s">
        <v>147</v>
      </c>
      <c r="R6" s="7"/>
      <c r="S6" s="28" t="str">
        <f>"190,0"</f>
        <v>190,0</v>
      </c>
      <c r="T6" s="7" t="str">
        <f>"269,9710"</f>
        <v>269,9710</v>
      </c>
      <c r="U6" s="8" t="s">
        <v>91</v>
      </c>
    </row>
    <row r="8" spans="1:21" ht="16">
      <c r="A8" s="34" t="s">
        <v>45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11" t="s">
        <v>7</v>
      </c>
      <c r="B9" s="12" t="s">
        <v>376</v>
      </c>
      <c r="C9" s="12" t="s">
        <v>377</v>
      </c>
      <c r="D9" s="12" t="s">
        <v>378</v>
      </c>
      <c r="E9" s="12" t="s">
        <v>519</v>
      </c>
      <c r="F9" s="12" t="s">
        <v>13</v>
      </c>
      <c r="G9" s="19" t="s">
        <v>26</v>
      </c>
      <c r="H9" s="19" t="s">
        <v>155</v>
      </c>
      <c r="I9" s="19" t="s">
        <v>31</v>
      </c>
      <c r="J9" s="11"/>
      <c r="K9" s="19" t="s">
        <v>248</v>
      </c>
      <c r="L9" s="19" t="s">
        <v>59</v>
      </c>
      <c r="M9" s="19" t="s">
        <v>142</v>
      </c>
      <c r="N9" s="11"/>
      <c r="O9" s="19" t="s">
        <v>147</v>
      </c>
      <c r="P9" s="20" t="s">
        <v>80</v>
      </c>
      <c r="Q9" s="20" t="s">
        <v>80</v>
      </c>
      <c r="R9" s="11"/>
      <c r="S9" s="31" t="str">
        <f>"240,0"</f>
        <v>240,0</v>
      </c>
      <c r="T9" s="11" t="str">
        <f>"306,9120"</f>
        <v>306,9120</v>
      </c>
      <c r="U9" s="12" t="s">
        <v>32</v>
      </c>
    </row>
    <row r="10" spans="1:21">
      <c r="A10" s="13" t="s">
        <v>7</v>
      </c>
      <c r="B10" s="14" t="s">
        <v>379</v>
      </c>
      <c r="C10" s="14" t="s">
        <v>380</v>
      </c>
      <c r="D10" s="14" t="s">
        <v>381</v>
      </c>
      <c r="E10" s="14" t="s">
        <v>518</v>
      </c>
      <c r="F10" s="14" t="s">
        <v>13</v>
      </c>
      <c r="G10" s="22" t="s">
        <v>132</v>
      </c>
      <c r="H10" s="22" t="s">
        <v>382</v>
      </c>
      <c r="I10" s="22" t="s">
        <v>271</v>
      </c>
      <c r="J10" s="13"/>
      <c r="K10" s="22" t="s">
        <v>59</v>
      </c>
      <c r="L10" s="22" t="s">
        <v>142</v>
      </c>
      <c r="M10" s="22" t="s">
        <v>137</v>
      </c>
      <c r="N10" s="13"/>
      <c r="O10" s="22" t="s">
        <v>132</v>
      </c>
      <c r="P10" s="22" t="s">
        <v>26</v>
      </c>
      <c r="Q10" s="22" t="s">
        <v>155</v>
      </c>
      <c r="R10" s="13"/>
      <c r="S10" s="32" t="str">
        <f>"220,0"</f>
        <v>220,0</v>
      </c>
      <c r="T10" s="13" t="str">
        <f>"276,3200"</f>
        <v>276,3200</v>
      </c>
      <c r="U10" s="14" t="s">
        <v>32</v>
      </c>
    </row>
    <row r="12" spans="1:21" ht="16">
      <c r="A12" s="34" t="s">
        <v>74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21">
      <c r="A13" s="11" t="s">
        <v>7</v>
      </c>
      <c r="B13" s="12" t="s">
        <v>85</v>
      </c>
      <c r="C13" s="12" t="s">
        <v>86</v>
      </c>
      <c r="D13" s="12" t="s">
        <v>87</v>
      </c>
      <c r="E13" s="12" t="s">
        <v>518</v>
      </c>
      <c r="F13" s="12" t="s">
        <v>13</v>
      </c>
      <c r="G13" s="19" t="s">
        <v>31</v>
      </c>
      <c r="H13" s="19" t="s">
        <v>156</v>
      </c>
      <c r="I13" s="19" t="s">
        <v>147</v>
      </c>
      <c r="J13" s="11"/>
      <c r="K13" s="19" t="s">
        <v>138</v>
      </c>
      <c r="L13" s="19" t="s">
        <v>78</v>
      </c>
      <c r="M13" s="19" t="s">
        <v>79</v>
      </c>
      <c r="N13" s="11"/>
      <c r="O13" s="19" t="s">
        <v>88</v>
      </c>
      <c r="P13" s="19" t="s">
        <v>89</v>
      </c>
      <c r="Q13" s="19" t="s">
        <v>90</v>
      </c>
      <c r="R13" s="11"/>
      <c r="S13" s="31" t="str">
        <f>"292,5"</f>
        <v>292,5</v>
      </c>
      <c r="T13" s="11" t="str">
        <f>"352,5795"</f>
        <v>352,5795</v>
      </c>
      <c r="U13" s="12" t="s">
        <v>91</v>
      </c>
    </row>
    <row r="14" spans="1:21">
      <c r="A14" s="13" t="s">
        <v>49</v>
      </c>
      <c r="B14" s="14" t="s">
        <v>383</v>
      </c>
      <c r="C14" s="14" t="s">
        <v>384</v>
      </c>
      <c r="D14" s="14" t="s">
        <v>385</v>
      </c>
      <c r="E14" s="14" t="s">
        <v>518</v>
      </c>
      <c r="F14" s="14" t="s">
        <v>13</v>
      </c>
      <c r="G14" s="22" t="s">
        <v>26</v>
      </c>
      <c r="H14" s="22" t="s">
        <v>155</v>
      </c>
      <c r="I14" s="21" t="s">
        <v>65</v>
      </c>
      <c r="J14" s="13"/>
      <c r="K14" s="22" t="s">
        <v>254</v>
      </c>
      <c r="L14" s="22" t="s">
        <v>248</v>
      </c>
      <c r="M14" s="21" t="s">
        <v>59</v>
      </c>
      <c r="N14" s="13"/>
      <c r="O14" s="22" t="s">
        <v>31</v>
      </c>
      <c r="P14" s="22" t="s">
        <v>156</v>
      </c>
      <c r="Q14" s="21" t="s">
        <v>147</v>
      </c>
      <c r="R14" s="13"/>
      <c r="S14" s="32" t="str">
        <f>"225,0"</f>
        <v>225,0</v>
      </c>
      <c r="T14" s="13" t="str">
        <f>"266,2200"</f>
        <v>266,2200</v>
      </c>
      <c r="U14" s="14" t="s">
        <v>32</v>
      </c>
    </row>
    <row r="16" spans="1:21" ht="16">
      <c r="A16" s="34" t="s">
        <v>39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21">
      <c r="A17" s="11" t="s">
        <v>7</v>
      </c>
      <c r="B17" s="12" t="s">
        <v>386</v>
      </c>
      <c r="C17" s="12" t="s">
        <v>387</v>
      </c>
      <c r="D17" s="12" t="s">
        <v>41</v>
      </c>
      <c r="E17" s="12" t="s">
        <v>518</v>
      </c>
      <c r="F17" s="12" t="s">
        <v>13</v>
      </c>
      <c r="G17" s="20" t="s">
        <v>31</v>
      </c>
      <c r="H17" s="19" t="s">
        <v>31</v>
      </c>
      <c r="I17" s="20" t="s">
        <v>156</v>
      </c>
      <c r="J17" s="11"/>
      <c r="K17" s="19" t="s">
        <v>142</v>
      </c>
      <c r="L17" s="19" t="s">
        <v>137</v>
      </c>
      <c r="M17" s="19" t="s">
        <v>112</v>
      </c>
      <c r="N17" s="11"/>
      <c r="O17" s="19" t="s">
        <v>298</v>
      </c>
      <c r="P17" s="20" t="s">
        <v>88</v>
      </c>
      <c r="Q17" s="19" t="s">
        <v>88</v>
      </c>
      <c r="R17" s="11"/>
      <c r="S17" s="31" t="str">
        <f>"265,0"</f>
        <v>265,0</v>
      </c>
      <c r="T17" s="11" t="str">
        <f>"295,8195"</f>
        <v>295,8195</v>
      </c>
      <c r="U17" s="12" t="s">
        <v>388</v>
      </c>
    </row>
    <row r="18" spans="1:21">
      <c r="A18" s="13" t="s">
        <v>49</v>
      </c>
      <c r="B18" s="14" t="s">
        <v>389</v>
      </c>
      <c r="C18" s="14" t="s">
        <v>390</v>
      </c>
      <c r="D18" s="14" t="s">
        <v>391</v>
      </c>
      <c r="E18" s="14" t="s">
        <v>518</v>
      </c>
      <c r="F18" s="14" t="s">
        <v>13</v>
      </c>
      <c r="G18" s="22" t="s">
        <v>20</v>
      </c>
      <c r="H18" s="22" t="s">
        <v>26</v>
      </c>
      <c r="I18" s="22" t="s">
        <v>271</v>
      </c>
      <c r="J18" s="13"/>
      <c r="K18" s="22" t="s">
        <v>59</v>
      </c>
      <c r="L18" s="22" t="s">
        <v>142</v>
      </c>
      <c r="M18" s="22" t="s">
        <v>137</v>
      </c>
      <c r="N18" s="13"/>
      <c r="O18" s="22" t="s">
        <v>20</v>
      </c>
      <c r="P18" s="22" t="s">
        <v>26</v>
      </c>
      <c r="Q18" s="22" t="s">
        <v>155</v>
      </c>
      <c r="R18" s="13"/>
      <c r="S18" s="32" t="str">
        <f>"220,0"</f>
        <v>220,0</v>
      </c>
      <c r="T18" s="13" t="str">
        <f>"256,6960"</f>
        <v>256,6960</v>
      </c>
      <c r="U18" s="14" t="s">
        <v>32</v>
      </c>
    </row>
    <row r="20" spans="1:21" ht="16">
      <c r="A20" s="34" t="s">
        <v>10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1">
      <c r="A21" s="7" t="s">
        <v>7</v>
      </c>
      <c r="B21" s="8" t="s">
        <v>392</v>
      </c>
      <c r="C21" s="8" t="s">
        <v>393</v>
      </c>
      <c r="D21" s="8" t="s">
        <v>394</v>
      </c>
      <c r="E21" s="8" t="s">
        <v>518</v>
      </c>
      <c r="F21" s="8" t="s">
        <v>13</v>
      </c>
      <c r="G21" s="18" t="s">
        <v>26</v>
      </c>
      <c r="H21" s="17" t="s">
        <v>155</v>
      </c>
      <c r="I21" s="17" t="s">
        <v>156</v>
      </c>
      <c r="J21" s="7"/>
      <c r="K21" s="17" t="s">
        <v>43</v>
      </c>
      <c r="L21" s="18" t="s">
        <v>248</v>
      </c>
      <c r="M21" s="18" t="s">
        <v>248</v>
      </c>
      <c r="N21" s="7"/>
      <c r="O21" s="17" t="s">
        <v>298</v>
      </c>
      <c r="P21" s="17" t="s">
        <v>88</v>
      </c>
      <c r="Q21" s="17" t="s">
        <v>90</v>
      </c>
      <c r="R21" s="7"/>
      <c r="S21" s="28" t="str">
        <f>"265,0"</f>
        <v>265,0</v>
      </c>
      <c r="T21" s="7" t="str">
        <f>"278,0115"</f>
        <v>278,0115</v>
      </c>
      <c r="U21" s="8" t="s">
        <v>395</v>
      </c>
    </row>
    <row r="23" spans="1:21" ht="16">
      <c r="A23" s="34" t="s">
        <v>22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21">
      <c r="A24" s="11" t="s">
        <v>7</v>
      </c>
      <c r="B24" s="12" t="s">
        <v>396</v>
      </c>
      <c r="C24" s="12" t="s">
        <v>397</v>
      </c>
      <c r="D24" s="12" t="s">
        <v>398</v>
      </c>
      <c r="E24" s="12" t="s">
        <v>519</v>
      </c>
      <c r="F24" s="12" t="s">
        <v>399</v>
      </c>
      <c r="G24" s="19" t="s">
        <v>282</v>
      </c>
      <c r="H24" s="19" t="s">
        <v>169</v>
      </c>
      <c r="I24" s="20" t="s">
        <v>194</v>
      </c>
      <c r="J24" s="11"/>
      <c r="K24" s="19" t="s">
        <v>147</v>
      </c>
      <c r="L24" s="19" t="s">
        <v>80</v>
      </c>
      <c r="M24" s="19" t="s">
        <v>298</v>
      </c>
      <c r="N24" s="11"/>
      <c r="O24" s="19" t="s">
        <v>107</v>
      </c>
      <c r="P24" s="19" t="s">
        <v>108</v>
      </c>
      <c r="Q24" s="19" t="s">
        <v>97</v>
      </c>
      <c r="R24" s="11"/>
      <c r="S24" s="31" t="str">
        <f>"515,0"</f>
        <v>515,0</v>
      </c>
      <c r="T24" s="11" t="str">
        <f>"345,2560"</f>
        <v>345,2560</v>
      </c>
      <c r="U24" s="12" t="s">
        <v>32</v>
      </c>
    </row>
    <row r="25" spans="1:21">
      <c r="A25" s="15" t="s">
        <v>7</v>
      </c>
      <c r="B25" s="16" t="s">
        <v>400</v>
      </c>
      <c r="C25" s="16" t="s">
        <v>401</v>
      </c>
      <c r="D25" s="16" t="s">
        <v>402</v>
      </c>
      <c r="E25" s="16" t="s">
        <v>518</v>
      </c>
      <c r="F25" s="16" t="s">
        <v>13</v>
      </c>
      <c r="G25" s="24" t="s">
        <v>107</v>
      </c>
      <c r="H25" s="23" t="s">
        <v>107</v>
      </c>
      <c r="I25" s="24" t="s">
        <v>102</v>
      </c>
      <c r="J25" s="15"/>
      <c r="K25" s="23" t="s">
        <v>80</v>
      </c>
      <c r="L25" s="23" t="s">
        <v>298</v>
      </c>
      <c r="M25" s="15"/>
      <c r="N25" s="15"/>
      <c r="O25" s="23" t="s">
        <v>102</v>
      </c>
      <c r="P25" s="23" t="s">
        <v>350</v>
      </c>
      <c r="Q25" s="23" t="s">
        <v>403</v>
      </c>
      <c r="R25" s="15"/>
      <c r="S25" s="33" t="str">
        <f>"547,5"</f>
        <v>547,5</v>
      </c>
      <c r="T25" s="15" t="str">
        <f>"370,0552"</f>
        <v>370,0552</v>
      </c>
      <c r="U25" s="16"/>
    </row>
    <row r="26" spans="1:21">
      <c r="A26" s="15" t="s">
        <v>49</v>
      </c>
      <c r="B26" s="16" t="s">
        <v>404</v>
      </c>
      <c r="C26" s="16" t="s">
        <v>405</v>
      </c>
      <c r="D26" s="16" t="s">
        <v>279</v>
      </c>
      <c r="E26" s="16" t="s">
        <v>518</v>
      </c>
      <c r="F26" s="16" t="s">
        <v>13</v>
      </c>
      <c r="G26" s="23" t="s">
        <v>169</v>
      </c>
      <c r="H26" s="23" t="s">
        <v>320</v>
      </c>
      <c r="I26" s="23" t="s">
        <v>321</v>
      </c>
      <c r="J26" s="15"/>
      <c r="K26" s="23" t="s">
        <v>406</v>
      </c>
      <c r="L26" s="23" t="s">
        <v>80</v>
      </c>
      <c r="M26" s="23" t="s">
        <v>81</v>
      </c>
      <c r="N26" s="15"/>
      <c r="O26" s="24" t="s">
        <v>102</v>
      </c>
      <c r="P26" s="23" t="s">
        <v>407</v>
      </c>
      <c r="Q26" s="23" t="s">
        <v>408</v>
      </c>
      <c r="R26" s="15"/>
      <c r="S26" s="33" t="str">
        <f>"527,5"</f>
        <v>527,5</v>
      </c>
      <c r="T26" s="15" t="str">
        <f>"359,2803"</f>
        <v>359,2803</v>
      </c>
      <c r="U26" s="16"/>
    </row>
    <row r="27" spans="1:21">
      <c r="A27" s="15" t="s">
        <v>52</v>
      </c>
      <c r="B27" s="16" t="s">
        <v>396</v>
      </c>
      <c r="C27" s="16" t="s">
        <v>409</v>
      </c>
      <c r="D27" s="16" t="s">
        <v>398</v>
      </c>
      <c r="E27" s="16" t="s">
        <v>518</v>
      </c>
      <c r="F27" s="16" t="s">
        <v>13</v>
      </c>
      <c r="G27" s="23" t="s">
        <v>282</v>
      </c>
      <c r="H27" s="23" t="s">
        <v>169</v>
      </c>
      <c r="I27" s="24" t="s">
        <v>194</v>
      </c>
      <c r="J27" s="15"/>
      <c r="K27" s="23" t="s">
        <v>147</v>
      </c>
      <c r="L27" s="23" t="s">
        <v>80</v>
      </c>
      <c r="M27" s="23" t="s">
        <v>298</v>
      </c>
      <c r="N27" s="15"/>
      <c r="O27" s="23" t="s">
        <v>107</v>
      </c>
      <c r="P27" s="23" t="s">
        <v>108</v>
      </c>
      <c r="Q27" s="23" t="s">
        <v>97</v>
      </c>
      <c r="R27" s="15"/>
      <c r="S27" s="33" t="str">
        <f>"515,0"</f>
        <v>515,0</v>
      </c>
      <c r="T27" s="15" t="str">
        <f>"345,2560"</f>
        <v>345,2560</v>
      </c>
      <c r="U27" s="16" t="s">
        <v>32</v>
      </c>
    </row>
    <row r="28" spans="1:21">
      <c r="A28" s="15" t="s">
        <v>54</v>
      </c>
      <c r="B28" s="16" t="s">
        <v>410</v>
      </c>
      <c r="C28" s="16" t="s">
        <v>411</v>
      </c>
      <c r="D28" s="16" t="s">
        <v>412</v>
      </c>
      <c r="E28" s="16" t="s">
        <v>518</v>
      </c>
      <c r="F28" s="16" t="s">
        <v>13</v>
      </c>
      <c r="G28" s="23" t="s">
        <v>282</v>
      </c>
      <c r="H28" s="23" t="s">
        <v>184</v>
      </c>
      <c r="I28" s="23" t="s">
        <v>169</v>
      </c>
      <c r="J28" s="15"/>
      <c r="K28" s="23" t="s">
        <v>298</v>
      </c>
      <c r="L28" s="23" t="s">
        <v>88</v>
      </c>
      <c r="M28" s="23" t="s">
        <v>82</v>
      </c>
      <c r="N28" s="15"/>
      <c r="O28" s="23" t="s">
        <v>95</v>
      </c>
      <c r="P28" s="23" t="s">
        <v>107</v>
      </c>
      <c r="Q28" s="23" t="s">
        <v>102</v>
      </c>
      <c r="R28" s="15"/>
      <c r="S28" s="33" t="str">
        <f>"497,5"</f>
        <v>497,5</v>
      </c>
      <c r="T28" s="15" t="str">
        <f>"333,2753"</f>
        <v>333,2753</v>
      </c>
      <c r="U28" s="16"/>
    </row>
    <row r="29" spans="1:21">
      <c r="A29" s="15" t="s">
        <v>7</v>
      </c>
      <c r="B29" s="16" t="s">
        <v>410</v>
      </c>
      <c r="C29" s="16" t="s">
        <v>413</v>
      </c>
      <c r="D29" s="16" t="s">
        <v>412</v>
      </c>
      <c r="E29" s="16" t="s">
        <v>520</v>
      </c>
      <c r="F29" s="16" t="s">
        <v>13</v>
      </c>
      <c r="G29" s="23" t="s">
        <v>282</v>
      </c>
      <c r="H29" s="23" t="s">
        <v>184</v>
      </c>
      <c r="I29" s="23" t="s">
        <v>169</v>
      </c>
      <c r="J29" s="15"/>
      <c r="K29" s="23" t="s">
        <v>298</v>
      </c>
      <c r="L29" s="23" t="s">
        <v>88</v>
      </c>
      <c r="M29" s="23" t="s">
        <v>82</v>
      </c>
      <c r="N29" s="15"/>
      <c r="O29" s="23" t="s">
        <v>95</v>
      </c>
      <c r="P29" s="23" t="s">
        <v>107</v>
      </c>
      <c r="Q29" s="23" t="s">
        <v>102</v>
      </c>
      <c r="R29" s="15"/>
      <c r="S29" s="33" t="str">
        <f>"497,5"</f>
        <v>497,5</v>
      </c>
      <c r="T29" s="15" t="str">
        <f>"337,9411"</f>
        <v>337,9411</v>
      </c>
      <c r="U29" s="16"/>
    </row>
    <row r="30" spans="1:21">
      <c r="A30" s="13" t="s">
        <v>98</v>
      </c>
      <c r="B30" s="14" t="s">
        <v>414</v>
      </c>
      <c r="C30" s="14" t="s">
        <v>415</v>
      </c>
      <c r="D30" s="14" t="s">
        <v>279</v>
      </c>
      <c r="E30" s="14" t="s">
        <v>520</v>
      </c>
      <c r="F30" s="14" t="s">
        <v>13</v>
      </c>
      <c r="G30" s="21" t="s">
        <v>282</v>
      </c>
      <c r="H30" s="21" t="s">
        <v>282</v>
      </c>
      <c r="I30" s="13"/>
      <c r="J30" s="13"/>
      <c r="K30" s="21"/>
      <c r="L30" s="13"/>
      <c r="M30" s="13"/>
      <c r="N30" s="13"/>
      <c r="O30" s="21"/>
      <c r="P30" s="13"/>
      <c r="Q30" s="13"/>
      <c r="R30" s="13"/>
      <c r="S30" s="32">
        <v>0</v>
      </c>
      <c r="T30" s="13" t="str">
        <f>"0,0000"</f>
        <v>0,0000</v>
      </c>
      <c r="U30" s="14" t="s">
        <v>153</v>
      </c>
    </row>
    <row r="32" spans="1:21" ht="16">
      <c r="A32" s="34" t="s">
        <v>66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21">
      <c r="A33" s="7" t="s">
        <v>7</v>
      </c>
      <c r="B33" s="8" t="s">
        <v>416</v>
      </c>
      <c r="C33" s="8" t="s">
        <v>417</v>
      </c>
      <c r="D33" s="8" t="s">
        <v>418</v>
      </c>
      <c r="E33" s="8" t="s">
        <v>518</v>
      </c>
      <c r="F33" s="8" t="s">
        <v>419</v>
      </c>
      <c r="G33" s="17" t="s">
        <v>300</v>
      </c>
      <c r="H33" s="18" t="s">
        <v>408</v>
      </c>
      <c r="I33" s="17" t="s">
        <v>408</v>
      </c>
      <c r="J33" s="7"/>
      <c r="K33" s="17" t="s">
        <v>282</v>
      </c>
      <c r="L33" s="18" t="s">
        <v>169</v>
      </c>
      <c r="M33" s="17" t="s">
        <v>169</v>
      </c>
      <c r="N33" s="7"/>
      <c r="O33" s="17" t="s">
        <v>408</v>
      </c>
      <c r="P33" s="17" t="s">
        <v>403</v>
      </c>
      <c r="Q33" s="17" t="s">
        <v>370</v>
      </c>
      <c r="R33" s="7"/>
      <c r="S33" s="28" t="str">
        <f>"645,0"</f>
        <v>645,0</v>
      </c>
      <c r="T33" s="7" t="str">
        <f>"395,7720"</f>
        <v>395,7720</v>
      </c>
      <c r="U33" s="8"/>
    </row>
    <row r="37" spans="1:21" ht="18">
      <c r="B37" s="9" t="s">
        <v>213</v>
      </c>
      <c r="C37" s="9"/>
      <c r="F37" s="3"/>
    </row>
    <row r="38" spans="1:21" ht="16">
      <c r="B38" s="10" t="s">
        <v>214</v>
      </c>
      <c r="C38" s="10"/>
      <c r="F38" s="3"/>
    </row>
    <row r="39" spans="1:21" ht="14">
      <c r="B39" s="25"/>
      <c r="C39" s="26" t="s">
        <v>215</v>
      </c>
      <c r="F39" s="3"/>
    </row>
    <row r="40" spans="1:21" ht="14">
      <c r="B40" s="27" t="s">
        <v>216</v>
      </c>
      <c r="C40" s="27" t="s">
        <v>217</v>
      </c>
      <c r="D40" s="27" t="s">
        <v>512</v>
      </c>
      <c r="E40" s="27" t="s">
        <v>420</v>
      </c>
      <c r="F40" s="27" t="s">
        <v>219</v>
      </c>
    </row>
    <row r="41" spans="1:21">
      <c r="B41" s="1" t="s">
        <v>85</v>
      </c>
      <c r="C41" s="1" t="s">
        <v>215</v>
      </c>
      <c r="D41" s="2" t="s">
        <v>224</v>
      </c>
      <c r="E41" s="2" t="s">
        <v>120</v>
      </c>
      <c r="F41" s="2" t="s">
        <v>421</v>
      </c>
    </row>
    <row r="42" spans="1:21">
      <c r="B42" s="1" t="s">
        <v>386</v>
      </c>
      <c r="C42" s="1" t="s">
        <v>215</v>
      </c>
      <c r="D42" s="2" t="s">
        <v>422</v>
      </c>
      <c r="E42" s="2" t="s">
        <v>423</v>
      </c>
      <c r="F42" s="2" t="s">
        <v>424</v>
      </c>
    </row>
    <row r="43" spans="1:21">
      <c r="B43" s="1" t="s">
        <v>392</v>
      </c>
      <c r="C43" s="1" t="s">
        <v>215</v>
      </c>
      <c r="D43" s="2" t="s">
        <v>425</v>
      </c>
      <c r="E43" s="2" t="s">
        <v>423</v>
      </c>
      <c r="F43" s="2" t="s">
        <v>426</v>
      </c>
    </row>
    <row r="45" spans="1:21">
      <c r="C45" s="2"/>
      <c r="D45" s="2"/>
      <c r="E45" s="2"/>
      <c r="F45" s="2"/>
      <c r="P45" s="1"/>
      <c r="Q45" s="3"/>
      <c r="R45" s="3"/>
      <c r="S45" s="30"/>
      <c r="T45" s="3"/>
      <c r="U45" s="3"/>
    </row>
    <row r="46" spans="1:21">
      <c r="C46" s="2"/>
      <c r="D46" s="2"/>
      <c r="E46" s="2"/>
      <c r="F46" s="2"/>
      <c r="P46" s="1"/>
      <c r="Q46" s="3"/>
      <c r="R46" s="3"/>
      <c r="S46" s="30"/>
      <c r="T46" s="3"/>
      <c r="U46" s="3"/>
    </row>
    <row r="47" spans="1:21">
      <c r="C47" s="2"/>
      <c r="D47" s="2"/>
      <c r="E47" s="2"/>
      <c r="F47" s="2"/>
      <c r="P47" s="1"/>
      <c r="Q47" s="3"/>
      <c r="R47" s="3"/>
      <c r="S47" s="30"/>
      <c r="T47" s="3"/>
      <c r="U47" s="3"/>
    </row>
    <row r="48" spans="1:21">
      <c r="C48" s="2"/>
      <c r="D48" s="2"/>
      <c r="E48" s="2"/>
      <c r="F48" s="2"/>
      <c r="P48" s="1"/>
      <c r="Q48" s="3"/>
      <c r="R48" s="3"/>
      <c r="S48" s="30"/>
      <c r="T48" s="3"/>
      <c r="U48" s="3"/>
    </row>
    <row r="49" spans="3:21">
      <c r="C49" s="2"/>
      <c r="D49" s="2"/>
      <c r="E49" s="2"/>
      <c r="F49" s="2"/>
      <c r="P49" s="1"/>
      <c r="Q49" s="3"/>
      <c r="R49" s="3"/>
      <c r="S49" s="30"/>
      <c r="T49" s="3"/>
      <c r="U49" s="3"/>
    </row>
    <row r="50" spans="3:21">
      <c r="C50" s="2"/>
      <c r="D50" s="2"/>
      <c r="E50" s="2"/>
      <c r="F50" s="2"/>
      <c r="P50" s="1"/>
      <c r="Q50" s="3"/>
      <c r="R50" s="3"/>
      <c r="S50" s="30"/>
      <c r="T50" s="3"/>
      <c r="U50" s="3"/>
    </row>
    <row r="51" spans="3:21">
      <c r="C51" s="2"/>
      <c r="D51" s="2"/>
      <c r="E51" s="2"/>
      <c r="F51" s="2"/>
      <c r="P51" s="1"/>
      <c r="Q51" s="3"/>
      <c r="R51" s="3"/>
      <c r="S51" s="30"/>
      <c r="T51" s="3"/>
      <c r="U51" s="3"/>
    </row>
    <row r="52" spans="3:21">
      <c r="C52" s="2"/>
      <c r="D52" s="2"/>
      <c r="E52" s="2"/>
      <c r="F52" s="2"/>
      <c r="P52" s="1"/>
      <c r="Q52" s="3"/>
      <c r="R52" s="3"/>
      <c r="S52" s="30"/>
      <c r="T52" s="3"/>
      <c r="U52" s="3"/>
    </row>
    <row r="53" spans="3:21">
      <c r="C53" s="2"/>
      <c r="D53" s="2"/>
      <c r="E53" s="2"/>
      <c r="F53" s="2"/>
      <c r="P53" s="1"/>
      <c r="Q53" s="3"/>
      <c r="R53" s="3"/>
      <c r="S53" s="30"/>
      <c r="T53" s="3"/>
      <c r="U53" s="3"/>
    </row>
    <row r="54" spans="3:21">
      <c r="C54" s="2"/>
      <c r="D54" s="2"/>
      <c r="E54" s="2"/>
      <c r="F54" s="2"/>
      <c r="P54" s="1"/>
      <c r="Q54" s="3"/>
      <c r="R54" s="3"/>
      <c r="S54" s="30"/>
      <c r="T54" s="3"/>
      <c r="U54" s="3"/>
    </row>
    <row r="55" spans="3:21">
      <c r="C55" s="2"/>
      <c r="D55" s="2"/>
      <c r="E55" s="2"/>
      <c r="F55" s="2"/>
      <c r="P55" s="1"/>
      <c r="Q55" s="3"/>
      <c r="R55" s="3"/>
      <c r="S55" s="30"/>
      <c r="T55" s="3"/>
      <c r="U55" s="3"/>
    </row>
    <row r="56" spans="3:21">
      <c r="C56" s="2"/>
      <c r="D56" s="2"/>
      <c r="E56" s="2"/>
      <c r="F56" s="2"/>
      <c r="P56" s="1"/>
      <c r="Q56" s="3"/>
      <c r="R56" s="3"/>
      <c r="S56" s="30"/>
      <c r="T56" s="3"/>
      <c r="U56" s="3"/>
    </row>
    <row r="57" spans="3:21">
      <c r="C57" s="2"/>
      <c r="D57" s="2"/>
      <c r="E57" s="2"/>
      <c r="F57" s="2"/>
      <c r="P57" s="1"/>
      <c r="Q57" s="3"/>
      <c r="R57" s="3"/>
      <c r="S57" s="30"/>
      <c r="T57" s="3"/>
      <c r="U57" s="3"/>
    </row>
    <row r="58" spans="3:21">
      <c r="C58" s="2"/>
      <c r="D58" s="2"/>
      <c r="E58" s="2"/>
      <c r="F58" s="2"/>
      <c r="P58" s="1"/>
      <c r="Q58" s="3"/>
      <c r="R58" s="3"/>
      <c r="S58" s="30"/>
      <c r="T58" s="3"/>
      <c r="U58" s="3"/>
    </row>
    <row r="59" spans="3:21">
      <c r="C59" s="2"/>
      <c r="D59" s="2"/>
      <c r="E59" s="2"/>
      <c r="F59" s="2"/>
      <c r="P59" s="1"/>
      <c r="Q59" s="3"/>
      <c r="R59" s="3"/>
      <c r="S59" s="30"/>
      <c r="T59" s="3"/>
      <c r="U59" s="3"/>
    </row>
  </sheetData>
  <mergeCells count="20">
    <mergeCell ref="A1:U2"/>
    <mergeCell ref="U3:U4"/>
    <mergeCell ref="T3:T4"/>
    <mergeCell ref="S3:S4"/>
    <mergeCell ref="C3:C4"/>
    <mergeCell ref="D3:D4"/>
    <mergeCell ref="E3:E4"/>
    <mergeCell ref="F3:F4"/>
    <mergeCell ref="G3:J3"/>
    <mergeCell ref="K3:N3"/>
    <mergeCell ref="O3:R3"/>
    <mergeCell ref="A3:A4"/>
    <mergeCell ref="A32:R32"/>
    <mergeCell ref="A8:R8"/>
    <mergeCell ref="A5:R5"/>
    <mergeCell ref="B3:B4"/>
    <mergeCell ref="A12:R12"/>
    <mergeCell ref="A16:R16"/>
    <mergeCell ref="A20:R20"/>
    <mergeCell ref="A23:R23"/>
  </mergeCells>
  <pageMargins left="0.70000004768371604" right="0.70000004768371604" top="0.75" bottom="0.75" header="0.30000001192092901" footer="0.3000000119209290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workbookViewId="0">
      <selection activeCell="E7" sqref="E7"/>
    </sheetView>
  </sheetViews>
  <sheetFormatPr baseColWidth="10" defaultColWidth="9" defaultRowHeight="13"/>
  <cols>
    <col min="1" max="1" width="7.1640625" style="1" bestFit="1" customWidth="1"/>
    <col min="2" max="2" width="22.6640625" style="1" customWidth="1"/>
    <col min="3" max="3" width="27.1640625" style="1" bestFit="1" customWidth="1"/>
    <col min="4" max="4" width="20.6640625" style="1" bestFit="1" customWidth="1"/>
    <col min="5" max="5" width="10" style="1" bestFit="1" customWidth="1"/>
    <col min="6" max="6" width="24" style="1" bestFit="1" customWidth="1"/>
    <col min="7" max="9" width="5.5" style="2" customWidth="1"/>
    <col min="10" max="10" width="4.5" style="2" customWidth="1"/>
    <col min="11" max="11" width="10.5" style="2" bestFit="1" customWidth="1"/>
    <col min="12" max="12" width="8.5" style="2" bestFit="1" customWidth="1"/>
    <col min="13" max="13" width="22" style="1" customWidth="1"/>
    <col min="14" max="14" width="9" style="3" bestFit="1" customWidth="1"/>
    <col min="15" max="16384" width="9" style="3"/>
  </cols>
  <sheetData>
    <row r="1" spans="1:13" s="4" customFormat="1" ht="29" customHeight="1" thickBot="1">
      <c r="A1" s="40" t="s">
        <v>500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70</v>
      </c>
      <c r="H3" s="54"/>
      <c r="I3" s="54"/>
      <c r="J3" s="55"/>
      <c r="K3" s="48" t="s">
        <v>84</v>
      </c>
      <c r="L3" s="48" t="s">
        <v>4</v>
      </c>
      <c r="M3" s="46" t="s">
        <v>5</v>
      </c>
    </row>
    <row r="4" spans="1:13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39"/>
      <c r="L4" s="39"/>
      <c r="M4" s="47"/>
    </row>
    <row r="5" spans="1:13" ht="16">
      <c r="A5" s="35" t="s">
        <v>121</v>
      </c>
      <c r="B5" s="36"/>
      <c r="C5" s="36"/>
      <c r="D5" s="36"/>
      <c r="E5" s="36"/>
      <c r="F5" s="36"/>
      <c r="G5" s="36"/>
      <c r="H5" s="36"/>
      <c r="I5" s="36"/>
      <c r="J5" s="37"/>
    </row>
    <row r="6" spans="1:13">
      <c r="A6" s="7" t="s">
        <v>7</v>
      </c>
      <c r="B6" s="8" t="s">
        <v>122</v>
      </c>
      <c r="C6" s="8" t="s">
        <v>123</v>
      </c>
      <c r="D6" s="8" t="s">
        <v>124</v>
      </c>
      <c r="E6" s="8" t="s">
        <v>520</v>
      </c>
      <c r="F6" s="8" t="s">
        <v>13</v>
      </c>
      <c r="G6" s="17" t="s">
        <v>125</v>
      </c>
      <c r="H6" s="18" t="s">
        <v>126</v>
      </c>
      <c r="I6" s="18" t="s">
        <v>126</v>
      </c>
      <c r="J6" s="7"/>
      <c r="K6" s="7" t="str">
        <f>"295,0"</f>
        <v>295,0</v>
      </c>
      <c r="L6" s="7" t="str">
        <f>"183,3117"</f>
        <v>183,3117</v>
      </c>
      <c r="M6" s="8" t="s">
        <v>91</v>
      </c>
    </row>
    <row r="8" spans="1:13">
      <c r="C8" s="2"/>
      <c r="D8" s="2"/>
      <c r="E8" s="2"/>
      <c r="F8" s="2"/>
      <c r="H8" s="1"/>
      <c r="I8" s="3"/>
      <c r="J8" s="3"/>
      <c r="K8" s="3"/>
      <c r="L8" s="3"/>
      <c r="M8" s="3"/>
    </row>
    <row r="9" spans="1:13">
      <c r="C9" s="2"/>
      <c r="D9" s="2"/>
      <c r="E9" s="2"/>
      <c r="F9" s="2"/>
      <c r="H9" s="1"/>
      <c r="I9" s="3"/>
      <c r="J9" s="3"/>
      <c r="K9" s="3"/>
      <c r="L9" s="3"/>
      <c r="M9" s="3"/>
    </row>
    <row r="10" spans="1:13">
      <c r="C10" s="2"/>
      <c r="D10" s="2"/>
      <c r="E10" s="2"/>
      <c r="F10" s="2"/>
      <c r="H10" s="1"/>
      <c r="I10" s="3"/>
      <c r="J10" s="3"/>
      <c r="K10" s="3"/>
      <c r="L10" s="3"/>
      <c r="M10" s="3"/>
    </row>
    <row r="11" spans="1:13">
      <c r="C11" s="2"/>
      <c r="D11" s="2"/>
      <c r="E11" s="2"/>
      <c r="F11" s="2"/>
      <c r="H11" s="1"/>
      <c r="I11" s="3"/>
      <c r="J11" s="3"/>
      <c r="K11" s="3"/>
      <c r="L11" s="3"/>
      <c r="M11" s="3"/>
    </row>
    <row r="12" spans="1:13">
      <c r="C12" s="2"/>
      <c r="D12" s="2"/>
      <c r="E12" s="2"/>
      <c r="F12" s="2"/>
      <c r="H12" s="1"/>
      <c r="I12" s="3"/>
      <c r="J12" s="3"/>
      <c r="K12" s="3"/>
      <c r="L12" s="3"/>
      <c r="M12" s="3"/>
    </row>
    <row r="13" spans="1:13">
      <c r="C13" s="2"/>
      <c r="D13" s="2"/>
      <c r="E13" s="2"/>
      <c r="F13" s="2"/>
      <c r="H13" s="1"/>
      <c r="I13" s="3"/>
      <c r="J13" s="3"/>
      <c r="K13" s="3"/>
      <c r="L13" s="3"/>
      <c r="M13" s="3"/>
    </row>
    <row r="14" spans="1:13">
      <c r="C14" s="2"/>
      <c r="D14" s="2"/>
      <c r="E14" s="2"/>
      <c r="F14" s="2"/>
      <c r="H14" s="1"/>
      <c r="I14" s="3"/>
      <c r="J14" s="3"/>
      <c r="K14" s="3"/>
      <c r="L14" s="3"/>
      <c r="M14" s="3"/>
    </row>
    <row r="15" spans="1:13">
      <c r="C15" s="2"/>
      <c r="D15" s="2"/>
      <c r="E15" s="2"/>
      <c r="F15" s="2"/>
      <c r="H15" s="1"/>
      <c r="I15" s="3"/>
      <c r="J15" s="3"/>
      <c r="K15" s="3"/>
      <c r="L15" s="3"/>
      <c r="M15" s="3"/>
    </row>
    <row r="16" spans="1:13">
      <c r="C16" s="2"/>
      <c r="D16" s="2"/>
      <c r="E16" s="2"/>
      <c r="F16" s="2"/>
      <c r="H16" s="1"/>
      <c r="I16" s="3"/>
      <c r="J16" s="3"/>
      <c r="K16" s="3"/>
      <c r="L16" s="3"/>
      <c r="M16" s="3"/>
    </row>
    <row r="17" spans="3:13">
      <c r="C17" s="2"/>
      <c r="D17" s="2"/>
      <c r="E17" s="2"/>
      <c r="F17" s="2"/>
      <c r="H17" s="1"/>
      <c r="I17" s="3"/>
      <c r="J17" s="3"/>
      <c r="K17" s="3"/>
      <c r="L17" s="3"/>
      <c r="M17" s="3"/>
    </row>
    <row r="18" spans="3:13">
      <c r="C18" s="2"/>
      <c r="D18" s="2"/>
      <c r="E18" s="2"/>
      <c r="F18" s="2"/>
      <c r="H18" s="1"/>
      <c r="I18" s="3"/>
      <c r="J18" s="3"/>
      <c r="K18" s="3"/>
      <c r="L18" s="3"/>
      <c r="M18" s="3"/>
    </row>
    <row r="19" spans="3:13">
      <c r="C19" s="2"/>
      <c r="D19" s="2"/>
      <c r="E19" s="2"/>
      <c r="F19" s="2"/>
      <c r="H19" s="1"/>
      <c r="I19" s="3"/>
      <c r="J19" s="3"/>
      <c r="K19" s="3"/>
      <c r="L19" s="3"/>
      <c r="M19" s="3"/>
    </row>
    <row r="20" spans="3:13">
      <c r="C20" s="2"/>
      <c r="D20" s="2"/>
      <c r="E20" s="2"/>
      <c r="F20" s="2"/>
      <c r="H20" s="1"/>
      <c r="I20" s="3"/>
      <c r="J20" s="3"/>
      <c r="K20" s="3"/>
      <c r="L20" s="3"/>
      <c r="M20" s="3"/>
    </row>
    <row r="21" spans="3:13">
      <c r="C21" s="2"/>
      <c r="D21" s="2"/>
      <c r="E21" s="2"/>
      <c r="F21" s="2"/>
      <c r="H21" s="1"/>
      <c r="I21" s="3"/>
      <c r="J21" s="3"/>
      <c r="K21" s="3"/>
      <c r="L21" s="3"/>
      <c r="M21" s="3"/>
    </row>
    <row r="22" spans="3:13">
      <c r="C22" s="2"/>
      <c r="D22" s="2"/>
      <c r="E22" s="2"/>
      <c r="F22" s="2"/>
      <c r="H22" s="1"/>
      <c r="I22" s="3"/>
      <c r="J22" s="3"/>
      <c r="K22" s="3"/>
      <c r="L22" s="3"/>
      <c r="M22" s="3"/>
    </row>
    <row r="23" spans="3:13">
      <c r="C23" s="2"/>
      <c r="D23" s="2"/>
      <c r="E23" s="2"/>
      <c r="F23" s="2"/>
      <c r="H23" s="1"/>
      <c r="I23" s="3"/>
      <c r="J23" s="3"/>
      <c r="K23" s="3"/>
      <c r="L23" s="3"/>
      <c r="M23" s="3"/>
    </row>
    <row r="24" spans="3:13">
      <c r="C24" s="2"/>
      <c r="D24" s="2"/>
      <c r="E24" s="2"/>
      <c r="F24" s="2"/>
      <c r="H24" s="1"/>
      <c r="I24" s="3"/>
      <c r="J24" s="3"/>
      <c r="K24" s="3"/>
      <c r="L24" s="3"/>
      <c r="M24" s="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0000004768371604" right="0.70000004768371604" top="0.75" bottom="0.75" header="0.30000001192092901" footer="0.3000000119209290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8"/>
  <sheetViews>
    <sheetView workbookViewId="0">
      <selection sqref="A1:M2"/>
    </sheetView>
  </sheetViews>
  <sheetFormatPr baseColWidth="10" defaultColWidth="9" defaultRowHeight="13"/>
  <cols>
    <col min="1" max="1" width="7.1640625" style="1" bestFit="1" customWidth="1"/>
    <col min="2" max="2" width="19.6640625" style="1" bestFit="1" customWidth="1"/>
    <col min="3" max="3" width="27.1640625" style="1" bestFit="1" customWidth="1"/>
    <col min="4" max="4" width="20.6640625" style="1" bestFit="1" customWidth="1"/>
    <col min="5" max="5" width="10" style="1" bestFit="1" customWidth="1"/>
    <col min="6" max="6" width="27.83203125" style="1" bestFit="1" customWidth="1"/>
    <col min="7" max="9" width="5.5" style="2" customWidth="1"/>
    <col min="10" max="10" width="4.5" style="2" customWidth="1"/>
    <col min="11" max="11" width="10.5" style="29" bestFit="1" customWidth="1"/>
    <col min="12" max="12" width="8.5" style="60" bestFit="1" customWidth="1"/>
    <col min="13" max="13" width="20" style="1" customWidth="1"/>
    <col min="14" max="14" width="9" style="3" bestFit="1" customWidth="1"/>
    <col min="15" max="16384" width="9" style="3"/>
  </cols>
  <sheetData>
    <row r="1" spans="1:13" s="4" customFormat="1" ht="29" customHeight="1" thickBot="1">
      <c r="A1" s="40" t="s">
        <v>497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71</v>
      </c>
      <c r="H3" s="54"/>
      <c r="I3" s="54"/>
      <c r="J3" s="55"/>
      <c r="K3" s="49" t="s">
        <v>84</v>
      </c>
      <c r="L3" s="58" t="s">
        <v>4</v>
      </c>
      <c r="M3" s="46" t="s">
        <v>5</v>
      </c>
    </row>
    <row r="4" spans="1:13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50"/>
      <c r="L4" s="59"/>
      <c r="M4" s="47"/>
    </row>
    <row r="5" spans="1:13" ht="16">
      <c r="A5" s="35" t="s">
        <v>74</v>
      </c>
      <c r="B5" s="36"/>
      <c r="C5" s="36"/>
      <c r="D5" s="36"/>
      <c r="E5" s="36"/>
      <c r="F5" s="36"/>
      <c r="G5" s="36"/>
      <c r="H5" s="36"/>
      <c r="I5" s="36"/>
      <c r="J5" s="37"/>
    </row>
    <row r="6" spans="1:13">
      <c r="A6" s="7" t="s">
        <v>7</v>
      </c>
      <c r="B6" s="8" t="s">
        <v>85</v>
      </c>
      <c r="C6" s="8" t="s">
        <v>86</v>
      </c>
      <c r="D6" s="8" t="s">
        <v>87</v>
      </c>
      <c r="E6" s="8" t="s">
        <v>518</v>
      </c>
      <c r="F6" s="8" t="s">
        <v>13</v>
      </c>
      <c r="G6" s="17" t="s">
        <v>88</v>
      </c>
      <c r="H6" s="17" t="s">
        <v>89</v>
      </c>
      <c r="I6" s="17" t="s">
        <v>90</v>
      </c>
      <c r="J6" s="7"/>
      <c r="K6" s="28" t="str">
        <f>"130,0"</f>
        <v>130,0</v>
      </c>
      <c r="L6" s="61" t="str">
        <f>"156,7020"</f>
        <v>156,7020</v>
      </c>
      <c r="M6" s="8" t="s">
        <v>91</v>
      </c>
    </row>
    <row r="8" spans="1:13" ht="16">
      <c r="A8" s="34" t="s">
        <v>27</v>
      </c>
      <c r="B8" s="34"/>
      <c r="C8" s="34"/>
      <c r="D8" s="34"/>
      <c r="E8" s="34"/>
      <c r="F8" s="34"/>
      <c r="G8" s="34"/>
      <c r="H8" s="34"/>
      <c r="I8" s="34"/>
      <c r="J8" s="34"/>
    </row>
    <row r="9" spans="1:13">
      <c r="A9" s="11" t="s">
        <v>7</v>
      </c>
      <c r="B9" s="12" t="s">
        <v>92</v>
      </c>
      <c r="C9" s="12" t="s">
        <v>93</v>
      </c>
      <c r="D9" s="12" t="s">
        <v>94</v>
      </c>
      <c r="E9" s="12" t="s">
        <v>518</v>
      </c>
      <c r="F9" s="12" t="s">
        <v>13</v>
      </c>
      <c r="G9" s="19" t="s">
        <v>95</v>
      </c>
      <c r="H9" s="19" t="s">
        <v>96</v>
      </c>
      <c r="I9" s="20" t="s">
        <v>97</v>
      </c>
      <c r="J9" s="11"/>
      <c r="K9" s="31" t="str">
        <f>"202,5"</f>
        <v>202,5</v>
      </c>
      <c r="L9" s="62" t="str">
        <f>"129,8633"</f>
        <v>129,8633</v>
      </c>
      <c r="M9" s="12"/>
    </row>
    <row r="10" spans="1:13">
      <c r="A10" s="13" t="s">
        <v>98</v>
      </c>
      <c r="B10" s="14" t="s">
        <v>99</v>
      </c>
      <c r="C10" s="14" t="s">
        <v>100</v>
      </c>
      <c r="D10" s="14" t="s">
        <v>101</v>
      </c>
      <c r="E10" s="14" t="s">
        <v>518</v>
      </c>
      <c r="F10" s="14" t="s">
        <v>19</v>
      </c>
      <c r="G10" s="21" t="s">
        <v>102</v>
      </c>
      <c r="H10" s="21" t="s">
        <v>102</v>
      </c>
      <c r="I10" s="21" t="s">
        <v>102</v>
      </c>
      <c r="J10" s="13"/>
      <c r="K10" s="32">
        <v>0</v>
      </c>
      <c r="L10" s="63" t="str">
        <f>"0,0000"</f>
        <v>0,0000</v>
      </c>
      <c r="M10" s="14" t="s">
        <v>32</v>
      </c>
    </row>
    <row r="12" spans="1:13" ht="16">
      <c r="A12" s="34" t="s">
        <v>66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3">
      <c r="A13" s="7" t="s">
        <v>7</v>
      </c>
      <c r="B13" s="8" t="s">
        <v>104</v>
      </c>
      <c r="C13" s="8" t="s">
        <v>105</v>
      </c>
      <c r="D13" s="8" t="s">
        <v>106</v>
      </c>
      <c r="E13" s="8" t="s">
        <v>520</v>
      </c>
      <c r="F13" s="8" t="s">
        <v>13</v>
      </c>
      <c r="G13" s="17" t="s">
        <v>107</v>
      </c>
      <c r="H13" s="18" t="s">
        <v>108</v>
      </c>
      <c r="I13" s="18" t="s">
        <v>108</v>
      </c>
      <c r="J13" s="7"/>
      <c r="K13" s="28" t="str">
        <f>"200,0"</f>
        <v>200,0</v>
      </c>
      <c r="L13" s="61">
        <v>122.06</v>
      </c>
      <c r="M13" s="8"/>
    </row>
    <row r="15" spans="1:13">
      <c r="C15" s="2"/>
      <c r="D15" s="2"/>
      <c r="E15" s="2"/>
      <c r="F15" s="2"/>
      <c r="H15" s="1"/>
      <c r="I15" s="3"/>
      <c r="J15" s="3"/>
      <c r="K15" s="30"/>
      <c r="L15" s="64"/>
      <c r="M15" s="3"/>
    </row>
    <row r="16" spans="1:13">
      <c r="C16" s="2"/>
      <c r="D16" s="2"/>
      <c r="E16" s="2"/>
      <c r="F16" s="2"/>
      <c r="H16" s="1"/>
      <c r="I16" s="3"/>
      <c r="J16" s="3"/>
      <c r="K16" s="30"/>
      <c r="L16" s="64"/>
      <c r="M16" s="3"/>
    </row>
    <row r="17" spans="3:13">
      <c r="C17" s="2"/>
      <c r="D17" s="2"/>
      <c r="E17" s="2"/>
      <c r="F17" s="2"/>
      <c r="H17" s="1"/>
      <c r="I17" s="3"/>
      <c r="J17" s="3"/>
      <c r="K17" s="30"/>
      <c r="L17" s="64"/>
      <c r="M17" s="3"/>
    </row>
    <row r="18" spans="3:13">
      <c r="C18" s="2"/>
      <c r="D18" s="2"/>
      <c r="E18" s="2"/>
      <c r="F18" s="2"/>
      <c r="H18" s="1"/>
      <c r="I18" s="3"/>
      <c r="J18" s="3"/>
      <c r="K18" s="30"/>
      <c r="L18" s="64"/>
      <c r="M18" s="3"/>
    </row>
    <row r="19" spans="3:13">
      <c r="C19" s="2"/>
      <c r="D19" s="2"/>
      <c r="E19" s="2"/>
      <c r="F19" s="2"/>
      <c r="H19" s="1"/>
      <c r="I19" s="3"/>
      <c r="J19" s="3"/>
      <c r="K19" s="30"/>
      <c r="L19" s="64"/>
      <c r="M19" s="3"/>
    </row>
    <row r="20" spans="3:13">
      <c r="C20" s="2"/>
      <c r="D20" s="2"/>
      <c r="E20" s="2"/>
      <c r="F20" s="2"/>
      <c r="H20" s="1"/>
      <c r="I20" s="3"/>
      <c r="J20" s="3"/>
      <c r="K20" s="30"/>
      <c r="L20" s="64"/>
      <c r="M20" s="3"/>
    </row>
    <row r="21" spans="3:13">
      <c r="C21" s="2"/>
      <c r="D21" s="2"/>
      <c r="E21" s="2"/>
      <c r="F21" s="2"/>
      <c r="H21" s="1"/>
      <c r="I21" s="3"/>
      <c r="J21" s="3"/>
      <c r="K21" s="30"/>
      <c r="L21" s="64"/>
      <c r="M21" s="3"/>
    </row>
    <row r="22" spans="3:13">
      <c r="C22" s="2"/>
      <c r="D22" s="2"/>
      <c r="E22" s="2"/>
      <c r="F22" s="2"/>
      <c r="H22" s="1"/>
      <c r="I22" s="3"/>
      <c r="J22" s="3"/>
      <c r="K22" s="30"/>
      <c r="L22" s="64"/>
      <c r="M22" s="3"/>
    </row>
    <row r="23" spans="3:13">
      <c r="C23" s="2"/>
      <c r="D23" s="2"/>
      <c r="E23" s="2"/>
      <c r="F23" s="2"/>
      <c r="H23" s="1"/>
      <c r="I23" s="3"/>
      <c r="J23" s="3"/>
      <c r="K23" s="30"/>
      <c r="L23" s="64"/>
      <c r="M23" s="3"/>
    </row>
    <row r="24" spans="3:13">
      <c r="C24" s="2"/>
      <c r="D24" s="2"/>
      <c r="E24" s="2"/>
      <c r="F24" s="2"/>
      <c r="H24" s="1"/>
      <c r="I24" s="3"/>
      <c r="J24" s="3"/>
      <c r="K24" s="30"/>
      <c r="L24" s="64"/>
      <c r="M24" s="3"/>
    </row>
    <row r="25" spans="3:13">
      <c r="C25" s="2"/>
      <c r="D25" s="2"/>
      <c r="E25" s="2"/>
      <c r="F25" s="2"/>
      <c r="H25" s="1"/>
      <c r="I25" s="3"/>
      <c r="J25" s="3"/>
      <c r="K25" s="30"/>
      <c r="L25" s="64"/>
      <c r="M25" s="3"/>
    </row>
    <row r="26" spans="3:13">
      <c r="C26" s="2"/>
      <c r="D26" s="2"/>
      <c r="E26" s="2"/>
      <c r="F26" s="2"/>
      <c r="H26" s="1"/>
      <c r="I26" s="3"/>
      <c r="J26" s="3"/>
      <c r="K26" s="30"/>
      <c r="L26" s="64"/>
      <c r="M26" s="3"/>
    </row>
    <row r="27" spans="3:13">
      <c r="C27" s="2"/>
      <c r="D27" s="2"/>
      <c r="E27" s="2"/>
      <c r="F27" s="2"/>
      <c r="H27" s="1"/>
      <c r="I27" s="3"/>
      <c r="J27" s="3"/>
      <c r="K27" s="30"/>
      <c r="L27" s="64"/>
      <c r="M27" s="3"/>
    </row>
    <row r="28" spans="3:13">
      <c r="C28" s="2"/>
      <c r="D28" s="2"/>
      <c r="E28" s="2"/>
      <c r="F28" s="2"/>
      <c r="H28" s="1"/>
      <c r="I28" s="3"/>
      <c r="J28" s="3"/>
      <c r="K28" s="30"/>
      <c r="L28" s="64"/>
      <c r="M28" s="3"/>
    </row>
    <row r="29" spans="3:13">
      <c r="C29" s="2"/>
      <c r="D29" s="2"/>
      <c r="E29" s="2"/>
      <c r="F29" s="2"/>
      <c r="H29" s="1"/>
      <c r="I29" s="3"/>
      <c r="J29" s="3"/>
      <c r="K29" s="30"/>
      <c r="L29" s="64"/>
      <c r="M29" s="3"/>
    </row>
    <row r="30" spans="3:13">
      <c r="C30" s="2"/>
      <c r="D30" s="2"/>
      <c r="E30" s="2"/>
      <c r="F30" s="2"/>
      <c r="H30" s="1"/>
      <c r="I30" s="3"/>
      <c r="J30" s="3"/>
      <c r="K30" s="30"/>
      <c r="L30" s="64"/>
      <c r="M30" s="3"/>
    </row>
    <row r="31" spans="3:13">
      <c r="C31" s="2"/>
      <c r="D31" s="2"/>
      <c r="E31" s="2"/>
      <c r="F31" s="2"/>
      <c r="H31" s="1"/>
      <c r="I31" s="3"/>
      <c r="J31" s="3"/>
      <c r="K31" s="30"/>
      <c r="L31" s="64"/>
      <c r="M31" s="3"/>
    </row>
    <row r="32" spans="3:13">
      <c r="C32" s="2"/>
      <c r="D32" s="2"/>
      <c r="E32" s="2"/>
      <c r="F32" s="2"/>
      <c r="H32" s="1"/>
      <c r="I32" s="3"/>
      <c r="J32" s="3"/>
      <c r="K32" s="30"/>
      <c r="L32" s="64"/>
      <c r="M32" s="3"/>
    </row>
    <row r="33" spans="3:13">
      <c r="C33" s="2"/>
      <c r="D33" s="2"/>
      <c r="E33" s="2"/>
      <c r="F33" s="2"/>
      <c r="H33" s="1"/>
      <c r="I33" s="3"/>
      <c r="J33" s="3"/>
      <c r="K33" s="30"/>
      <c r="L33" s="64"/>
      <c r="M33" s="3"/>
    </row>
    <row r="34" spans="3:13">
      <c r="C34" s="2"/>
      <c r="D34" s="2"/>
      <c r="E34" s="2"/>
      <c r="F34" s="2"/>
      <c r="H34" s="1"/>
      <c r="I34" s="3"/>
      <c r="J34" s="3"/>
      <c r="K34" s="30"/>
      <c r="L34" s="64"/>
      <c r="M34" s="3"/>
    </row>
    <row r="35" spans="3:13">
      <c r="C35" s="2"/>
      <c r="D35" s="2"/>
      <c r="E35" s="2"/>
      <c r="F35" s="2"/>
      <c r="H35" s="1"/>
      <c r="I35" s="3"/>
      <c r="J35" s="3"/>
      <c r="K35" s="30"/>
      <c r="L35" s="64"/>
      <c r="M35" s="3"/>
    </row>
    <row r="36" spans="3:13">
      <c r="C36" s="2"/>
      <c r="D36" s="2"/>
      <c r="E36" s="2"/>
      <c r="F36" s="2"/>
      <c r="H36" s="1"/>
      <c r="I36" s="3"/>
      <c r="J36" s="3"/>
      <c r="K36" s="30"/>
      <c r="L36" s="64"/>
      <c r="M36" s="3"/>
    </row>
    <row r="37" spans="3:13">
      <c r="C37" s="2"/>
      <c r="D37" s="2"/>
      <c r="E37" s="2"/>
      <c r="F37" s="2"/>
      <c r="H37" s="1"/>
      <c r="I37" s="3"/>
      <c r="J37" s="3"/>
      <c r="K37" s="30"/>
      <c r="L37" s="64"/>
      <c r="M37" s="3"/>
    </row>
    <row r="38" spans="3:13">
      <c r="C38" s="2"/>
      <c r="D38" s="2"/>
      <c r="E38" s="2"/>
      <c r="F38" s="2"/>
      <c r="H38" s="1"/>
      <c r="I38" s="3"/>
      <c r="J38" s="3"/>
      <c r="K38" s="30"/>
      <c r="L38" s="64"/>
      <c r="M38" s="3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0000004768371604" right="0.70000004768371604" top="0.75" bottom="0.75" header="0.30000001192092901" footer="0.3000000119209290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2"/>
  <sheetViews>
    <sheetView tabSelected="1" workbookViewId="0">
      <selection sqref="A1:M2"/>
    </sheetView>
  </sheetViews>
  <sheetFormatPr baseColWidth="10" defaultColWidth="9" defaultRowHeight="13"/>
  <cols>
    <col min="1" max="1" width="7.1640625" style="1" bestFit="1" customWidth="1"/>
    <col min="2" max="2" width="19" style="1" bestFit="1" customWidth="1"/>
    <col min="3" max="3" width="26.1640625" style="1" bestFit="1" customWidth="1"/>
    <col min="4" max="4" width="20.6640625" style="1" bestFit="1" customWidth="1"/>
    <col min="5" max="5" width="10" style="1" bestFit="1" customWidth="1"/>
    <col min="6" max="6" width="23.6640625" style="1" bestFit="1" customWidth="1"/>
    <col min="7" max="10" width="5.5" style="2" customWidth="1"/>
    <col min="11" max="11" width="10.5" style="2" bestFit="1" customWidth="1"/>
    <col min="12" max="12" width="7.5" style="2" bestFit="1" customWidth="1"/>
    <col min="13" max="13" width="18.6640625" style="1" customWidth="1"/>
    <col min="14" max="14" width="9" style="3" bestFit="1" customWidth="1"/>
    <col min="15" max="16384" width="9" style="3"/>
  </cols>
  <sheetData>
    <row r="1" spans="1:13" s="4" customFormat="1" ht="29" customHeight="1" thickBot="1">
      <c r="A1" s="40" t="s">
        <v>498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71</v>
      </c>
      <c r="H3" s="54"/>
      <c r="I3" s="54"/>
      <c r="J3" s="55"/>
      <c r="K3" s="48" t="s">
        <v>84</v>
      </c>
      <c r="L3" s="48" t="s">
        <v>4</v>
      </c>
      <c r="M3" s="46" t="s">
        <v>5</v>
      </c>
    </row>
    <row r="4" spans="1:13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39"/>
      <c r="L4" s="39"/>
      <c r="M4" s="47"/>
    </row>
    <row r="5" spans="1:13" ht="16">
      <c r="A5" s="35" t="s">
        <v>45</v>
      </c>
      <c r="B5" s="36"/>
      <c r="C5" s="36"/>
      <c r="D5" s="36"/>
      <c r="E5" s="36"/>
      <c r="F5" s="36"/>
      <c r="G5" s="36"/>
      <c r="H5" s="36"/>
      <c r="I5" s="36"/>
      <c r="J5" s="37"/>
    </row>
    <row r="6" spans="1:13">
      <c r="A6" s="7" t="s">
        <v>7</v>
      </c>
      <c r="B6" s="8" t="s">
        <v>109</v>
      </c>
      <c r="C6" s="8" t="s">
        <v>110</v>
      </c>
      <c r="D6" s="8" t="s">
        <v>111</v>
      </c>
      <c r="E6" s="8" t="s">
        <v>523</v>
      </c>
      <c r="F6" s="8" t="s">
        <v>13</v>
      </c>
      <c r="G6" s="17" t="s">
        <v>112</v>
      </c>
      <c r="H6" s="17" t="s">
        <v>78</v>
      </c>
      <c r="I6" s="17" t="s">
        <v>14</v>
      </c>
      <c r="J6" s="7"/>
      <c r="K6" s="7" t="str">
        <f>"65,0"</f>
        <v>65,0</v>
      </c>
      <c r="L6" s="7" t="str">
        <f>"66,3650"</f>
        <v>66,3650</v>
      </c>
      <c r="M6" s="8"/>
    </row>
    <row r="8" spans="1:13" ht="16">
      <c r="A8" s="34" t="s">
        <v>74</v>
      </c>
      <c r="B8" s="34"/>
      <c r="C8" s="34"/>
      <c r="D8" s="34"/>
      <c r="E8" s="34"/>
      <c r="F8" s="34"/>
      <c r="G8" s="34"/>
      <c r="H8" s="34"/>
      <c r="I8" s="34"/>
      <c r="J8" s="34"/>
    </row>
    <row r="9" spans="1:13">
      <c r="A9" s="7" t="s">
        <v>7</v>
      </c>
      <c r="B9" s="8" t="s">
        <v>113</v>
      </c>
      <c r="C9" s="8" t="s">
        <v>114</v>
      </c>
      <c r="D9" s="8" t="s">
        <v>115</v>
      </c>
      <c r="E9" s="8" t="s">
        <v>523</v>
      </c>
      <c r="F9" s="8" t="s">
        <v>13</v>
      </c>
      <c r="G9" s="17" t="s">
        <v>112</v>
      </c>
      <c r="H9" s="17" t="s">
        <v>78</v>
      </c>
      <c r="I9" s="17" t="s">
        <v>14</v>
      </c>
      <c r="J9" s="7"/>
      <c r="K9" s="7" t="str">
        <f>"65,0"</f>
        <v>65,0</v>
      </c>
      <c r="L9" s="7" t="str">
        <f>"60,5605"</f>
        <v>60,5605</v>
      </c>
      <c r="M9" s="8"/>
    </row>
    <row r="11" spans="1:13">
      <c r="C11" s="2"/>
      <c r="D11" s="2"/>
      <c r="E11" s="2"/>
      <c r="F11" s="2"/>
      <c r="H11" s="1"/>
      <c r="I11" s="3"/>
      <c r="J11" s="3"/>
      <c r="K11" s="3"/>
      <c r="L11" s="3"/>
      <c r="M11" s="3"/>
    </row>
    <row r="12" spans="1:13">
      <c r="C12" s="2"/>
      <c r="D12" s="2"/>
      <c r="E12" s="2"/>
      <c r="F12" s="2"/>
      <c r="H12" s="1"/>
      <c r="I12" s="3"/>
      <c r="J12" s="3"/>
      <c r="K12" s="3"/>
      <c r="L12" s="3"/>
      <c r="M12" s="3"/>
    </row>
    <row r="13" spans="1:13">
      <c r="C13" s="2"/>
      <c r="D13" s="2"/>
      <c r="E13" s="2"/>
      <c r="F13" s="2"/>
      <c r="H13" s="1"/>
      <c r="I13" s="3"/>
      <c r="J13" s="3"/>
      <c r="K13" s="3"/>
      <c r="L13" s="3"/>
      <c r="M13" s="3"/>
    </row>
    <row r="14" spans="1:13">
      <c r="C14" s="2"/>
      <c r="D14" s="2"/>
      <c r="E14" s="2"/>
      <c r="F14" s="2"/>
      <c r="H14" s="1"/>
      <c r="I14" s="3"/>
      <c r="J14" s="3"/>
      <c r="K14" s="3"/>
      <c r="L14" s="3"/>
      <c r="M14" s="3"/>
    </row>
    <row r="15" spans="1:13">
      <c r="C15" s="2"/>
      <c r="D15" s="2"/>
      <c r="E15" s="2"/>
      <c r="F15" s="2"/>
      <c r="H15" s="1"/>
      <c r="I15" s="3"/>
      <c r="J15" s="3"/>
      <c r="K15" s="3"/>
      <c r="L15" s="3"/>
      <c r="M15" s="3"/>
    </row>
    <row r="16" spans="1:13">
      <c r="C16" s="2"/>
      <c r="D16" s="2"/>
      <c r="E16" s="2"/>
      <c r="F16" s="2"/>
      <c r="H16" s="1"/>
      <c r="I16" s="3"/>
      <c r="J16" s="3"/>
      <c r="K16" s="3"/>
      <c r="L16" s="3"/>
      <c r="M16" s="3"/>
    </row>
    <row r="17" spans="3:13">
      <c r="C17" s="2"/>
      <c r="D17" s="2"/>
      <c r="E17" s="2"/>
      <c r="F17" s="2"/>
      <c r="H17" s="1"/>
      <c r="I17" s="3"/>
      <c r="J17" s="3"/>
      <c r="K17" s="3"/>
      <c r="L17" s="3"/>
      <c r="M17" s="3"/>
    </row>
    <row r="18" spans="3:13">
      <c r="C18" s="2"/>
      <c r="D18" s="2"/>
      <c r="E18" s="2"/>
      <c r="F18" s="2"/>
      <c r="H18" s="1"/>
      <c r="I18" s="3"/>
      <c r="J18" s="3"/>
      <c r="K18" s="3"/>
      <c r="L18" s="3"/>
      <c r="M18" s="3"/>
    </row>
    <row r="19" spans="3:13">
      <c r="C19" s="2"/>
      <c r="D19" s="2"/>
      <c r="E19" s="2"/>
      <c r="F19" s="2"/>
      <c r="H19" s="1"/>
      <c r="I19" s="3"/>
      <c r="J19" s="3"/>
      <c r="K19" s="3"/>
      <c r="L19" s="3"/>
      <c r="M19" s="3"/>
    </row>
    <row r="20" spans="3:13">
      <c r="C20" s="2"/>
      <c r="D20" s="2"/>
      <c r="E20" s="2"/>
      <c r="F20" s="2"/>
      <c r="H20" s="1"/>
      <c r="I20" s="3"/>
      <c r="J20" s="3"/>
      <c r="K20" s="3"/>
      <c r="L20" s="3"/>
      <c r="M20" s="3"/>
    </row>
    <row r="21" spans="3:13">
      <c r="C21" s="2"/>
      <c r="D21" s="2"/>
      <c r="E21" s="2"/>
      <c r="F21" s="2"/>
      <c r="H21" s="1"/>
      <c r="I21" s="3"/>
      <c r="J21" s="3"/>
      <c r="K21" s="3"/>
      <c r="L21" s="3"/>
      <c r="M21" s="3"/>
    </row>
    <row r="22" spans="3:13">
      <c r="C22" s="2"/>
      <c r="D22" s="2"/>
      <c r="E22" s="2"/>
      <c r="F22" s="2"/>
      <c r="H22" s="1"/>
      <c r="I22" s="3"/>
      <c r="J22" s="3"/>
      <c r="K22" s="3"/>
      <c r="L22" s="3"/>
      <c r="M22" s="3"/>
    </row>
    <row r="23" spans="3:13">
      <c r="C23" s="2"/>
      <c r="D23" s="2"/>
      <c r="E23" s="2"/>
      <c r="F23" s="2"/>
      <c r="H23" s="1"/>
      <c r="I23" s="3"/>
      <c r="J23" s="3"/>
      <c r="K23" s="3"/>
      <c r="L23" s="3"/>
      <c r="M23" s="3"/>
    </row>
    <row r="24" spans="3:13">
      <c r="C24" s="2"/>
      <c r="D24" s="2"/>
      <c r="E24" s="2"/>
      <c r="F24" s="2"/>
      <c r="H24" s="1"/>
      <c r="I24" s="3"/>
      <c r="J24" s="3"/>
      <c r="K24" s="3"/>
      <c r="L24" s="3"/>
      <c r="M24" s="3"/>
    </row>
    <row r="25" spans="3:13">
      <c r="C25" s="2"/>
      <c r="D25" s="2"/>
      <c r="E25" s="2"/>
      <c r="F25" s="2"/>
      <c r="H25" s="1"/>
      <c r="I25" s="3"/>
      <c r="J25" s="3"/>
      <c r="K25" s="3"/>
      <c r="L25" s="3"/>
      <c r="M25" s="3"/>
    </row>
    <row r="26" spans="3:13">
      <c r="C26" s="2"/>
      <c r="D26" s="2"/>
      <c r="E26" s="2"/>
      <c r="F26" s="2"/>
      <c r="H26" s="1"/>
      <c r="I26" s="3"/>
      <c r="J26" s="3"/>
      <c r="K26" s="3"/>
      <c r="L26" s="3"/>
      <c r="M26" s="3"/>
    </row>
    <row r="27" spans="3:13">
      <c r="C27" s="2"/>
      <c r="D27" s="2"/>
      <c r="E27" s="2"/>
      <c r="F27" s="2"/>
      <c r="H27" s="1"/>
      <c r="I27" s="3"/>
      <c r="J27" s="3"/>
      <c r="K27" s="3"/>
      <c r="L27" s="3"/>
      <c r="M27" s="3"/>
    </row>
    <row r="28" spans="3:13">
      <c r="C28" s="2"/>
      <c r="D28" s="2"/>
      <c r="E28" s="2"/>
      <c r="F28" s="2"/>
      <c r="H28" s="1"/>
      <c r="I28" s="3"/>
      <c r="J28" s="3"/>
      <c r="K28" s="3"/>
      <c r="L28" s="3"/>
      <c r="M28" s="3"/>
    </row>
    <row r="29" spans="3:13">
      <c r="C29" s="2"/>
      <c r="D29" s="2"/>
      <c r="E29" s="2"/>
      <c r="F29" s="2"/>
      <c r="H29" s="1"/>
      <c r="I29" s="3"/>
      <c r="J29" s="3"/>
      <c r="K29" s="3"/>
      <c r="L29" s="3"/>
      <c r="M29" s="3"/>
    </row>
    <row r="30" spans="3:13">
      <c r="C30" s="2"/>
      <c r="D30" s="2"/>
      <c r="E30" s="2"/>
      <c r="F30" s="2"/>
      <c r="H30" s="1"/>
      <c r="I30" s="3"/>
      <c r="J30" s="3"/>
      <c r="K30" s="3"/>
      <c r="L30" s="3"/>
      <c r="M30" s="3"/>
    </row>
    <row r="31" spans="3:13">
      <c r="C31" s="2"/>
      <c r="D31" s="2"/>
      <c r="E31" s="2"/>
      <c r="F31" s="2"/>
      <c r="H31" s="1"/>
      <c r="I31" s="3"/>
      <c r="J31" s="3"/>
      <c r="K31" s="3"/>
      <c r="L31" s="3"/>
      <c r="M31" s="3"/>
    </row>
    <row r="32" spans="3:13">
      <c r="C32" s="2"/>
      <c r="D32" s="2"/>
      <c r="E32" s="2"/>
      <c r="F32" s="2"/>
      <c r="H32" s="1"/>
      <c r="I32" s="3"/>
      <c r="J32" s="3"/>
      <c r="K32" s="3"/>
      <c r="L32" s="3"/>
      <c r="M32" s="3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34"/>
  <sheetViews>
    <sheetView workbookViewId="0">
      <selection activeCell="E13" sqref="E13"/>
    </sheetView>
  </sheetViews>
  <sheetFormatPr baseColWidth="10" defaultColWidth="9" defaultRowHeight="13"/>
  <cols>
    <col min="1" max="1" width="7.1640625" style="1" bestFit="1" customWidth="1"/>
    <col min="2" max="2" width="21.33203125" style="1" bestFit="1" customWidth="1"/>
    <col min="3" max="3" width="27.1640625" style="1" bestFit="1" customWidth="1"/>
    <col min="4" max="4" width="20.6640625" style="1" bestFit="1" customWidth="1"/>
    <col min="5" max="5" width="10" style="1" bestFit="1" customWidth="1"/>
    <col min="6" max="6" width="23.6640625" style="1" bestFit="1" customWidth="1"/>
    <col min="7" max="9" width="5.5" style="2" customWidth="1"/>
    <col min="10" max="10" width="4.5" style="2" customWidth="1"/>
    <col min="11" max="13" width="5.5" style="2" customWidth="1"/>
    <col min="14" max="14" width="4.5" style="2" customWidth="1"/>
    <col min="15" max="17" width="5.5" style="2" customWidth="1"/>
    <col min="18" max="18" width="4.5" style="2" customWidth="1"/>
    <col min="19" max="19" width="7.5" style="2" bestFit="1" customWidth="1"/>
    <col min="20" max="20" width="8.5" style="2" bestFit="1" customWidth="1"/>
    <col min="21" max="21" width="26.6640625" style="1" bestFit="1" customWidth="1"/>
    <col min="22" max="22" width="9" style="3" bestFit="1" customWidth="1"/>
    <col min="23" max="16384" width="9" style="3"/>
  </cols>
  <sheetData>
    <row r="1" spans="1:21" s="4" customFormat="1" ht="29" customHeight="1" thickBot="1">
      <c r="A1" s="40" t="s">
        <v>505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372</v>
      </c>
      <c r="H3" s="54"/>
      <c r="I3" s="54"/>
      <c r="J3" s="55"/>
      <c r="K3" s="53" t="s">
        <v>70</v>
      </c>
      <c r="L3" s="54"/>
      <c r="M3" s="54"/>
      <c r="N3" s="55"/>
      <c r="O3" s="53" t="s">
        <v>71</v>
      </c>
      <c r="P3" s="54"/>
      <c r="Q3" s="54"/>
      <c r="R3" s="55"/>
      <c r="S3" s="48" t="s">
        <v>72</v>
      </c>
      <c r="T3" s="48" t="s">
        <v>4</v>
      </c>
      <c r="U3" s="46" t="s">
        <v>5</v>
      </c>
    </row>
    <row r="4" spans="1:21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6">
        <v>1</v>
      </c>
      <c r="L4" s="6">
        <v>2</v>
      </c>
      <c r="M4" s="6">
        <v>3</v>
      </c>
      <c r="N4" s="6" t="s">
        <v>73</v>
      </c>
      <c r="O4" s="6">
        <v>1</v>
      </c>
      <c r="P4" s="6">
        <v>2</v>
      </c>
      <c r="Q4" s="6">
        <v>3</v>
      </c>
      <c r="R4" s="6" t="s">
        <v>73</v>
      </c>
      <c r="S4" s="39"/>
      <c r="T4" s="39"/>
      <c r="U4" s="47"/>
    </row>
    <row r="5" spans="1:21" ht="16">
      <c r="A5" s="35" t="s">
        <v>121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1:21">
      <c r="A6" s="7" t="s">
        <v>7</v>
      </c>
      <c r="B6" s="8" t="s">
        <v>427</v>
      </c>
      <c r="C6" s="8" t="s">
        <v>428</v>
      </c>
      <c r="D6" s="8" t="s">
        <v>124</v>
      </c>
      <c r="E6" s="8" t="s">
        <v>519</v>
      </c>
      <c r="F6" s="8" t="s">
        <v>13</v>
      </c>
      <c r="G6" s="17" t="s">
        <v>429</v>
      </c>
      <c r="H6" s="17" t="s">
        <v>430</v>
      </c>
      <c r="I6" s="17" t="s">
        <v>431</v>
      </c>
      <c r="J6" s="7"/>
      <c r="K6" s="17" t="s">
        <v>108</v>
      </c>
      <c r="L6" s="17" t="s">
        <v>97</v>
      </c>
      <c r="M6" s="18" t="s">
        <v>432</v>
      </c>
      <c r="N6" s="7"/>
      <c r="O6" s="17" t="s">
        <v>431</v>
      </c>
      <c r="P6" s="17" t="s">
        <v>433</v>
      </c>
      <c r="Q6" s="18" t="s">
        <v>434</v>
      </c>
      <c r="R6" s="7"/>
      <c r="S6" s="7" t="str">
        <f>"920,0"</f>
        <v>920,0</v>
      </c>
      <c r="T6" s="7" t="str">
        <f>"545,5600"</f>
        <v>545,5600</v>
      </c>
      <c r="U6" s="8" t="s">
        <v>435</v>
      </c>
    </row>
    <row r="8" spans="1:21" ht="16">
      <c r="A8" s="34" t="s">
        <v>331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7" t="s">
        <v>7</v>
      </c>
      <c r="B9" s="8" t="s">
        <v>436</v>
      </c>
      <c r="C9" s="8" t="s">
        <v>437</v>
      </c>
      <c r="D9" s="8" t="s">
        <v>438</v>
      </c>
      <c r="E9" s="8" t="s">
        <v>521</v>
      </c>
      <c r="F9" s="8" t="s">
        <v>13</v>
      </c>
      <c r="G9" s="17" t="s">
        <v>194</v>
      </c>
      <c r="H9" s="18" t="s">
        <v>95</v>
      </c>
      <c r="I9" s="7"/>
      <c r="J9" s="7"/>
      <c r="K9" s="17" t="s">
        <v>90</v>
      </c>
      <c r="L9" s="17" t="s">
        <v>160</v>
      </c>
      <c r="M9" s="18" t="s">
        <v>170</v>
      </c>
      <c r="N9" s="7"/>
      <c r="O9" s="17" t="s">
        <v>95</v>
      </c>
      <c r="P9" s="17" t="s">
        <v>107</v>
      </c>
      <c r="Q9" s="17" t="s">
        <v>300</v>
      </c>
      <c r="R9" s="7"/>
      <c r="S9" s="7" t="str">
        <f>"525,0"</f>
        <v>525,0</v>
      </c>
      <c r="T9" s="7" t="str">
        <f>"351,3023"</f>
        <v>351,3023</v>
      </c>
      <c r="U9" s="8" t="s">
        <v>514</v>
      </c>
    </row>
    <row r="11" spans="1:21" ht="16">
      <c r="A11" s="34" t="s">
        <v>345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>
      <c r="A12" s="7" t="s">
        <v>7</v>
      </c>
      <c r="B12" s="8" t="s">
        <v>439</v>
      </c>
      <c r="C12" s="8" t="s">
        <v>440</v>
      </c>
      <c r="D12" s="8" t="s">
        <v>441</v>
      </c>
      <c r="E12" s="8" t="s">
        <v>518</v>
      </c>
      <c r="F12" s="8" t="s">
        <v>13</v>
      </c>
      <c r="G12" s="18" t="s">
        <v>107</v>
      </c>
      <c r="H12" s="18" t="s">
        <v>300</v>
      </c>
      <c r="I12" s="17" t="s">
        <v>300</v>
      </c>
      <c r="J12" s="7"/>
      <c r="K12" s="17" t="s">
        <v>80</v>
      </c>
      <c r="L12" s="17" t="s">
        <v>88</v>
      </c>
      <c r="M12" s="18" t="s">
        <v>89</v>
      </c>
      <c r="N12" s="7"/>
      <c r="O12" s="17" t="s">
        <v>95</v>
      </c>
      <c r="P12" s="17" t="s">
        <v>107</v>
      </c>
      <c r="Q12" s="18" t="s">
        <v>300</v>
      </c>
      <c r="R12" s="7"/>
      <c r="S12" s="7" t="str">
        <f>"530,0"</f>
        <v>530,0</v>
      </c>
      <c r="T12" s="7" t="str">
        <f>"296,5350"</f>
        <v>296,5350</v>
      </c>
      <c r="U12" s="8" t="s">
        <v>32</v>
      </c>
    </row>
    <row r="14" spans="1:21">
      <c r="C14" s="2"/>
      <c r="D14" s="2"/>
      <c r="E14" s="2"/>
      <c r="F14" s="2"/>
      <c r="P14" s="1"/>
      <c r="Q14" s="3"/>
      <c r="R14" s="3"/>
      <c r="S14" s="3"/>
      <c r="T14" s="3"/>
      <c r="U14" s="3"/>
    </row>
    <row r="15" spans="1:21">
      <c r="C15" s="2"/>
      <c r="D15" s="2"/>
      <c r="E15" s="2"/>
      <c r="F15" s="2"/>
      <c r="P15" s="1"/>
      <c r="Q15" s="3"/>
      <c r="R15" s="3"/>
      <c r="S15" s="3"/>
      <c r="T15" s="3"/>
      <c r="U15" s="3"/>
    </row>
    <row r="16" spans="1:21">
      <c r="C16" s="2"/>
      <c r="D16" s="2"/>
      <c r="E16" s="2"/>
      <c r="F16" s="2"/>
      <c r="P16" s="1"/>
      <c r="Q16" s="3"/>
      <c r="R16" s="3"/>
      <c r="S16" s="3"/>
      <c r="T16" s="3"/>
      <c r="U16" s="3"/>
    </row>
    <row r="17" spans="3:21">
      <c r="C17" s="2"/>
      <c r="D17" s="2"/>
      <c r="E17" s="2"/>
      <c r="F17" s="2"/>
      <c r="P17" s="1"/>
      <c r="Q17" s="3"/>
      <c r="R17" s="3"/>
      <c r="S17" s="3"/>
      <c r="T17" s="3"/>
      <c r="U17" s="3"/>
    </row>
    <row r="18" spans="3:21">
      <c r="C18" s="2"/>
      <c r="D18" s="2"/>
      <c r="E18" s="2"/>
      <c r="F18" s="2"/>
      <c r="P18" s="1"/>
      <c r="Q18" s="3"/>
      <c r="R18" s="3"/>
      <c r="S18" s="3"/>
      <c r="T18" s="3"/>
      <c r="U18" s="3"/>
    </row>
    <row r="19" spans="3:21">
      <c r="C19" s="2"/>
      <c r="D19" s="2"/>
      <c r="E19" s="2"/>
      <c r="F19" s="2"/>
      <c r="P19" s="1"/>
      <c r="Q19" s="3"/>
      <c r="R19" s="3"/>
      <c r="S19" s="3"/>
      <c r="T19" s="3"/>
      <c r="U19" s="3"/>
    </row>
    <row r="20" spans="3:21">
      <c r="C20" s="2"/>
      <c r="D20" s="2"/>
      <c r="E20" s="2"/>
      <c r="F20" s="2"/>
      <c r="P20" s="1"/>
      <c r="Q20" s="3"/>
      <c r="R20" s="3"/>
      <c r="S20" s="3"/>
      <c r="T20" s="3"/>
      <c r="U20" s="3"/>
    </row>
    <row r="21" spans="3:21">
      <c r="C21" s="2"/>
      <c r="D21" s="2"/>
      <c r="E21" s="2"/>
      <c r="F21" s="2"/>
      <c r="P21" s="1"/>
      <c r="Q21" s="3"/>
      <c r="R21" s="3"/>
      <c r="S21" s="3"/>
      <c r="T21" s="3"/>
      <c r="U21" s="3"/>
    </row>
    <row r="22" spans="3:21">
      <c r="C22" s="2"/>
      <c r="D22" s="2"/>
      <c r="E22" s="2"/>
      <c r="F22" s="2"/>
      <c r="P22" s="1"/>
      <c r="Q22" s="3"/>
      <c r="R22" s="3"/>
      <c r="S22" s="3"/>
      <c r="T22" s="3"/>
      <c r="U22" s="3"/>
    </row>
    <row r="23" spans="3:21">
      <c r="C23" s="2"/>
      <c r="D23" s="2"/>
      <c r="E23" s="2"/>
      <c r="F23" s="2"/>
      <c r="P23" s="1"/>
      <c r="Q23" s="3"/>
      <c r="R23" s="3"/>
      <c r="S23" s="3"/>
      <c r="T23" s="3"/>
      <c r="U23" s="3"/>
    </row>
    <row r="24" spans="3:21">
      <c r="C24" s="2"/>
      <c r="D24" s="2"/>
      <c r="E24" s="2"/>
      <c r="F24" s="2"/>
      <c r="P24" s="1"/>
      <c r="Q24" s="3"/>
      <c r="R24" s="3"/>
      <c r="S24" s="3"/>
      <c r="T24" s="3"/>
      <c r="U24" s="3"/>
    </row>
    <row r="25" spans="3:21">
      <c r="C25" s="2"/>
      <c r="D25" s="2"/>
      <c r="E25" s="2"/>
      <c r="F25" s="2"/>
      <c r="P25" s="1"/>
      <c r="Q25" s="3"/>
      <c r="R25" s="3"/>
      <c r="S25" s="3"/>
      <c r="T25" s="3"/>
      <c r="U25" s="3"/>
    </row>
    <row r="26" spans="3:21">
      <c r="C26" s="2"/>
      <c r="D26" s="2"/>
      <c r="E26" s="2"/>
      <c r="F26" s="2"/>
      <c r="P26" s="1"/>
      <c r="Q26" s="3"/>
      <c r="R26" s="3"/>
      <c r="S26" s="3"/>
      <c r="T26" s="3"/>
      <c r="U26" s="3"/>
    </row>
    <row r="27" spans="3:21">
      <c r="C27" s="2"/>
      <c r="D27" s="2"/>
      <c r="E27" s="2"/>
      <c r="F27" s="2"/>
      <c r="P27" s="1"/>
      <c r="Q27" s="3"/>
      <c r="R27" s="3"/>
      <c r="S27" s="3"/>
      <c r="T27" s="3"/>
      <c r="U27" s="3"/>
    </row>
    <row r="28" spans="3:21">
      <c r="C28" s="2"/>
      <c r="D28" s="2"/>
      <c r="E28" s="2"/>
      <c r="F28" s="2"/>
      <c r="P28" s="1"/>
      <c r="Q28" s="3"/>
      <c r="R28" s="3"/>
      <c r="S28" s="3"/>
      <c r="T28" s="3"/>
      <c r="U28" s="3"/>
    </row>
    <row r="29" spans="3:21">
      <c r="C29" s="2"/>
      <c r="D29" s="2"/>
      <c r="E29" s="2"/>
      <c r="F29" s="2"/>
      <c r="P29" s="1"/>
      <c r="Q29" s="3"/>
      <c r="R29" s="3"/>
      <c r="S29" s="3"/>
      <c r="T29" s="3"/>
      <c r="U29" s="3"/>
    </row>
    <row r="30" spans="3:21">
      <c r="C30" s="2"/>
      <c r="D30" s="2"/>
      <c r="E30" s="2"/>
      <c r="F30" s="2"/>
      <c r="P30" s="1"/>
      <c r="Q30" s="3"/>
      <c r="R30" s="3"/>
      <c r="S30" s="3"/>
      <c r="T30" s="3"/>
      <c r="U30" s="3"/>
    </row>
    <row r="31" spans="3:21">
      <c r="C31" s="2"/>
      <c r="D31" s="2"/>
      <c r="E31" s="2"/>
      <c r="F31" s="2"/>
      <c r="P31" s="1"/>
      <c r="Q31" s="3"/>
      <c r="R31" s="3"/>
      <c r="S31" s="3"/>
      <c r="T31" s="3"/>
      <c r="U31" s="3"/>
    </row>
    <row r="32" spans="3:21">
      <c r="C32" s="2"/>
      <c r="D32" s="2"/>
      <c r="E32" s="2"/>
      <c r="F32" s="2"/>
      <c r="P32" s="1"/>
      <c r="Q32" s="3"/>
      <c r="R32" s="3"/>
      <c r="S32" s="3"/>
      <c r="T32" s="3"/>
      <c r="U32" s="3"/>
    </row>
    <row r="33" spans="3:21">
      <c r="C33" s="2"/>
      <c r="D33" s="2"/>
      <c r="E33" s="2"/>
      <c r="F33" s="2"/>
      <c r="P33" s="1"/>
      <c r="Q33" s="3"/>
      <c r="R33" s="3"/>
      <c r="S33" s="3"/>
      <c r="T33" s="3"/>
      <c r="U33" s="3"/>
    </row>
    <row r="34" spans="3:21">
      <c r="C34" s="2"/>
      <c r="D34" s="2"/>
      <c r="E34" s="2"/>
      <c r="F34" s="2"/>
      <c r="P34" s="1"/>
      <c r="Q34" s="3"/>
      <c r="R34" s="3"/>
      <c r="S34" s="3"/>
      <c r="T34" s="3"/>
      <c r="U34" s="3"/>
    </row>
  </sheetData>
  <mergeCells count="16">
    <mergeCell ref="A11:R11"/>
    <mergeCell ref="A8:R8"/>
    <mergeCell ref="A5:R5"/>
    <mergeCell ref="B3:B4"/>
    <mergeCell ref="A1:U2"/>
    <mergeCell ref="U3:U4"/>
    <mergeCell ref="T3:T4"/>
    <mergeCell ref="S3:S4"/>
    <mergeCell ref="C3:C4"/>
    <mergeCell ref="D3:D4"/>
    <mergeCell ref="E3:E4"/>
    <mergeCell ref="F3:F4"/>
    <mergeCell ref="G3:J3"/>
    <mergeCell ref="K3:N3"/>
    <mergeCell ref="O3:R3"/>
    <mergeCell ref="A3:A4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52"/>
  <sheetViews>
    <sheetView workbookViewId="0">
      <selection sqref="A1:U2"/>
    </sheetView>
  </sheetViews>
  <sheetFormatPr baseColWidth="10" defaultColWidth="9" defaultRowHeight="13"/>
  <cols>
    <col min="1" max="1" width="7.1640625" style="1" bestFit="1" customWidth="1"/>
    <col min="2" max="2" width="18.5" style="1" bestFit="1" customWidth="1"/>
    <col min="3" max="3" width="26.1640625" style="1" bestFit="1" customWidth="1"/>
    <col min="4" max="4" width="20.6640625" style="1" bestFit="1" customWidth="1"/>
    <col min="5" max="5" width="10" style="1" bestFit="1" customWidth="1"/>
    <col min="6" max="6" width="27.83203125" style="1" bestFit="1" customWidth="1"/>
    <col min="7" max="9" width="5.5" style="2" customWidth="1"/>
    <col min="10" max="10" width="4.5" style="2" customWidth="1"/>
    <col min="11" max="13" width="5.5" style="2" customWidth="1"/>
    <col min="14" max="14" width="4.5" style="2" customWidth="1"/>
    <col min="15" max="17" width="5.5" style="2" customWidth="1"/>
    <col min="18" max="18" width="4.5" style="2" customWidth="1"/>
    <col min="19" max="19" width="7.5" style="29" bestFit="1" customWidth="1"/>
    <col min="20" max="20" width="8.5" style="2" bestFit="1" customWidth="1"/>
    <col min="21" max="21" width="21.5" style="1" customWidth="1"/>
    <col min="22" max="22" width="9" style="3" bestFit="1" customWidth="1"/>
    <col min="23" max="16384" width="9" style="3"/>
  </cols>
  <sheetData>
    <row r="1" spans="1:21" s="4" customFormat="1" ht="29" customHeight="1" thickBot="1">
      <c r="A1" s="40" t="s">
        <v>506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372</v>
      </c>
      <c r="H3" s="54"/>
      <c r="I3" s="54"/>
      <c r="J3" s="55"/>
      <c r="K3" s="53" t="s">
        <v>70</v>
      </c>
      <c r="L3" s="54"/>
      <c r="M3" s="54"/>
      <c r="N3" s="55"/>
      <c r="O3" s="53" t="s">
        <v>71</v>
      </c>
      <c r="P3" s="54"/>
      <c r="Q3" s="54"/>
      <c r="R3" s="55"/>
      <c r="S3" s="49" t="s">
        <v>72</v>
      </c>
      <c r="T3" s="48" t="s">
        <v>4</v>
      </c>
      <c r="U3" s="46" t="s">
        <v>5</v>
      </c>
    </row>
    <row r="4" spans="1:21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6">
        <v>1</v>
      </c>
      <c r="L4" s="6">
        <v>2</v>
      </c>
      <c r="M4" s="6">
        <v>3</v>
      </c>
      <c r="N4" s="6" t="s">
        <v>73</v>
      </c>
      <c r="O4" s="6">
        <v>1</v>
      </c>
      <c r="P4" s="6">
        <v>2</v>
      </c>
      <c r="Q4" s="6">
        <v>3</v>
      </c>
      <c r="R4" s="6" t="s">
        <v>73</v>
      </c>
      <c r="S4" s="50"/>
      <c r="T4" s="39"/>
      <c r="U4" s="47"/>
    </row>
    <row r="5" spans="1:21" ht="16">
      <c r="A5" s="35" t="s">
        <v>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1:21">
      <c r="A6" s="7" t="s">
        <v>7</v>
      </c>
      <c r="B6" s="8" t="s">
        <v>442</v>
      </c>
      <c r="C6" s="8" t="s">
        <v>443</v>
      </c>
      <c r="D6" s="8" t="s">
        <v>444</v>
      </c>
      <c r="E6" s="8" t="s">
        <v>519</v>
      </c>
      <c r="F6" s="8" t="s">
        <v>13</v>
      </c>
      <c r="G6" s="17" t="s">
        <v>31</v>
      </c>
      <c r="H6" s="17" t="s">
        <v>156</v>
      </c>
      <c r="I6" s="17" t="s">
        <v>147</v>
      </c>
      <c r="J6" s="7"/>
      <c r="K6" s="17" t="s">
        <v>248</v>
      </c>
      <c r="L6" s="18" t="s">
        <v>59</v>
      </c>
      <c r="M6" s="18" t="s">
        <v>59</v>
      </c>
      <c r="N6" s="7"/>
      <c r="O6" s="17" t="s">
        <v>147</v>
      </c>
      <c r="P6" s="17" t="s">
        <v>80</v>
      </c>
      <c r="Q6" s="17" t="s">
        <v>88</v>
      </c>
      <c r="R6" s="7"/>
      <c r="S6" s="28" t="str">
        <f>"265,0"</f>
        <v>265,0</v>
      </c>
      <c r="T6" s="7" t="str">
        <f>"263,6220"</f>
        <v>263,6220</v>
      </c>
      <c r="U6" s="8" t="s">
        <v>32</v>
      </c>
    </row>
    <row r="8" spans="1:21" ht="16">
      <c r="A8" s="34" t="s">
        <v>10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7" t="s">
        <v>7</v>
      </c>
      <c r="B9" s="8" t="s">
        <v>445</v>
      </c>
      <c r="C9" s="8" t="s">
        <v>446</v>
      </c>
      <c r="D9" s="8" t="s">
        <v>447</v>
      </c>
      <c r="E9" s="8" t="s">
        <v>522</v>
      </c>
      <c r="F9" s="8" t="s">
        <v>13</v>
      </c>
      <c r="G9" s="17" t="s">
        <v>95</v>
      </c>
      <c r="H9" s="17" t="s">
        <v>107</v>
      </c>
      <c r="I9" s="18" t="s">
        <v>102</v>
      </c>
      <c r="J9" s="7"/>
      <c r="K9" s="17" t="s">
        <v>80</v>
      </c>
      <c r="L9" s="17" t="s">
        <v>298</v>
      </c>
      <c r="M9" s="17" t="s">
        <v>81</v>
      </c>
      <c r="N9" s="7"/>
      <c r="O9" s="17" t="s">
        <v>95</v>
      </c>
      <c r="P9" s="17" t="s">
        <v>107</v>
      </c>
      <c r="Q9" s="17" t="s">
        <v>300</v>
      </c>
      <c r="R9" s="7"/>
      <c r="S9" s="28" t="str">
        <f>"527,5"</f>
        <v>527,5</v>
      </c>
      <c r="T9" s="7" t="str">
        <f>"407,1772"</f>
        <v>407,1772</v>
      </c>
      <c r="U9" s="8" t="s">
        <v>32</v>
      </c>
    </row>
    <row r="11" spans="1:21" ht="16">
      <c r="A11" s="34" t="s">
        <v>22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>
      <c r="A12" s="11" t="s">
        <v>7</v>
      </c>
      <c r="B12" s="12" t="s">
        <v>448</v>
      </c>
      <c r="C12" s="12" t="s">
        <v>449</v>
      </c>
      <c r="D12" s="12" t="s">
        <v>450</v>
      </c>
      <c r="E12" s="12" t="s">
        <v>522</v>
      </c>
      <c r="F12" s="12" t="s">
        <v>13</v>
      </c>
      <c r="G12" s="20" t="s">
        <v>80</v>
      </c>
      <c r="H12" s="19" t="s">
        <v>80</v>
      </c>
      <c r="I12" s="20" t="s">
        <v>88</v>
      </c>
      <c r="J12" s="11"/>
      <c r="K12" s="19" t="s">
        <v>132</v>
      </c>
      <c r="L12" s="19" t="s">
        <v>20</v>
      </c>
      <c r="M12" s="19" t="s">
        <v>382</v>
      </c>
      <c r="N12" s="11"/>
      <c r="O12" s="19" t="s">
        <v>90</v>
      </c>
      <c r="P12" s="19" t="s">
        <v>170</v>
      </c>
      <c r="Q12" s="19" t="s">
        <v>207</v>
      </c>
      <c r="R12" s="11"/>
      <c r="S12" s="31" t="str">
        <f>"337,5"</f>
        <v>337,5</v>
      </c>
      <c r="T12" s="11" t="str">
        <f>"235,0013"</f>
        <v>235,0013</v>
      </c>
      <c r="U12" s="12" t="s">
        <v>32</v>
      </c>
    </row>
    <row r="13" spans="1:21">
      <c r="A13" s="13" t="s">
        <v>7</v>
      </c>
      <c r="B13" s="14" t="s">
        <v>451</v>
      </c>
      <c r="C13" s="14" t="s">
        <v>452</v>
      </c>
      <c r="D13" s="14" t="s">
        <v>453</v>
      </c>
      <c r="E13" s="14" t="s">
        <v>518</v>
      </c>
      <c r="F13" s="14" t="s">
        <v>13</v>
      </c>
      <c r="G13" s="21" t="s">
        <v>169</v>
      </c>
      <c r="H13" s="21" t="s">
        <v>194</v>
      </c>
      <c r="I13" s="22" t="s">
        <v>321</v>
      </c>
      <c r="J13" s="13"/>
      <c r="K13" s="21" t="s">
        <v>298</v>
      </c>
      <c r="L13" s="22" t="s">
        <v>88</v>
      </c>
      <c r="M13" s="22" t="s">
        <v>89</v>
      </c>
      <c r="N13" s="13"/>
      <c r="O13" s="21" t="s">
        <v>95</v>
      </c>
      <c r="P13" s="21" t="s">
        <v>107</v>
      </c>
      <c r="Q13" s="22" t="s">
        <v>107</v>
      </c>
      <c r="R13" s="13"/>
      <c r="S13" s="32" t="str">
        <f>"510,0"</f>
        <v>510,0</v>
      </c>
      <c r="T13" s="13" t="str">
        <f>"346,2900"</f>
        <v>346,2900</v>
      </c>
      <c r="U13" s="14"/>
    </row>
    <row r="15" spans="1:21" ht="16">
      <c r="A15" s="34" t="s">
        <v>27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1">
      <c r="A16" s="7" t="s">
        <v>98</v>
      </c>
      <c r="B16" s="8" t="s">
        <v>99</v>
      </c>
      <c r="C16" s="8" t="s">
        <v>100</v>
      </c>
      <c r="D16" s="8" t="s">
        <v>101</v>
      </c>
      <c r="E16" s="8" t="s">
        <v>518</v>
      </c>
      <c r="F16" s="8" t="s">
        <v>19</v>
      </c>
      <c r="G16" s="17" t="s">
        <v>321</v>
      </c>
      <c r="H16" s="18" t="s">
        <v>335</v>
      </c>
      <c r="I16" s="18" t="s">
        <v>335</v>
      </c>
      <c r="J16" s="7"/>
      <c r="K16" s="17" t="s">
        <v>80</v>
      </c>
      <c r="L16" s="17" t="s">
        <v>298</v>
      </c>
      <c r="M16" s="17" t="s">
        <v>81</v>
      </c>
      <c r="N16" s="7"/>
      <c r="O16" s="18" t="s">
        <v>102</v>
      </c>
      <c r="P16" s="18" t="s">
        <v>102</v>
      </c>
      <c r="Q16" s="18" t="s">
        <v>102</v>
      </c>
      <c r="R16" s="7"/>
      <c r="S16" s="28">
        <v>0</v>
      </c>
      <c r="T16" s="7" t="str">
        <f>"0,0000"</f>
        <v>0,0000</v>
      </c>
      <c r="U16" s="8" t="s">
        <v>32</v>
      </c>
    </row>
    <row r="18" spans="1:21" ht="16">
      <c r="A18" s="34" t="s">
        <v>66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1">
      <c r="A19" s="7" t="s">
        <v>7</v>
      </c>
      <c r="B19" s="8" t="s">
        <v>203</v>
      </c>
      <c r="C19" s="8" t="s">
        <v>204</v>
      </c>
      <c r="D19" s="8" t="s">
        <v>205</v>
      </c>
      <c r="E19" s="8" t="s">
        <v>518</v>
      </c>
      <c r="F19" s="8" t="s">
        <v>19</v>
      </c>
      <c r="G19" s="18" t="s">
        <v>107</v>
      </c>
      <c r="H19" s="18" t="s">
        <v>107</v>
      </c>
      <c r="I19" s="17" t="s">
        <v>107</v>
      </c>
      <c r="J19" s="7"/>
      <c r="K19" s="17" t="s">
        <v>170</v>
      </c>
      <c r="L19" s="18" t="s">
        <v>206</v>
      </c>
      <c r="M19" s="18" t="s">
        <v>207</v>
      </c>
      <c r="N19" s="7"/>
      <c r="O19" s="17" t="s">
        <v>107</v>
      </c>
      <c r="P19" s="17" t="s">
        <v>300</v>
      </c>
      <c r="Q19" s="18" t="s">
        <v>108</v>
      </c>
      <c r="R19" s="7"/>
      <c r="S19" s="28" t="str">
        <f>"550,0"</f>
        <v>550,0</v>
      </c>
      <c r="T19" s="7" t="str">
        <f>"338,8550"</f>
        <v>338,8550</v>
      </c>
      <c r="U19" s="8" t="s">
        <v>32</v>
      </c>
    </row>
    <row r="21" spans="1:21" ht="16">
      <c r="A21" s="34" t="s">
        <v>331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21">
      <c r="A22" s="7" t="s">
        <v>7</v>
      </c>
      <c r="B22" s="8" t="s">
        <v>454</v>
      </c>
      <c r="C22" s="8" t="s">
        <v>455</v>
      </c>
      <c r="D22" s="8" t="s">
        <v>456</v>
      </c>
      <c r="E22" s="8" t="s">
        <v>518</v>
      </c>
      <c r="F22" s="8" t="s">
        <v>13</v>
      </c>
      <c r="G22" s="17" t="s">
        <v>95</v>
      </c>
      <c r="H22" s="17" t="s">
        <v>107</v>
      </c>
      <c r="I22" s="17" t="s">
        <v>301</v>
      </c>
      <c r="J22" s="7"/>
      <c r="K22" s="17" t="s">
        <v>298</v>
      </c>
      <c r="L22" s="17" t="s">
        <v>89</v>
      </c>
      <c r="M22" s="18" t="s">
        <v>457</v>
      </c>
      <c r="N22" s="7"/>
      <c r="O22" s="18" t="s">
        <v>95</v>
      </c>
      <c r="P22" s="18" t="s">
        <v>107</v>
      </c>
      <c r="Q22" s="17" t="s">
        <v>107</v>
      </c>
      <c r="R22" s="7"/>
      <c r="S22" s="28" t="str">
        <f>"537,5"</f>
        <v>537,5</v>
      </c>
      <c r="T22" s="7" t="str">
        <f>"310,0838"</f>
        <v>310,0838</v>
      </c>
      <c r="U22" s="8"/>
    </row>
    <row r="24" spans="1:21" ht="16">
      <c r="A24" s="34" t="s">
        <v>103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21">
      <c r="A25" s="7" t="s">
        <v>7</v>
      </c>
      <c r="B25" s="8" t="s">
        <v>458</v>
      </c>
      <c r="C25" s="8" t="s">
        <v>459</v>
      </c>
      <c r="D25" s="8" t="s">
        <v>460</v>
      </c>
      <c r="E25" s="8" t="s">
        <v>518</v>
      </c>
      <c r="F25" s="8" t="s">
        <v>13</v>
      </c>
      <c r="G25" s="17" t="s">
        <v>461</v>
      </c>
      <c r="H25" s="17" t="s">
        <v>371</v>
      </c>
      <c r="I25" s="18" t="s">
        <v>462</v>
      </c>
      <c r="J25" s="7"/>
      <c r="K25" s="17" t="s">
        <v>207</v>
      </c>
      <c r="L25" s="17" t="s">
        <v>189</v>
      </c>
      <c r="M25" s="17" t="s">
        <v>282</v>
      </c>
      <c r="N25" s="7"/>
      <c r="O25" s="17" t="s">
        <v>463</v>
      </c>
      <c r="P25" s="17" t="s">
        <v>370</v>
      </c>
      <c r="Q25" s="17" t="s">
        <v>371</v>
      </c>
      <c r="R25" s="7"/>
      <c r="S25" s="28" t="str">
        <f>"680,0"</f>
        <v>680,0</v>
      </c>
      <c r="T25" s="7" t="str">
        <f>"580,4480"</f>
        <v>580,4480</v>
      </c>
      <c r="U25" s="8"/>
    </row>
    <row r="27" spans="1:21">
      <c r="C27" s="2"/>
      <c r="D27" s="2"/>
      <c r="E27" s="2"/>
      <c r="F27" s="2"/>
      <c r="P27" s="1"/>
      <c r="Q27" s="3"/>
      <c r="R27" s="3"/>
      <c r="S27" s="30"/>
      <c r="T27" s="3"/>
      <c r="U27" s="3"/>
    </row>
    <row r="28" spans="1:21">
      <c r="C28" s="2"/>
      <c r="D28" s="2"/>
      <c r="E28" s="2"/>
      <c r="F28" s="2"/>
      <c r="P28" s="1"/>
      <c r="Q28" s="3"/>
      <c r="R28" s="3"/>
      <c r="S28" s="30"/>
      <c r="T28" s="3"/>
      <c r="U28" s="3"/>
    </row>
    <row r="29" spans="1:21">
      <c r="C29" s="2"/>
      <c r="D29" s="2"/>
      <c r="E29" s="2"/>
      <c r="F29" s="2"/>
      <c r="P29" s="1"/>
      <c r="Q29" s="3"/>
      <c r="R29" s="3"/>
      <c r="S29" s="30"/>
      <c r="T29" s="3"/>
      <c r="U29" s="3"/>
    </row>
    <row r="30" spans="1:21">
      <c r="C30" s="2"/>
      <c r="D30" s="2"/>
      <c r="E30" s="2"/>
      <c r="F30" s="2"/>
      <c r="P30" s="1"/>
      <c r="Q30" s="3"/>
      <c r="R30" s="3"/>
      <c r="S30" s="30"/>
      <c r="T30" s="3"/>
      <c r="U30" s="3"/>
    </row>
    <row r="31" spans="1:21">
      <c r="C31" s="2"/>
      <c r="D31" s="2"/>
      <c r="E31" s="2"/>
      <c r="F31" s="2"/>
      <c r="P31" s="1"/>
      <c r="Q31" s="3"/>
      <c r="R31" s="3"/>
      <c r="S31" s="30"/>
      <c r="T31" s="3"/>
      <c r="U31" s="3"/>
    </row>
    <row r="32" spans="1:21">
      <c r="C32" s="2"/>
      <c r="D32" s="2"/>
      <c r="E32" s="2"/>
      <c r="F32" s="2"/>
      <c r="P32" s="1"/>
      <c r="Q32" s="3"/>
      <c r="R32" s="3"/>
      <c r="S32" s="30"/>
      <c r="T32" s="3"/>
      <c r="U32" s="3"/>
    </row>
    <row r="33" spans="3:21">
      <c r="C33" s="2"/>
      <c r="D33" s="2"/>
      <c r="E33" s="2"/>
      <c r="F33" s="2"/>
      <c r="P33" s="1"/>
      <c r="Q33" s="3"/>
      <c r="R33" s="3"/>
      <c r="S33" s="30"/>
      <c r="T33" s="3"/>
      <c r="U33" s="3"/>
    </row>
    <row r="34" spans="3:21">
      <c r="C34" s="2"/>
      <c r="D34" s="2"/>
      <c r="E34" s="2"/>
      <c r="F34" s="2"/>
      <c r="P34" s="1"/>
      <c r="Q34" s="3"/>
      <c r="R34" s="3"/>
      <c r="S34" s="30"/>
      <c r="T34" s="3"/>
      <c r="U34" s="3"/>
    </row>
    <row r="35" spans="3:21">
      <c r="C35" s="2"/>
      <c r="D35" s="2"/>
      <c r="E35" s="2"/>
      <c r="F35" s="2"/>
      <c r="P35" s="1"/>
      <c r="Q35" s="3"/>
      <c r="R35" s="3"/>
      <c r="S35" s="30"/>
      <c r="T35" s="3"/>
      <c r="U35" s="3"/>
    </row>
    <row r="36" spans="3:21">
      <c r="C36" s="2"/>
      <c r="D36" s="2"/>
      <c r="E36" s="2"/>
      <c r="F36" s="2"/>
      <c r="P36" s="1"/>
      <c r="Q36" s="3"/>
      <c r="R36" s="3"/>
      <c r="S36" s="30"/>
      <c r="T36" s="3"/>
      <c r="U36" s="3"/>
    </row>
    <row r="37" spans="3:21">
      <c r="C37" s="2"/>
      <c r="D37" s="2"/>
      <c r="E37" s="2"/>
      <c r="F37" s="2"/>
      <c r="P37" s="1"/>
      <c r="Q37" s="3"/>
      <c r="R37" s="3"/>
      <c r="S37" s="30"/>
      <c r="T37" s="3"/>
      <c r="U37" s="3"/>
    </row>
    <row r="38" spans="3:21">
      <c r="C38" s="2"/>
      <c r="D38" s="2"/>
      <c r="E38" s="2"/>
      <c r="F38" s="2"/>
      <c r="P38" s="1"/>
      <c r="Q38" s="3"/>
      <c r="R38" s="3"/>
      <c r="S38" s="30"/>
      <c r="T38" s="3"/>
      <c r="U38" s="3"/>
    </row>
    <row r="39" spans="3:21">
      <c r="C39" s="2"/>
      <c r="D39" s="2"/>
      <c r="E39" s="2"/>
      <c r="F39" s="2"/>
      <c r="P39" s="1"/>
      <c r="Q39" s="3"/>
      <c r="R39" s="3"/>
      <c r="S39" s="30"/>
      <c r="T39" s="3"/>
      <c r="U39" s="3"/>
    </row>
    <row r="40" spans="3:21">
      <c r="C40" s="2"/>
      <c r="D40" s="2"/>
      <c r="E40" s="2"/>
      <c r="F40" s="2"/>
      <c r="P40" s="1"/>
      <c r="Q40" s="3"/>
      <c r="R40" s="3"/>
      <c r="S40" s="30"/>
      <c r="T40" s="3"/>
      <c r="U40" s="3"/>
    </row>
    <row r="41" spans="3:21">
      <c r="C41" s="2"/>
      <c r="D41" s="2"/>
      <c r="E41" s="2"/>
      <c r="F41" s="2"/>
      <c r="P41" s="1"/>
      <c r="Q41" s="3"/>
      <c r="R41" s="3"/>
      <c r="S41" s="30"/>
      <c r="T41" s="3"/>
      <c r="U41" s="3"/>
    </row>
    <row r="42" spans="3:21">
      <c r="C42" s="2"/>
      <c r="D42" s="2"/>
      <c r="E42" s="2"/>
      <c r="F42" s="2"/>
      <c r="P42" s="1"/>
      <c r="Q42" s="3"/>
      <c r="R42" s="3"/>
      <c r="S42" s="30"/>
      <c r="T42" s="3"/>
      <c r="U42" s="3"/>
    </row>
    <row r="43" spans="3:21">
      <c r="C43" s="2"/>
      <c r="D43" s="2"/>
      <c r="E43" s="2"/>
      <c r="F43" s="2"/>
      <c r="P43" s="1"/>
      <c r="Q43" s="3"/>
      <c r="R43" s="3"/>
      <c r="S43" s="30"/>
      <c r="T43" s="3"/>
      <c r="U43" s="3"/>
    </row>
    <row r="44" spans="3:21">
      <c r="C44" s="2"/>
      <c r="D44" s="2"/>
      <c r="E44" s="2"/>
      <c r="F44" s="2"/>
      <c r="P44" s="1"/>
      <c r="Q44" s="3"/>
      <c r="R44" s="3"/>
      <c r="S44" s="30"/>
      <c r="T44" s="3"/>
      <c r="U44" s="3"/>
    </row>
    <row r="45" spans="3:21">
      <c r="C45" s="2"/>
      <c r="D45" s="2"/>
      <c r="E45" s="2"/>
      <c r="F45" s="2"/>
      <c r="P45" s="1"/>
      <c r="Q45" s="3"/>
      <c r="R45" s="3"/>
      <c r="S45" s="30"/>
      <c r="T45" s="3"/>
      <c r="U45" s="3"/>
    </row>
    <row r="46" spans="3:21">
      <c r="C46" s="2"/>
      <c r="D46" s="2"/>
      <c r="E46" s="2"/>
      <c r="F46" s="2"/>
      <c r="P46" s="1"/>
      <c r="Q46" s="3"/>
      <c r="R46" s="3"/>
      <c r="S46" s="30"/>
      <c r="T46" s="3"/>
      <c r="U46" s="3"/>
    </row>
    <row r="47" spans="3:21">
      <c r="C47" s="2"/>
      <c r="D47" s="2"/>
      <c r="E47" s="2"/>
      <c r="F47" s="2"/>
      <c r="P47" s="1"/>
      <c r="Q47" s="3"/>
      <c r="R47" s="3"/>
      <c r="S47" s="30"/>
      <c r="T47" s="3"/>
      <c r="U47" s="3"/>
    </row>
    <row r="48" spans="3:21">
      <c r="C48" s="2"/>
      <c r="D48" s="2"/>
      <c r="E48" s="2"/>
      <c r="F48" s="2"/>
      <c r="P48" s="1"/>
      <c r="Q48" s="3"/>
      <c r="R48" s="3"/>
      <c r="S48" s="30"/>
      <c r="T48" s="3"/>
      <c r="U48" s="3"/>
    </row>
    <row r="49" spans="3:21">
      <c r="C49" s="2"/>
      <c r="D49" s="2"/>
      <c r="E49" s="2"/>
      <c r="F49" s="2"/>
      <c r="P49" s="1"/>
      <c r="Q49" s="3"/>
      <c r="R49" s="3"/>
      <c r="S49" s="30"/>
      <c r="T49" s="3"/>
      <c r="U49" s="3"/>
    </row>
    <row r="50" spans="3:21">
      <c r="C50" s="2"/>
      <c r="D50" s="2"/>
      <c r="E50" s="2"/>
      <c r="F50" s="2"/>
      <c r="P50" s="1"/>
      <c r="Q50" s="3"/>
      <c r="R50" s="3"/>
      <c r="S50" s="30"/>
      <c r="T50" s="3"/>
      <c r="U50" s="3"/>
    </row>
    <row r="51" spans="3:21">
      <c r="C51" s="2"/>
      <c r="D51" s="2"/>
      <c r="E51" s="2"/>
      <c r="F51" s="2"/>
      <c r="P51" s="1"/>
      <c r="Q51" s="3"/>
      <c r="R51" s="3"/>
      <c r="S51" s="30"/>
      <c r="T51" s="3"/>
      <c r="U51" s="3"/>
    </row>
    <row r="52" spans="3:21">
      <c r="C52" s="2"/>
      <c r="D52" s="2"/>
      <c r="E52" s="2"/>
      <c r="F52" s="2"/>
      <c r="P52" s="1"/>
      <c r="Q52" s="3"/>
      <c r="R52" s="3"/>
      <c r="S52" s="30"/>
      <c r="T52" s="3"/>
      <c r="U52" s="3"/>
    </row>
  </sheetData>
  <mergeCells count="20">
    <mergeCell ref="A1:U2"/>
    <mergeCell ref="U3:U4"/>
    <mergeCell ref="T3:T4"/>
    <mergeCell ref="S3:S4"/>
    <mergeCell ref="C3:C4"/>
    <mergeCell ref="D3:D4"/>
    <mergeCell ref="E3:E4"/>
    <mergeCell ref="F3:F4"/>
    <mergeCell ref="G3:J3"/>
    <mergeCell ref="K3:N3"/>
    <mergeCell ref="O3:R3"/>
    <mergeCell ref="A3:A4"/>
    <mergeCell ref="A24:R24"/>
    <mergeCell ref="A8:R8"/>
    <mergeCell ref="A5:R5"/>
    <mergeCell ref="B3:B4"/>
    <mergeCell ref="A11:R11"/>
    <mergeCell ref="A15:R15"/>
    <mergeCell ref="A18:R18"/>
    <mergeCell ref="A21:R21"/>
  </mergeCells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50"/>
  <sheetViews>
    <sheetView workbookViewId="0">
      <selection sqref="A1:V2"/>
    </sheetView>
  </sheetViews>
  <sheetFormatPr baseColWidth="10" defaultColWidth="9" defaultRowHeight="13"/>
  <cols>
    <col min="1" max="1" width="7.1640625" style="1" bestFit="1" customWidth="1"/>
    <col min="2" max="2" width="18.33203125" style="1" bestFit="1" customWidth="1"/>
    <col min="3" max="3" width="24.83203125" style="1" bestFit="1" customWidth="1"/>
    <col min="4" max="4" width="20.6640625" style="1" bestFit="1" customWidth="1"/>
    <col min="5" max="5" width="10" style="1" bestFit="1" customWidth="1"/>
    <col min="6" max="6" width="25.83203125" style="1" bestFit="1" customWidth="1"/>
    <col min="7" max="7" width="30.5" style="1" bestFit="1" customWidth="1"/>
    <col min="8" max="10" width="5.5" style="2" customWidth="1"/>
    <col min="11" max="11" width="4.5" style="2" customWidth="1"/>
    <col min="12" max="14" width="5.5" style="2" customWidth="1"/>
    <col min="15" max="15" width="4.5" style="2" customWidth="1"/>
    <col min="16" max="18" width="5.5" style="2" customWidth="1"/>
    <col min="19" max="19" width="4.5" style="2" customWidth="1"/>
    <col min="20" max="20" width="7.5" style="29" bestFit="1" customWidth="1"/>
    <col min="21" max="21" width="8.5" style="2" bestFit="1" customWidth="1"/>
    <col min="22" max="22" width="27" style="1" bestFit="1" customWidth="1"/>
    <col min="23" max="23" width="9" style="3" bestFit="1" customWidth="1"/>
    <col min="24" max="16384" width="9" style="3"/>
  </cols>
  <sheetData>
    <row r="1" spans="1:22" s="4" customFormat="1" ht="29" customHeight="1">
      <c r="A1" s="40" t="s">
        <v>507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2"/>
    </row>
    <row r="2" spans="1:22" s="4" customFormat="1" ht="62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5"/>
    </row>
    <row r="3" spans="1:22" s="5" customFormat="1" ht="12.75" customHeigh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2</v>
      </c>
      <c r="G3" s="48" t="s">
        <v>3</v>
      </c>
      <c r="H3" s="53" t="s">
        <v>372</v>
      </c>
      <c r="I3" s="54"/>
      <c r="J3" s="54"/>
      <c r="K3" s="55"/>
      <c r="L3" s="53" t="s">
        <v>70</v>
      </c>
      <c r="M3" s="54"/>
      <c r="N3" s="54"/>
      <c r="O3" s="55"/>
      <c r="P3" s="53" t="s">
        <v>71</v>
      </c>
      <c r="Q3" s="54"/>
      <c r="R3" s="54"/>
      <c r="S3" s="55"/>
      <c r="T3" s="49" t="s">
        <v>72</v>
      </c>
      <c r="U3" s="48" t="s">
        <v>4</v>
      </c>
      <c r="V3" s="46" t="s">
        <v>5</v>
      </c>
    </row>
    <row r="4" spans="1:22" s="5" customFormat="1" ht="21" customHeight="1">
      <c r="A4" s="57"/>
      <c r="B4" s="39"/>
      <c r="C4" s="52"/>
      <c r="D4" s="52"/>
      <c r="E4" s="39"/>
      <c r="F4" s="39"/>
      <c r="G4" s="39"/>
      <c r="H4" s="6">
        <v>1</v>
      </c>
      <c r="I4" s="6">
        <v>2</v>
      </c>
      <c r="J4" s="6">
        <v>3</v>
      </c>
      <c r="K4" s="6" t="s">
        <v>73</v>
      </c>
      <c r="L4" s="6">
        <v>1</v>
      </c>
      <c r="M4" s="6">
        <v>2</v>
      </c>
      <c r="N4" s="6">
        <v>3</v>
      </c>
      <c r="O4" s="6" t="s">
        <v>73</v>
      </c>
      <c r="P4" s="6">
        <v>1</v>
      </c>
      <c r="Q4" s="6">
        <v>2</v>
      </c>
      <c r="R4" s="6">
        <v>3</v>
      </c>
      <c r="S4" s="6" t="s">
        <v>73</v>
      </c>
      <c r="T4" s="50"/>
      <c r="U4" s="39"/>
      <c r="V4" s="47"/>
    </row>
    <row r="5" spans="1:22" ht="16">
      <c r="A5" s="35" t="s">
        <v>103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7"/>
    </row>
    <row r="6" spans="1:22">
      <c r="A6" s="11" t="s">
        <v>7</v>
      </c>
      <c r="B6" s="12" t="s">
        <v>464</v>
      </c>
      <c r="C6" s="12" t="s">
        <v>465</v>
      </c>
      <c r="D6" s="12" t="s">
        <v>466</v>
      </c>
      <c r="E6" s="12" t="s">
        <v>518</v>
      </c>
      <c r="F6" s="12" t="s">
        <v>8</v>
      </c>
      <c r="G6" s="12" t="s">
        <v>13</v>
      </c>
      <c r="H6" s="19" t="s">
        <v>107</v>
      </c>
      <c r="I6" s="20" t="s">
        <v>102</v>
      </c>
      <c r="J6" s="11"/>
      <c r="K6" s="11"/>
      <c r="L6" s="19" t="s">
        <v>207</v>
      </c>
      <c r="M6" s="19" t="s">
        <v>189</v>
      </c>
      <c r="N6" s="19" t="s">
        <v>282</v>
      </c>
      <c r="O6" s="11"/>
      <c r="P6" s="19" t="s">
        <v>107</v>
      </c>
      <c r="Q6" s="19" t="s">
        <v>300</v>
      </c>
      <c r="R6" s="19" t="s">
        <v>407</v>
      </c>
      <c r="S6" s="11"/>
      <c r="T6" s="31" t="str">
        <f>"575,0"</f>
        <v>575,0</v>
      </c>
      <c r="U6" s="11" t="str">
        <f>"482,9425"</f>
        <v>482,9425</v>
      </c>
      <c r="V6" s="12" t="s">
        <v>467</v>
      </c>
    </row>
    <row r="7" spans="1:22">
      <c r="A7" s="13" t="s">
        <v>98</v>
      </c>
      <c r="B7" s="14" t="s">
        <v>468</v>
      </c>
      <c r="C7" s="14" t="s">
        <v>469</v>
      </c>
      <c r="D7" s="14" t="s">
        <v>470</v>
      </c>
      <c r="E7" s="14" t="s">
        <v>518</v>
      </c>
      <c r="F7" s="14" t="s">
        <v>62</v>
      </c>
      <c r="G7" s="14" t="s">
        <v>13</v>
      </c>
      <c r="H7" s="21" t="s">
        <v>282</v>
      </c>
      <c r="I7" s="21" t="s">
        <v>282</v>
      </c>
      <c r="J7" s="21" t="s">
        <v>282</v>
      </c>
      <c r="K7" s="13"/>
      <c r="L7" s="21"/>
      <c r="M7" s="13"/>
      <c r="N7" s="13"/>
      <c r="O7" s="13"/>
      <c r="P7" s="21"/>
      <c r="Q7" s="13"/>
      <c r="R7" s="13"/>
      <c r="S7" s="13"/>
      <c r="T7" s="32">
        <v>0</v>
      </c>
      <c r="U7" s="13" t="str">
        <f>"0,0000"</f>
        <v>0,0000</v>
      </c>
      <c r="V7" s="14" t="s">
        <v>32</v>
      </c>
    </row>
    <row r="9" spans="1:22" ht="16">
      <c r="A9" s="34" t="s">
        <v>22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2">
      <c r="A10" s="7" t="s">
        <v>7</v>
      </c>
      <c r="B10" s="8" t="s">
        <v>471</v>
      </c>
      <c r="C10" s="8" t="s">
        <v>472</v>
      </c>
      <c r="D10" s="8" t="s">
        <v>25</v>
      </c>
      <c r="E10" s="8" t="s">
        <v>519</v>
      </c>
      <c r="F10" s="8" t="s">
        <v>8</v>
      </c>
      <c r="G10" s="8" t="s">
        <v>13</v>
      </c>
      <c r="H10" s="18" t="s">
        <v>300</v>
      </c>
      <c r="I10" s="17" t="s">
        <v>108</v>
      </c>
      <c r="J10" s="18" t="s">
        <v>97</v>
      </c>
      <c r="K10" s="7"/>
      <c r="L10" s="17" t="s">
        <v>170</v>
      </c>
      <c r="M10" s="17" t="s">
        <v>207</v>
      </c>
      <c r="N10" s="17" t="s">
        <v>189</v>
      </c>
      <c r="O10" s="7"/>
      <c r="P10" s="18" t="s">
        <v>473</v>
      </c>
      <c r="Q10" s="17" t="s">
        <v>473</v>
      </c>
      <c r="R10" s="18" t="s">
        <v>371</v>
      </c>
      <c r="S10" s="7"/>
      <c r="T10" s="28" t="str">
        <f>"615,0"</f>
        <v>615,0</v>
      </c>
      <c r="U10" s="7" t="str">
        <f>"424,9650"</f>
        <v>424,9650</v>
      </c>
      <c r="V10" s="8"/>
    </row>
    <row r="12" spans="1:22" ht="16">
      <c r="A12" s="34" t="s">
        <v>27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22">
      <c r="A13" s="7" t="s">
        <v>7</v>
      </c>
      <c r="B13" s="8" t="s">
        <v>474</v>
      </c>
      <c r="C13" s="8" t="s">
        <v>475</v>
      </c>
      <c r="D13" s="8" t="s">
        <v>476</v>
      </c>
      <c r="E13" s="8" t="s">
        <v>518</v>
      </c>
      <c r="F13" s="8" t="s">
        <v>8</v>
      </c>
      <c r="G13" s="8" t="s">
        <v>34</v>
      </c>
      <c r="H13" s="18" t="s">
        <v>473</v>
      </c>
      <c r="I13" s="17" t="s">
        <v>473</v>
      </c>
      <c r="J13" s="18" t="s">
        <v>477</v>
      </c>
      <c r="K13" s="7"/>
      <c r="L13" s="17" t="s">
        <v>207</v>
      </c>
      <c r="M13" s="17" t="s">
        <v>282</v>
      </c>
      <c r="N13" s="18" t="s">
        <v>169</v>
      </c>
      <c r="O13" s="7"/>
      <c r="P13" s="17" t="s">
        <v>473</v>
      </c>
      <c r="Q13" s="17" t="s">
        <v>370</v>
      </c>
      <c r="R13" s="17" t="s">
        <v>371</v>
      </c>
      <c r="S13" s="7"/>
      <c r="T13" s="28" t="str">
        <f>"660,0"</f>
        <v>660,0</v>
      </c>
      <c r="U13" s="7" t="str">
        <f>"427,3500"</f>
        <v>427,3500</v>
      </c>
      <c r="V13" s="8" t="s">
        <v>32</v>
      </c>
    </row>
    <row r="15" spans="1:22" ht="16">
      <c r="A15" s="34" t="s">
        <v>27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6" spans="1:22">
      <c r="A16" s="7" t="s">
        <v>7</v>
      </c>
      <c r="B16" s="8" t="s">
        <v>478</v>
      </c>
      <c r="C16" s="8" t="s">
        <v>479</v>
      </c>
      <c r="D16" s="8" t="s">
        <v>289</v>
      </c>
      <c r="E16" s="8" t="s">
        <v>518</v>
      </c>
      <c r="F16" s="8" t="s">
        <v>8</v>
      </c>
      <c r="G16" s="8" t="s">
        <v>13</v>
      </c>
      <c r="H16" s="17" t="s">
        <v>97</v>
      </c>
      <c r="I16" s="17" t="s">
        <v>473</v>
      </c>
      <c r="J16" s="18" t="s">
        <v>461</v>
      </c>
      <c r="K16" s="7"/>
      <c r="L16" s="17" t="s">
        <v>207</v>
      </c>
      <c r="M16" s="17" t="s">
        <v>189</v>
      </c>
      <c r="N16" s="17" t="s">
        <v>282</v>
      </c>
      <c r="O16" s="7"/>
      <c r="P16" s="17" t="s">
        <v>108</v>
      </c>
      <c r="Q16" s="17" t="s">
        <v>97</v>
      </c>
      <c r="R16" s="18" t="s">
        <v>463</v>
      </c>
      <c r="S16" s="7"/>
      <c r="T16" s="28" t="str">
        <f>"630,0"</f>
        <v>630,0</v>
      </c>
      <c r="U16" s="7" t="str">
        <f>"550,4310"</f>
        <v>550,4310</v>
      </c>
      <c r="V16" s="8" t="s">
        <v>480</v>
      </c>
    </row>
    <row r="18" spans="1:22" ht="16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</row>
    <row r="19" spans="1:22">
      <c r="A19" s="7" t="s">
        <v>98</v>
      </c>
      <c r="B19" s="8" t="s">
        <v>481</v>
      </c>
      <c r="C19" s="8" t="s">
        <v>482</v>
      </c>
      <c r="D19" s="8" t="s">
        <v>483</v>
      </c>
      <c r="E19" s="8" t="s">
        <v>518</v>
      </c>
      <c r="F19" s="8" t="s">
        <v>8</v>
      </c>
      <c r="G19" s="8" t="s">
        <v>349</v>
      </c>
      <c r="H19" s="18" t="s">
        <v>194</v>
      </c>
      <c r="I19" s="18" t="s">
        <v>95</v>
      </c>
      <c r="J19" s="18" t="s">
        <v>95</v>
      </c>
      <c r="K19" s="7"/>
      <c r="L19" s="18"/>
      <c r="M19" s="7"/>
      <c r="N19" s="7"/>
      <c r="O19" s="7"/>
      <c r="P19" s="18"/>
      <c r="Q19" s="7"/>
      <c r="R19" s="7"/>
      <c r="S19" s="7"/>
      <c r="T19" s="28">
        <v>0</v>
      </c>
      <c r="U19" s="7" t="str">
        <f>"0,0000"</f>
        <v>0,0000</v>
      </c>
      <c r="V19" s="8" t="s">
        <v>467</v>
      </c>
    </row>
    <row r="20" spans="1:22">
      <c r="V20" s="1" t="s">
        <v>484</v>
      </c>
    </row>
    <row r="21" spans="1:22" ht="16">
      <c r="A21" s="34" t="s">
        <v>66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</row>
    <row r="22" spans="1:22">
      <c r="A22" s="11" t="s">
        <v>7</v>
      </c>
      <c r="B22" s="12" t="s">
        <v>485</v>
      </c>
      <c r="C22" s="12" t="s">
        <v>486</v>
      </c>
      <c r="D22" s="12" t="s">
        <v>487</v>
      </c>
      <c r="E22" s="12" t="s">
        <v>518</v>
      </c>
      <c r="F22" s="12" t="s">
        <v>62</v>
      </c>
      <c r="G22" s="12" t="s">
        <v>13</v>
      </c>
      <c r="H22" s="20" t="s">
        <v>300</v>
      </c>
      <c r="I22" s="19" t="s">
        <v>108</v>
      </c>
      <c r="J22" s="19" t="s">
        <v>97</v>
      </c>
      <c r="K22" s="11"/>
      <c r="L22" s="19" t="s">
        <v>160</v>
      </c>
      <c r="M22" s="19" t="s">
        <v>488</v>
      </c>
      <c r="N22" s="20" t="s">
        <v>206</v>
      </c>
      <c r="O22" s="11"/>
      <c r="P22" s="19" t="s">
        <v>108</v>
      </c>
      <c r="Q22" s="19" t="s">
        <v>97</v>
      </c>
      <c r="R22" s="20" t="s">
        <v>473</v>
      </c>
      <c r="S22" s="11"/>
      <c r="T22" s="31" t="str">
        <f>"602,5"</f>
        <v>602,5</v>
      </c>
      <c r="U22" s="11" t="str">
        <f>"373,3693"</f>
        <v>373,3693</v>
      </c>
      <c r="V22" s="12" t="s">
        <v>32</v>
      </c>
    </row>
    <row r="23" spans="1:22">
      <c r="A23" s="15" t="s">
        <v>98</v>
      </c>
      <c r="B23" s="16" t="s">
        <v>489</v>
      </c>
      <c r="C23" s="16" t="s">
        <v>490</v>
      </c>
      <c r="D23" s="16" t="s">
        <v>418</v>
      </c>
      <c r="E23" s="16" t="s">
        <v>518</v>
      </c>
      <c r="F23" s="16" t="s">
        <v>491</v>
      </c>
      <c r="G23" s="16" t="s">
        <v>13</v>
      </c>
      <c r="H23" s="24" t="s">
        <v>95</v>
      </c>
      <c r="I23" s="24" t="s">
        <v>95</v>
      </c>
      <c r="J23" s="15"/>
      <c r="K23" s="15"/>
      <c r="L23" s="24"/>
      <c r="M23" s="15"/>
      <c r="N23" s="15"/>
      <c r="O23" s="15"/>
      <c r="P23" s="24"/>
      <c r="Q23" s="15"/>
      <c r="R23" s="15"/>
      <c r="S23" s="15"/>
      <c r="T23" s="33">
        <v>0</v>
      </c>
      <c r="U23" s="15" t="str">
        <f>"0,0000"</f>
        <v>0,0000</v>
      </c>
      <c r="V23" s="16" t="s">
        <v>492</v>
      </c>
    </row>
    <row r="24" spans="1:22">
      <c r="A24" s="13" t="s">
        <v>98</v>
      </c>
      <c r="B24" s="14" t="s">
        <v>493</v>
      </c>
      <c r="C24" s="14" t="s">
        <v>494</v>
      </c>
      <c r="D24" s="14" t="s">
        <v>495</v>
      </c>
      <c r="E24" s="14" t="s">
        <v>518</v>
      </c>
      <c r="F24" s="14" t="s">
        <v>62</v>
      </c>
      <c r="G24" s="14" t="s">
        <v>13</v>
      </c>
      <c r="H24" s="21" t="s">
        <v>119</v>
      </c>
      <c r="I24" s="21" t="s">
        <v>119</v>
      </c>
      <c r="J24" s="21" t="s">
        <v>119</v>
      </c>
      <c r="K24" s="13"/>
      <c r="L24" s="21"/>
      <c r="M24" s="13"/>
      <c r="N24" s="13"/>
      <c r="O24" s="13"/>
      <c r="P24" s="21"/>
      <c r="Q24" s="13"/>
      <c r="R24" s="13"/>
      <c r="S24" s="13"/>
      <c r="T24" s="32">
        <v>0</v>
      </c>
      <c r="U24" s="13" t="str">
        <f>"0,0000"</f>
        <v>0,0000</v>
      </c>
      <c r="V24" s="14" t="s">
        <v>32</v>
      </c>
    </row>
    <row r="26" spans="1:22">
      <c r="C26" s="2"/>
      <c r="D26" s="2"/>
      <c r="E26" s="2"/>
      <c r="F26" s="2"/>
      <c r="G26" s="2"/>
      <c r="Q26" s="1"/>
      <c r="R26" s="3"/>
      <c r="S26" s="3"/>
      <c r="T26" s="30"/>
      <c r="U26" s="3"/>
      <c r="V26" s="3"/>
    </row>
    <row r="27" spans="1:22">
      <c r="C27" s="2"/>
      <c r="D27" s="2"/>
      <c r="E27" s="2"/>
      <c r="F27" s="2"/>
      <c r="G27" s="2"/>
      <c r="Q27" s="1"/>
      <c r="R27" s="3"/>
      <c r="S27" s="3"/>
      <c r="T27" s="30"/>
      <c r="U27" s="3"/>
      <c r="V27" s="3"/>
    </row>
    <row r="28" spans="1:22">
      <c r="C28" s="2"/>
      <c r="D28" s="2"/>
      <c r="E28" s="2"/>
      <c r="F28" s="2"/>
      <c r="G28" s="2"/>
      <c r="Q28" s="1"/>
      <c r="R28" s="3"/>
      <c r="S28" s="3"/>
      <c r="T28" s="30"/>
      <c r="U28" s="3"/>
      <c r="V28" s="3"/>
    </row>
    <row r="29" spans="1:22">
      <c r="C29" s="2"/>
      <c r="D29" s="2"/>
      <c r="E29" s="2"/>
      <c r="F29" s="2"/>
      <c r="G29" s="2"/>
      <c r="Q29" s="1"/>
      <c r="R29" s="3"/>
      <c r="S29" s="3"/>
      <c r="T29" s="30"/>
      <c r="U29" s="3"/>
      <c r="V29" s="3"/>
    </row>
    <row r="30" spans="1:22">
      <c r="C30" s="2"/>
      <c r="D30" s="2"/>
      <c r="E30" s="2"/>
      <c r="F30" s="2"/>
      <c r="G30" s="2"/>
      <c r="Q30" s="1"/>
      <c r="R30" s="3"/>
      <c r="S30" s="3"/>
      <c r="T30" s="30"/>
      <c r="U30" s="3"/>
      <c r="V30" s="3"/>
    </row>
    <row r="31" spans="1:22">
      <c r="C31" s="2"/>
      <c r="D31" s="2"/>
      <c r="E31" s="2"/>
      <c r="F31" s="2"/>
      <c r="G31" s="2"/>
      <c r="Q31" s="1"/>
      <c r="R31" s="3"/>
      <c r="S31" s="3"/>
      <c r="T31" s="30"/>
      <c r="U31" s="3"/>
      <c r="V31" s="3"/>
    </row>
    <row r="32" spans="1:22">
      <c r="C32" s="2"/>
      <c r="D32" s="2"/>
      <c r="E32" s="2"/>
      <c r="F32" s="2"/>
      <c r="G32" s="2"/>
      <c r="Q32" s="1"/>
      <c r="R32" s="3"/>
      <c r="S32" s="3"/>
      <c r="T32" s="30"/>
      <c r="U32" s="3"/>
      <c r="V32" s="3"/>
    </row>
    <row r="33" spans="3:22">
      <c r="C33" s="2"/>
      <c r="D33" s="2"/>
      <c r="E33" s="2"/>
      <c r="F33" s="2"/>
      <c r="G33" s="2"/>
      <c r="Q33" s="1"/>
      <c r="R33" s="3"/>
      <c r="S33" s="3"/>
      <c r="T33" s="30"/>
      <c r="U33" s="3"/>
      <c r="V33" s="3"/>
    </row>
    <row r="34" spans="3:22">
      <c r="C34" s="2"/>
      <c r="D34" s="2"/>
      <c r="E34" s="2"/>
      <c r="F34" s="2"/>
      <c r="G34" s="2"/>
      <c r="Q34" s="1"/>
      <c r="R34" s="3"/>
      <c r="S34" s="3"/>
      <c r="T34" s="30"/>
      <c r="U34" s="3"/>
      <c r="V34" s="3"/>
    </row>
    <row r="35" spans="3:22">
      <c r="C35" s="2"/>
      <c r="D35" s="2"/>
      <c r="E35" s="2"/>
      <c r="F35" s="2"/>
      <c r="G35" s="2"/>
      <c r="Q35" s="1"/>
      <c r="R35" s="3"/>
      <c r="S35" s="3"/>
      <c r="T35" s="30"/>
      <c r="U35" s="3"/>
      <c r="V35" s="3"/>
    </row>
    <row r="36" spans="3:22">
      <c r="C36" s="2"/>
      <c r="D36" s="2"/>
      <c r="E36" s="2"/>
      <c r="F36" s="2"/>
      <c r="G36" s="2"/>
      <c r="Q36" s="1"/>
      <c r="R36" s="3"/>
      <c r="S36" s="3"/>
      <c r="T36" s="30"/>
      <c r="U36" s="3"/>
      <c r="V36" s="3"/>
    </row>
    <row r="37" spans="3:22">
      <c r="C37" s="2"/>
      <c r="D37" s="2"/>
      <c r="E37" s="2"/>
      <c r="F37" s="2"/>
      <c r="G37" s="2"/>
      <c r="Q37" s="1"/>
      <c r="R37" s="3"/>
      <c r="S37" s="3"/>
      <c r="T37" s="30"/>
      <c r="U37" s="3"/>
      <c r="V37" s="3"/>
    </row>
    <row r="38" spans="3:22">
      <c r="C38" s="2"/>
      <c r="D38" s="2"/>
      <c r="E38" s="2"/>
      <c r="F38" s="2"/>
      <c r="G38" s="2"/>
      <c r="Q38" s="1"/>
      <c r="R38" s="3"/>
      <c r="S38" s="3"/>
      <c r="T38" s="30"/>
      <c r="U38" s="3"/>
      <c r="V38" s="3"/>
    </row>
    <row r="39" spans="3:22">
      <c r="C39" s="2"/>
      <c r="D39" s="2"/>
      <c r="E39" s="2"/>
      <c r="F39" s="2"/>
      <c r="G39" s="2"/>
      <c r="Q39" s="1"/>
      <c r="R39" s="3"/>
      <c r="S39" s="3"/>
      <c r="T39" s="30"/>
      <c r="U39" s="3"/>
      <c r="V39" s="3"/>
    </row>
    <row r="40" spans="3:22">
      <c r="C40" s="2"/>
      <c r="D40" s="2"/>
      <c r="E40" s="2"/>
      <c r="F40" s="2"/>
      <c r="G40" s="2"/>
      <c r="Q40" s="1"/>
      <c r="R40" s="3"/>
      <c r="S40" s="3"/>
      <c r="T40" s="30"/>
      <c r="U40" s="3"/>
      <c r="V40" s="3"/>
    </row>
    <row r="41" spans="3:22">
      <c r="C41" s="2"/>
      <c r="D41" s="2"/>
      <c r="E41" s="2"/>
      <c r="F41" s="2"/>
      <c r="G41" s="2"/>
      <c r="Q41" s="1"/>
      <c r="R41" s="3"/>
      <c r="S41" s="3"/>
      <c r="T41" s="30"/>
      <c r="U41" s="3"/>
      <c r="V41" s="3"/>
    </row>
    <row r="42" spans="3:22">
      <c r="C42" s="2"/>
      <c r="D42" s="2"/>
      <c r="E42" s="2"/>
      <c r="F42" s="2"/>
      <c r="G42" s="2"/>
      <c r="Q42" s="1"/>
      <c r="R42" s="3"/>
      <c r="S42" s="3"/>
      <c r="T42" s="30"/>
      <c r="U42" s="3"/>
      <c r="V42" s="3"/>
    </row>
    <row r="43" spans="3:22">
      <c r="C43" s="2"/>
      <c r="D43" s="2"/>
      <c r="E43" s="2"/>
      <c r="F43" s="2"/>
      <c r="G43" s="2"/>
      <c r="Q43" s="1"/>
      <c r="R43" s="3"/>
      <c r="S43" s="3"/>
      <c r="T43" s="30"/>
      <c r="U43" s="3"/>
      <c r="V43" s="3"/>
    </row>
    <row r="44" spans="3:22">
      <c r="C44" s="2"/>
      <c r="D44" s="2"/>
      <c r="E44" s="2"/>
      <c r="F44" s="2"/>
      <c r="G44" s="2"/>
      <c r="Q44" s="1"/>
      <c r="R44" s="3"/>
      <c r="S44" s="3"/>
      <c r="T44" s="30"/>
      <c r="U44" s="3"/>
      <c r="V44" s="3"/>
    </row>
    <row r="45" spans="3:22">
      <c r="C45" s="2"/>
      <c r="D45" s="2"/>
      <c r="E45" s="2"/>
      <c r="F45" s="2"/>
      <c r="G45" s="2"/>
      <c r="Q45" s="1"/>
      <c r="R45" s="3"/>
      <c r="S45" s="3"/>
      <c r="T45" s="30"/>
      <c r="U45" s="3"/>
      <c r="V45" s="3"/>
    </row>
    <row r="46" spans="3:22">
      <c r="C46" s="2"/>
      <c r="D46" s="2"/>
      <c r="E46" s="2"/>
      <c r="F46" s="2"/>
      <c r="G46" s="2"/>
      <c r="Q46" s="1"/>
      <c r="R46" s="3"/>
      <c r="S46" s="3"/>
      <c r="T46" s="30"/>
      <c r="U46" s="3"/>
      <c r="V46" s="3"/>
    </row>
    <row r="47" spans="3:22">
      <c r="C47" s="2"/>
      <c r="D47" s="2"/>
      <c r="E47" s="2"/>
      <c r="F47" s="2"/>
      <c r="G47" s="2"/>
      <c r="Q47" s="1"/>
      <c r="R47" s="3"/>
      <c r="S47" s="3"/>
      <c r="T47" s="30"/>
      <c r="U47" s="3"/>
      <c r="V47" s="3"/>
    </row>
    <row r="48" spans="3:22">
      <c r="C48" s="2"/>
      <c r="D48" s="2"/>
      <c r="E48" s="2"/>
      <c r="F48" s="2"/>
      <c r="G48" s="2"/>
      <c r="Q48" s="1"/>
      <c r="R48" s="3"/>
      <c r="S48" s="3"/>
      <c r="T48" s="30"/>
      <c r="U48" s="3"/>
      <c r="V48" s="3"/>
    </row>
    <row r="49" spans="3:22">
      <c r="C49" s="2"/>
      <c r="D49" s="2"/>
      <c r="E49" s="2"/>
      <c r="F49" s="2"/>
      <c r="G49" s="2"/>
      <c r="Q49" s="1"/>
      <c r="R49" s="3"/>
      <c r="S49" s="3"/>
      <c r="T49" s="30"/>
      <c r="U49" s="3"/>
      <c r="V49" s="3"/>
    </row>
    <row r="50" spans="3:22">
      <c r="C50" s="2"/>
      <c r="D50" s="2"/>
      <c r="E50" s="2"/>
      <c r="F50" s="2"/>
      <c r="G50" s="2"/>
      <c r="Q50" s="1"/>
      <c r="R50" s="3"/>
      <c r="S50" s="3"/>
      <c r="T50" s="30"/>
      <c r="U50" s="3"/>
      <c r="V50" s="3"/>
    </row>
  </sheetData>
  <mergeCells count="20">
    <mergeCell ref="A1:V2"/>
    <mergeCell ref="V3:V4"/>
    <mergeCell ref="U3:U4"/>
    <mergeCell ref="T3:T4"/>
    <mergeCell ref="D3:D4"/>
    <mergeCell ref="E3:E4"/>
    <mergeCell ref="F3:F4"/>
    <mergeCell ref="G3:G4"/>
    <mergeCell ref="H3:K3"/>
    <mergeCell ref="L3:O3"/>
    <mergeCell ref="P3:S3"/>
    <mergeCell ref="B3:B4"/>
    <mergeCell ref="C3:C4"/>
    <mergeCell ref="A18:S18"/>
    <mergeCell ref="A21:S21"/>
    <mergeCell ref="A12:S12"/>
    <mergeCell ref="A5:S5"/>
    <mergeCell ref="A3:A4"/>
    <mergeCell ref="A9:S9"/>
    <mergeCell ref="A15:S15"/>
  </mergeCells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4"/>
  <sheetViews>
    <sheetView workbookViewId="0">
      <selection sqref="A1:Q2"/>
    </sheetView>
  </sheetViews>
  <sheetFormatPr baseColWidth="10" defaultColWidth="9" defaultRowHeight="13"/>
  <cols>
    <col min="1" max="1" width="7.1640625" style="1" bestFit="1" customWidth="1"/>
    <col min="2" max="2" width="21.33203125" style="1" bestFit="1" customWidth="1"/>
    <col min="3" max="3" width="24.83203125" style="1" bestFit="1" customWidth="1"/>
    <col min="4" max="4" width="20.6640625" style="1" bestFit="1" customWidth="1"/>
    <col min="5" max="5" width="10" style="1" bestFit="1" customWidth="1"/>
    <col min="6" max="6" width="27.6640625" style="1" customWidth="1"/>
    <col min="7" max="14" width="5.5" style="2" customWidth="1"/>
    <col min="15" max="15" width="7.5" style="2" bestFit="1" customWidth="1"/>
    <col min="16" max="16" width="8.5" style="2" bestFit="1" customWidth="1"/>
    <col min="17" max="17" width="22" style="1" bestFit="1" customWidth="1"/>
    <col min="18" max="18" width="9" style="3" bestFit="1" customWidth="1"/>
    <col min="19" max="16384" width="9" style="3"/>
  </cols>
  <sheetData>
    <row r="1" spans="1:17" s="4" customFormat="1" ht="29" customHeight="1" thickBot="1">
      <c r="A1" s="40" t="s">
        <v>496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70</v>
      </c>
      <c r="H3" s="54"/>
      <c r="I3" s="54"/>
      <c r="J3" s="55"/>
      <c r="K3" s="53" t="s">
        <v>71</v>
      </c>
      <c r="L3" s="54"/>
      <c r="M3" s="54"/>
      <c r="N3" s="55"/>
      <c r="O3" s="48" t="s">
        <v>72</v>
      </c>
      <c r="P3" s="48" t="s">
        <v>4</v>
      </c>
      <c r="Q3" s="46" t="s">
        <v>5</v>
      </c>
    </row>
    <row r="4" spans="1:17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6">
        <v>1</v>
      </c>
      <c r="L4" s="6">
        <v>2</v>
      </c>
      <c r="M4" s="6">
        <v>3</v>
      </c>
      <c r="N4" s="6" t="s">
        <v>73</v>
      </c>
      <c r="O4" s="39"/>
      <c r="P4" s="39"/>
      <c r="Q4" s="47"/>
    </row>
    <row r="5" spans="1:17" ht="16">
      <c r="A5" s="35" t="s">
        <v>74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</row>
    <row r="6" spans="1:17">
      <c r="A6" s="7" t="s">
        <v>7</v>
      </c>
      <c r="B6" s="8" t="s">
        <v>75</v>
      </c>
      <c r="C6" s="8" t="s">
        <v>76</v>
      </c>
      <c r="D6" s="8" t="s">
        <v>77</v>
      </c>
      <c r="E6" s="8" t="s">
        <v>518</v>
      </c>
      <c r="F6" s="8" t="s">
        <v>13</v>
      </c>
      <c r="G6" s="17" t="s">
        <v>78</v>
      </c>
      <c r="H6" s="18" t="s">
        <v>79</v>
      </c>
      <c r="I6" s="18" t="s">
        <v>79</v>
      </c>
      <c r="J6" s="7"/>
      <c r="K6" s="17" t="s">
        <v>80</v>
      </c>
      <c r="L6" s="17" t="s">
        <v>81</v>
      </c>
      <c r="M6" s="17" t="s">
        <v>82</v>
      </c>
      <c r="N6" s="7"/>
      <c r="O6" s="7" t="str">
        <f>"182,5"</f>
        <v>182,5</v>
      </c>
      <c r="P6" s="7" t="str">
        <f>"216,8648"</f>
        <v>216,8648</v>
      </c>
      <c r="Q6" s="8" t="s">
        <v>83</v>
      </c>
    </row>
    <row r="8" spans="1:17">
      <c r="C8" s="2"/>
      <c r="D8" s="2"/>
      <c r="E8" s="2"/>
      <c r="F8" s="2"/>
      <c r="L8" s="1"/>
      <c r="M8" s="3"/>
      <c r="N8" s="3"/>
      <c r="O8" s="3"/>
      <c r="P8" s="3"/>
      <c r="Q8" s="3"/>
    </row>
    <row r="9" spans="1:17">
      <c r="C9" s="2"/>
      <c r="D9" s="2"/>
      <c r="E9" s="2"/>
      <c r="F9" s="2"/>
      <c r="L9" s="1"/>
      <c r="M9" s="3"/>
      <c r="N9" s="3"/>
      <c r="O9" s="3"/>
      <c r="P9" s="3"/>
      <c r="Q9" s="3"/>
    </row>
    <row r="10" spans="1:17">
      <c r="C10" s="2"/>
      <c r="D10" s="2"/>
      <c r="E10" s="2"/>
      <c r="F10" s="2"/>
      <c r="L10" s="1"/>
      <c r="M10" s="3"/>
      <c r="N10" s="3"/>
      <c r="O10" s="3"/>
      <c r="P10" s="3"/>
      <c r="Q10" s="3"/>
    </row>
    <row r="11" spans="1:17">
      <c r="C11" s="2"/>
      <c r="D11" s="2"/>
      <c r="E11" s="2"/>
      <c r="F11" s="2"/>
      <c r="L11" s="1"/>
      <c r="M11" s="3"/>
      <c r="N11" s="3"/>
      <c r="O11" s="3"/>
      <c r="P11" s="3"/>
      <c r="Q11" s="3"/>
    </row>
    <row r="12" spans="1:17">
      <c r="C12" s="2"/>
      <c r="D12" s="2"/>
      <c r="E12" s="2"/>
      <c r="F12" s="2"/>
      <c r="L12" s="1"/>
      <c r="M12" s="3"/>
      <c r="N12" s="3"/>
      <c r="O12" s="3"/>
      <c r="P12" s="3"/>
      <c r="Q12" s="3"/>
    </row>
    <row r="13" spans="1:17">
      <c r="C13" s="2"/>
      <c r="D13" s="2"/>
      <c r="E13" s="2"/>
      <c r="F13" s="2"/>
      <c r="L13" s="1"/>
      <c r="M13" s="3"/>
      <c r="N13" s="3"/>
      <c r="O13" s="3"/>
      <c r="P13" s="3"/>
      <c r="Q13" s="3"/>
    </row>
    <row r="14" spans="1:17">
      <c r="C14" s="2"/>
      <c r="D14" s="2"/>
      <c r="E14" s="2"/>
      <c r="F14" s="2"/>
      <c r="L14" s="1"/>
      <c r="M14" s="3"/>
      <c r="N14" s="3"/>
      <c r="O14" s="3"/>
      <c r="P14" s="3"/>
      <c r="Q14" s="3"/>
    </row>
    <row r="15" spans="1:17">
      <c r="C15" s="2"/>
      <c r="D15" s="2"/>
      <c r="E15" s="2"/>
      <c r="F15" s="2"/>
      <c r="L15" s="1"/>
      <c r="M15" s="3"/>
      <c r="N15" s="3"/>
      <c r="O15" s="3"/>
      <c r="P15" s="3"/>
      <c r="Q15" s="3"/>
    </row>
    <row r="16" spans="1:17">
      <c r="C16" s="2"/>
      <c r="D16" s="2"/>
      <c r="E16" s="2"/>
      <c r="F16" s="2"/>
      <c r="L16" s="1"/>
      <c r="M16" s="3"/>
      <c r="N16" s="3"/>
      <c r="O16" s="3"/>
      <c r="P16" s="3"/>
      <c r="Q16" s="3"/>
    </row>
    <row r="17" spans="3:17">
      <c r="C17" s="2"/>
      <c r="D17" s="2"/>
      <c r="E17" s="2"/>
      <c r="F17" s="2"/>
      <c r="L17" s="1"/>
      <c r="M17" s="3"/>
      <c r="N17" s="3"/>
      <c r="O17" s="3"/>
      <c r="P17" s="3"/>
      <c r="Q17" s="3"/>
    </row>
    <row r="18" spans="3:17">
      <c r="C18" s="2"/>
      <c r="D18" s="2"/>
      <c r="E18" s="2"/>
      <c r="F18" s="2"/>
      <c r="L18" s="1"/>
      <c r="M18" s="3"/>
      <c r="N18" s="3"/>
      <c r="O18" s="3"/>
      <c r="P18" s="3"/>
      <c r="Q18" s="3"/>
    </row>
    <row r="19" spans="3:17">
      <c r="C19" s="2"/>
      <c r="D19" s="2"/>
      <c r="E19" s="2"/>
      <c r="F19" s="2"/>
      <c r="L19" s="1"/>
      <c r="M19" s="3"/>
      <c r="N19" s="3"/>
      <c r="O19" s="3"/>
      <c r="P19" s="3"/>
      <c r="Q19" s="3"/>
    </row>
    <row r="20" spans="3:17">
      <c r="C20" s="2"/>
      <c r="D20" s="2"/>
      <c r="E20" s="2"/>
      <c r="F20" s="2"/>
      <c r="L20" s="1"/>
      <c r="M20" s="3"/>
      <c r="N20" s="3"/>
      <c r="O20" s="3"/>
      <c r="P20" s="3"/>
      <c r="Q20" s="3"/>
    </row>
    <row r="21" spans="3:17">
      <c r="C21" s="2"/>
      <c r="D21" s="2"/>
      <c r="E21" s="2"/>
      <c r="F21" s="2"/>
      <c r="L21" s="1"/>
      <c r="M21" s="3"/>
      <c r="N21" s="3"/>
      <c r="O21" s="3"/>
      <c r="P21" s="3"/>
      <c r="Q21" s="3"/>
    </row>
    <row r="22" spans="3:17">
      <c r="C22" s="2"/>
      <c r="D22" s="2"/>
      <c r="E22" s="2"/>
      <c r="F22" s="2"/>
      <c r="L22" s="1"/>
      <c r="M22" s="3"/>
      <c r="N22" s="3"/>
      <c r="O22" s="3"/>
      <c r="P22" s="3"/>
      <c r="Q22" s="3"/>
    </row>
    <row r="23" spans="3:17">
      <c r="C23" s="2"/>
      <c r="D23" s="2"/>
      <c r="E23" s="2"/>
      <c r="F23" s="2"/>
      <c r="L23" s="1"/>
      <c r="M23" s="3"/>
      <c r="N23" s="3"/>
      <c r="O23" s="3"/>
      <c r="P23" s="3"/>
      <c r="Q23" s="3"/>
    </row>
    <row r="24" spans="3:17">
      <c r="C24" s="2"/>
      <c r="D24" s="2"/>
      <c r="E24" s="2"/>
      <c r="F24" s="2"/>
      <c r="L24" s="1"/>
      <c r="M24" s="3"/>
      <c r="N24" s="3"/>
      <c r="O24" s="3"/>
      <c r="P24" s="3"/>
      <c r="Q24" s="3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5"/>
  <sheetViews>
    <sheetView topLeftCell="A26" workbookViewId="0">
      <selection activeCell="F40" sqref="F40"/>
    </sheetView>
  </sheetViews>
  <sheetFormatPr baseColWidth="10" defaultColWidth="9" defaultRowHeight="13"/>
  <cols>
    <col min="1" max="1" width="7.1640625" style="1" bestFit="1" customWidth="1"/>
    <col min="2" max="2" width="21.83203125" style="1" bestFit="1" customWidth="1"/>
    <col min="3" max="3" width="27.1640625" style="1" bestFit="1" customWidth="1"/>
    <col min="4" max="4" width="20.6640625" style="1" bestFit="1" customWidth="1"/>
    <col min="5" max="5" width="10" style="1" bestFit="1" customWidth="1"/>
    <col min="6" max="6" width="31.5" style="1" bestFit="1" customWidth="1"/>
    <col min="7" max="9" width="5.5" style="2" customWidth="1"/>
    <col min="10" max="10" width="4.5" style="2" customWidth="1"/>
    <col min="11" max="11" width="10.5" style="29" bestFit="1" customWidth="1"/>
    <col min="12" max="12" width="8.5" style="2" bestFit="1" customWidth="1"/>
    <col min="13" max="13" width="30.83203125" style="1" bestFit="1" customWidth="1"/>
    <col min="14" max="14" width="9" style="3" bestFit="1" customWidth="1"/>
    <col min="15" max="16384" width="9" style="3"/>
  </cols>
  <sheetData>
    <row r="1" spans="1:13" s="4" customFormat="1" ht="29" customHeight="1" thickBot="1">
      <c r="A1" s="40" t="s">
        <v>501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70</v>
      </c>
      <c r="H3" s="54"/>
      <c r="I3" s="54"/>
      <c r="J3" s="55"/>
      <c r="K3" s="49" t="s">
        <v>84</v>
      </c>
      <c r="L3" s="48" t="s">
        <v>4</v>
      </c>
      <c r="M3" s="46" t="s">
        <v>5</v>
      </c>
    </row>
    <row r="4" spans="1:13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50"/>
      <c r="L4" s="39"/>
      <c r="M4" s="47"/>
    </row>
    <row r="5" spans="1:13" ht="16">
      <c r="A5" s="35" t="s">
        <v>56</v>
      </c>
      <c r="B5" s="36"/>
      <c r="C5" s="36"/>
      <c r="D5" s="36"/>
      <c r="E5" s="36"/>
      <c r="F5" s="36"/>
      <c r="G5" s="36"/>
      <c r="H5" s="36"/>
      <c r="I5" s="36"/>
      <c r="J5" s="37"/>
    </row>
    <row r="6" spans="1:13">
      <c r="A6" s="11" t="s">
        <v>7</v>
      </c>
      <c r="B6" s="12" t="s">
        <v>127</v>
      </c>
      <c r="C6" s="12" t="s">
        <v>128</v>
      </c>
      <c r="D6" s="12" t="s">
        <v>129</v>
      </c>
      <c r="E6" s="12" t="s">
        <v>518</v>
      </c>
      <c r="F6" s="12" t="s">
        <v>13</v>
      </c>
      <c r="G6" s="20" t="s">
        <v>130</v>
      </c>
      <c r="H6" s="19" t="s">
        <v>131</v>
      </c>
      <c r="I6" s="19" t="s">
        <v>132</v>
      </c>
      <c r="J6" s="11"/>
      <c r="K6" s="31" t="str">
        <f>"72,5"</f>
        <v>72,5</v>
      </c>
      <c r="L6" s="11" t="str">
        <f>"96,0190"</f>
        <v>96,0190</v>
      </c>
      <c r="M6" s="12" t="s">
        <v>133</v>
      </c>
    </row>
    <row r="7" spans="1:13">
      <c r="A7" s="13" t="s">
        <v>49</v>
      </c>
      <c r="B7" s="14" t="s">
        <v>134</v>
      </c>
      <c r="C7" s="14" t="s">
        <v>135</v>
      </c>
      <c r="D7" s="14" t="s">
        <v>136</v>
      </c>
      <c r="E7" s="14" t="s">
        <v>518</v>
      </c>
      <c r="F7" s="14" t="s">
        <v>13</v>
      </c>
      <c r="G7" s="22" t="s">
        <v>137</v>
      </c>
      <c r="H7" s="21" t="s">
        <v>112</v>
      </c>
      <c r="I7" s="21" t="s">
        <v>112</v>
      </c>
      <c r="J7" s="13"/>
      <c r="K7" s="32" t="str">
        <f>"52,5"</f>
        <v>52,5</v>
      </c>
      <c r="L7" s="13" t="str">
        <f>"69,6413"</f>
        <v>69,6413</v>
      </c>
      <c r="M7" s="14" t="s">
        <v>91</v>
      </c>
    </row>
    <row r="9" spans="1:13" ht="16">
      <c r="A9" s="34" t="s">
        <v>74</v>
      </c>
      <c r="B9" s="34"/>
      <c r="C9" s="34"/>
      <c r="D9" s="34"/>
      <c r="E9" s="34"/>
      <c r="F9" s="34"/>
      <c r="G9" s="34"/>
      <c r="H9" s="34"/>
      <c r="I9" s="34"/>
      <c r="J9" s="34"/>
    </row>
    <row r="10" spans="1:13">
      <c r="A10" s="11" t="s">
        <v>7</v>
      </c>
      <c r="B10" s="12" t="s">
        <v>85</v>
      </c>
      <c r="C10" s="12" t="s">
        <v>86</v>
      </c>
      <c r="D10" s="12" t="s">
        <v>87</v>
      </c>
      <c r="E10" s="12" t="s">
        <v>518</v>
      </c>
      <c r="F10" s="12" t="s">
        <v>13</v>
      </c>
      <c r="G10" s="19" t="s">
        <v>138</v>
      </c>
      <c r="H10" s="19" t="s">
        <v>78</v>
      </c>
      <c r="I10" s="19" t="s">
        <v>79</v>
      </c>
      <c r="J10" s="11"/>
      <c r="K10" s="31" t="str">
        <f>"62,5"</f>
        <v>62,5</v>
      </c>
      <c r="L10" s="11" t="str">
        <f>"75,3375"</f>
        <v>75,3375</v>
      </c>
      <c r="M10" s="12" t="s">
        <v>91</v>
      </c>
    </row>
    <row r="11" spans="1:13">
      <c r="A11" s="13" t="s">
        <v>49</v>
      </c>
      <c r="B11" s="14" t="s">
        <v>139</v>
      </c>
      <c r="C11" s="14" t="s">
        <v>140</v>
      </c>
      <c r="D11" s="14" t="s">
        <v>141</v>
      </c>
      <c r="E11" s="14" t="s">
        <v>518</v>
      </c>
      <c r="F11" s="14" t="s">
        <v>13</v>
      </c>
      <c r="G11" s="22" t="s">
        <v>142</v>
      </c>
      <c r="H11" s="22" t="s">
        <v>137</v>
      </c>
      <c r="I11" s="22" t="s">
        <v>112</v>
      </c>
      <c r="J11" s="13"/>
      <c r="K11" s="32" t="str">
        <f>"55,0"</f>
        <v>55,0</v>
      </c>
      <c r="L11" s="13" t="str">
        <f>"67,1660"</f>
        <v>67,1660</v>
      </c>
      <c r="M11" s="14" t="s">
        <v>143</v>
      </c>
    </row>
    <row r="13" spans="1:13" ht="16">
      <c r="A13" s="34" t="s">
        <v>6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3">
      <c r="A14" s="11" t="s">
        <v>7</v>
      </c>
      <c r="B14" s="12" t="s">
        <v>144</v>
      </c>
      <c r="C14" s="12" t="s">
        <v>145</v>
      </c>
      <c r="D14" s="12" t="s">
        <v>146</v>
      </c>
      <c r="E14" s="12" t="s">
        <v>519</v>
      </c>
      <c r="F14" s="12" t="s">
        <v>13</v>
      </c>
      <c r="G14" s="19" t="s">
        <v>147</v>
      </c>
      <c r="H14" s="19" t="s">
        <v>148</v>
      </c>
      <c r="I14" s="19" t="s">
        <v>80</v>
      </c>
      <c r="J14" s="11"/>
      <c r="K14" s="31" t="str">
        <f>"110,0"</f>
        <v>110,0</v>
      </c>
      <c r="L14" s="11" t="str">
        <f>"80,6300"</f>
        <v>80,6300</v>
      </c>
      <c r="M14" s="12" t="s">
        <v>32</v>
      </c>
    </row>
    <row r="15" spans="1:13">
      <c r="A15" s="13" t="s">
        <v>7</v>
      </c>
      <c r="B15" s="14" t="s">
        <v>144</v>
      </c>
      <c r="C15" s="14" t="s">
        <v>149</v>
      </c>
      <c r="D15" s="14" t="s">
        <v>146</v>
      </c>
      <c r="E15" s="14" t="s">
        <v>518</v>
      </c>
      <c r="F15" s="14" t="s">
        <v>13</v>
      </c>
      <c r="G15" s="22" t="s">
        <v>147</v>
      </c>
      <c r="H15" s="22" t="s">
        <v>148</v>
      </c>
      <c r="I15" s="22" t="s">
        <v>80</v>
      </c>
      <c r="J15" s="13"/>
      <c r="K15" s="32" t="str">
        <f>"110,0"</f>
        <v>110,0</v>
      </c>
      <c r="L15" s="13" t="str">
        <f>"80,6300"</f>
        <v>80,6300</v>
      </c>
      <c r="M15" s="14" t="s">
        <v>32</v>
      </c>
    </row>
    <row r="17" spans="1:13" ht="16">
      <c r="A17" s="34" t="s">
        <v>10</v>
      </c>
      <c r="B17" s="34"/>
      <c r="C17" s="34"/>
      <c r="D17" s="34"/>
      <c r="E17" s="34"/>
      <c r="F17" s="34"/>
      <c r="G17" s="34"/>
      <c r="H17" s="34"/>
      <c r="I17" s="34"/>
      <c r="J17" s="34"/>
    </row>
    <row r="18" spans="1:13">
      <c r="A18" s="11" t="s">
        <v>7</v>
      </c>
      <c r="B18" s="12" t="s">
        <v>150</v>
      </c>
      <c r="C18" s="12" t="s">
        <v>151</v>
      </c>
      <c r="D18" s="12" t="s">
        <v>152</v>
      </c>
      <c r="E18" s="12" t="s">
        <v>518</v>
      </c>
      <c r="F18" s="12" t="s">
        <v>13</v>
      </c>
      <c r="G18" s="19" t="s">
        <v>81</v>
      </c>
      <c r="H18" s="19" t="s">
        <v>89</v>
      </c>
      <c r="I18" s="20" t="s">
        <v>90</v>
      </c>
      <c r="J18" s="11"/>
      <c r="K18" s="31" t="str">
        <f>"125,0"</f>
        <v>125,0</v>
      </c>
      <c r="L18" s="11" t="str">
        <f>"100,4375"</f>
        <v>100,4375</v>
      </c>
      <c r="M18" s="12" t="s">
        <v>153</v>
      </c>
    </row>
    <row r="19" spans="1:13">
      <c r="A19" s="13" t="s">
        <v>7</v>
      </c>
      <c r="B19" s="14" t="s">
        <v>11</v>
      </c>
      <c r="C19" s="14" t="s">
        <v>154</v>
      </c>
      <c r="D19" s="14" t="s">
        <v>12</v>
      </c>
      <c r="E19" s="14" t="s">
        <v>520</v>
      </c>
      <c r="F19" s="14" t="s">
        <v>13</v>
      </c>
      <c r="G19" s="22" t="s">
        <v>155</v>
      </c>
      <c r="H19" s="22" t="s">
        <v>156</v>
      </c>
      <c r="I19" s="21" t="s">
        <v>147</v>
      </c>
      <c r="J19" s="13"/>
      <c r="K19" s="32" t="str">
        <f>"95,0"</f>
        <v>95,0</v>
      </c>
      <c r="L19" s="13" t="str">
        <f>"82,9003"</f>
        <v>82,9003</v>
      </c>
      <c r="M19" s="14" t="s">
        <v>15</v>
      </c>
    </row>
    <row r="21" spans="1:13" ht="16">
      <c r="A21" s="34" t="s">
        <v>6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3">
      <c r="A22" s="11" t="s">
        <v>7</v>
      </c>
      <c r="B22" s="12" t="s">
        <v>157</v>
      </c>
      <c r="C22" s="12" t="s">
        <v>158</v>
      </c>
      <c r="D22" s="12" t="s">
        <v>159</v>
      </c>
      <c r="E22" s="12" t="s">
        <v>518</v>
      </c>
      <c r="F22" s="12" t="s">
        <v>13</v>
      </c>
      <c r="G22" s="19" t="s">
        <v>89</v>
      </c>
      <c r="H22" s="19" t="s">
        <v>90</v>
      </c>
      <c r="I22" s="19" t="s">
        <v>160</v>
      </c>
      <c r="J22" s="11"/>
      <c r="K22" s="31" t="str">
        <f>"135,0"</f>
        <v>135,0</v>
      </c>
      <c r="L22" s="11" t="str">
        <f>"96,5520"</f>
        <v>96,5520</v>
      </c>
      <c r="M22" s="12"/>
    </row>
    <row r="23" spans="1:13">
      <c r="A23" s="15" t="s">
        <v>49</v>
      </c>
      <c r="B23" s="16" t="s">
        <v>161</v>
      </c>
      <c r="C23" s="16" t="s">
        <v>162</v>
      </c>
      <c r="D23" s="16" t="s">
        <v>163</v>
      </c>
      <c r="E23" s="16" t="s">
        <v>518</v>
      </c>
      <c r="F23" s="16" t="s">
        <v>13</v>
      </c>
      <c r="G23" s="23" t="s">
        <v>90</v>
      </c>
      <c r="H23" s="24" t="s">
        <v>160</v>
      </c>
      <c r="I23" s="24" t="s">
        <v>160</v>
      </c>
      <c r="J23" s="15"/>
      <c r="K23" s="33" t="str">
        <f>"130,0"</f>
        <v>130,0</v>
      </c>
      <c r="L23" s="15" t="str">
        <f>"93,9640"</f>
        <v>93,9640</v>
      </c>
      <c r="M23" s="16"/>
    </row>
    <row r="24" spans="1:13">
      <c r="A24" s="13" t="s">
        <v>52</v>
      </c>
      <c r="B24" s="14" t="s">
        <v>16</v>
      </c>
      <c r="C24" s="14" t="s">
        <v>17</v>
      </c>
      <c r="D24" s="14" t="s">
        <v>18</v>
      </c>
      <c r="E24" s="14" t="s">
        <v>518</v>
      </c>
      <c r="F24" s="14" t="s">
        <v>19</v>
      </c>
      <c r="G24" s="21" t="s">
        <v>89</v>
      </c>
      <c r="H24" s="22" t="s">
        <v>89</v>
      </c>
      <c r="I24" s="21" t="s">
        <v>160</v>
      </c>
      <c r="J24" s="13"/>
      <c r="K24" s="32" t="str">
        <f>"125,0"</f>
        <v>125,0</v>
      </c>
      <c r="L24" s="13" t="str">
        <f>"90,4375"</f>
        <v>90,4375</v>
      </c>
      <c r="M24" s="14"/>
    </row>
    <row r="26" spans="1:13" ht="16">
      <c r="A26" s="34" t="s">
        <v>22</v>
      </c>
      <c r="B26" s="34"/>
      <c r="C26" s="34"/>
      <c r="D26" s="34"/>
      <c r="E26" s="34"/>
      <c r="F26" s="34"/>
      <c r="G26" s="34"/>
      <c r="H26" s="34"/>
      <c r="I26" s="34"/>
      <c r="J26" s="34"/>
    </row>
    <row r="27" spans="1:13">
      <c r="A27" s="11" t="s">
        <v>7</v>
      </c>
      <c r="B27" s="12" t="s">
        <v>164</v>
      </c>
      <c r="C27" s="12" t="s">
        <v>165</v>
      </c>
      <c r="D27" s="12" t="s">
        <v>166</v>
      </c>
      <c r="E27" s="12" t="s">
        <v>518</v>
      </c>
      <c r="F27" s="12" t="s">
        <v>509</v>
      </c>
      <c r="G27" s="19" t="s">
        <v>167</v>
      </c>
      <c r="H27" s="19" t="s">
        <v>168</v>
      </c>
      <c r="I27" s="20" t="s">
        <v>169</v>
      </c>
      <c r="J27" s="11"/>
      <c r="K27" s="31" t="str">
        <f>"167,5"</f>
        <v>167,5</v>
      </c>
      <c r="L27" s="11" t="str">
        <f>"112,6270"</f>
        <v>112,6270</v>
      </c>
      <c r="M27" s="12" t="s">
        <v>91</v>
      </c>
    </row>
    <row r="28" spans="1:13">
      <c r="A28" s="15" t="s">
        <v>49</v>
      </c>
      <c r="B28" s="16" t="s">
        <v>23</v>
      </c>
      <c r="C28" s="16" t="s">
        <v>24</v>
      </c>
      <c r="D28" s="16" t="s">
        <v>25</v>
      </c>
      <c r="E28" s="16" t="s">
        <v>518</v>
      </c>
      <c r="F28" s="16" t="s">
        <v>508</v>
      </c>
      <c r="G28" s="23" t="s">
        <v>160</v>
      </c>
      <c r="H28" s="23" t="s">
        <v>170</v>
      </c>
      <c r="I28" s="24" t="s">
        <v>171</v>
      </c>
      <c r="J28" s="15"/>
      <c r="K28" s="33" t="str">
        <f>"140,0"</f>
        <v>140,0</v>
      </c>
      <c r="L28" s="15" t="str">
        <f>"96,7400"</f>
        <v>96,7400</v>
      </c>
      <c r="M28" s="16"/>
    </row>
    <row r="29" spans="1:13">
      <c r="A29" s="15" t="s">
        <v>52</v>
      </c>
      <c r="B29" s="16" t="s">
        <v>172</v>
      </c>
      <c r="C29" s="16" t="s">
        <v>173</v>
      </c>
      <c r="D29" s="16" t="s">
        <v>174</v>
      </c>
      <c r="E29" s="16" t="s">
        <v>518</v>
      </c>
      <c r="F29" s="16" t="s">
        <v>13</v>
      </c>
      <c r="G29" s="23" t="s">
        <v>160</v>
      </c>
      <c r="H29" s="23" t="s">
        <v>170</v>
      </c>
      <c r="I29" s="24" t="s">
        <v>171</v>
      </c>
      <c r="J29" s="15"/>
      <c r="K29" s="33" t="str">
        <f>"140,0"</f>
        <v>140,0</v>
      </c>
      <c r="L29" s="15" t="str">
        <f>"94,4160"</f>
        <v>94,4160</v>
      </c>
      <c r="M29" s="16" t="s">
        <v>91</v>
      </c>
    </row>
    <row r="30" spans="1:13">
      <c r="A30" s="13" t="s">
        <v>7</v>
      </c>
      <c r="B30" s="14" t="s">
        <v>23</v>
      </c>
      <c r="C30" s="14" t="s">
        <v>175</v>
      </c>
      <c r="D30" s="14" t="s">
        <v>25</v>
      </c>
      <c r="E30" s="14" t="s">
        <v>521</v>
      </c>
      <c r="F30" s="14" t="s">
        <v>508</v>
      </c>
      <c r="G30" s="22" t="s">
        <v>160</v>
      </c>
      <c r="H30" s="22" t="s">
        <v>170</v>
      </c>
      <c r="I30" s="21" t="s">
        <v>171</v>
      </c>
      <c r="J30" s="13"/>
      <c r="K30" s="32" t="str">
        <f>"140,0"</f>
        <v>140,0</v>
      </c>
      <c r="L30" s="13" t="str">
        <f>"127,8903"</f>
        <v>127,8903</v>
      </c>
      <c r="M30" s="14"/>
    </row>
    <row r="32" spans="1:13" ht="16">
      <c r="A32" s="34" t="s">
        <v>27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3">
      <c r="A33" s="11" t="s">
        <v>7</v>
      </c>
      <c r="B33" s="12" t="s">
        <v>176</v>
      </c>
      <c r="C33" s="12" t="s">
        <v>177</v>
      </c>
      <c r="D33" s="12" t="s">
        <v>178</v>
      </c>
      <c r="E33" s="12" t="s">
        <v>518</v>
      </c>
      <c r="F33" s="12" t="s">
        <v>19</v>
      </c>
      <c r="G33" s="19" t="s">
        <v>171</v>
      </c>
      <c r="H33" s="19" t="s">
        <v>179</v>
      </c>
      <c r="I33" s="19" t="s">
        <v>180</v>
      </c>
      <c r="J33" s="11"/>
      <c r="K33" s="31" t="str">
        <f>"157,5"</f>
        <v>157,5</v>
      </c>
      <c r="L33" s="11" t="str">
        <f>"101,0678"</f>
        <v>101,0678</v>
      </c>
      <c r="M33" s="12" t="s">
        <v>32</v>
      </c>
    </row>
    <row r="34" spans="1:13">
      <c r="A34" s="15" t="s">
        <v>49</v>
      </c>
      <c r="B34" s="16" t="s">
        <v>28</v>
      </c>
      <c r="C34" s="16" t="s">
        <v>29</v>
      </c>
      <c r="D34" s="16" t="s">
        <v>30</v>
      </c>
      <c r="E34" s="16" t="s">
        <v>518</v>
      </c>
      <c r="F34" s="16" t="s">
        <v>19</v>
      </c>
      <c r="G34" s="23" t="s">
        <v>90</v>
      </c>
      <c r="H34" s="23" t="s">
        <v>170</v>
      </c>
      <c r="I34" s="24" t="s">
        <v>171</v>
      </c>
      <c r="J34" s="15"/>
      <c r="K34" s="33" t="str">
        <f>"140,0"</f>
        <v>140,0</v>
      </c>
      <c r="L34" s="15" t="str">
        <f>"89,8940"</f>
        <v>89,8940</v>
      </c>
      <c r="M34" s="16" t="s">
        <v>32</v>
      </c>
    </row>
    <row r="35" spans="1:13">
      <c r="A35" s="15" t="s">
        <v>98</v>
      </c>
      <c r="B35" s="16" t="s">
        <v>181</v>
      </c>
      <c r="C35" s="16" t="s">
        <v>182</v>
      </c>
      <c r="D35" s="16" t="s">
        <v>183</v>
      </c>
      <c r="E35" s="16" t="s">
        <v>518</v>
      </c>
      <c r="F35" s="16" t="s">
        <v>510</v>
      </c>
      <c r="G35" s="24" t="s">
        <v>184</v>
      </c>
      <c r="H35" s="24" t="s">
        <v>184</v>
      </c>
      <c r="I35" s="24" t="s">
        <v>184</v>
      </c>
      <c r="J35" s="15"/>
      <c r="K35" s="33">
        <v>0</v>
      </c>
      <c r="L35" s="15" t="str">
        <f>"0,0000"</f>
        <v>0,0000</v>
      </c>
      <c r="M35" s="16"/>
    </row>
    <row r="36" spans="1:13">
      <c r="A36" s="15" t="s">
        <v>7</v>
      </c>
      <c r="B36" s="16" t="s">
        <v>185</v>
      </c>
      <c r="C36" s="16" t="s">
        <v>186</v>
      </c>
      <c r="D36" s="16" t="s">
        <v>187</v>
      </c>
      <c r="E36" s="16" t="s">
        <v>520</v>
      </c>
      <c r="F36" s="16" t="s">
        <v>13</v>
      </c>
      <c r="G36" s="23" t="s">
        <v>171</v>
      </c>
      <c r="H36" s="23" t="s">
        <v>179</v>
      </c>
      <c r="I36" s="23" t="s">
        <v>180</v>
      </c>
      <c r="J36" s="15"/>
      <c r="K36" s="33" t="str">
        <f>"157,5"</f>
        <v>157,5</v>
      </c>
      <c r="L36" s="15" t="str">
        <f>"112,2548"</f>
        <v>112,2548</v>
      </c>
      <c r="M36" s="16"/>
    </row>
    <row r="37" spans="1:13">
      <c r="A37" s="13" t="s">
        <v>49</v>
      </c>
      <c r="B37" s="14" t="s">
        <v>33</v>
      </c>
      <c r="C37" s="14" t="s">
        <v>188</v>
      </c>
      <c r="D37" s="14" t="s">
        <v>30</v>
      </c>
      <c r="E37" s="14" t="s">
        <v>520</v>
      </c>
      <c r="F37" s="14" t="s">
        <v>34</v>
      </c>
      <c r="G37" s="22" t="s">
        <v>171</v>
      </c>
      <c r="H37" s="22" t="s">
        <v>179</v>
      </c>
      <c r="I37" s="21" t="s">
        <v>189</v>
      </c>
      <c r="J37" s="13"/>
      <c r="K37" s="32" t="str">
        <f>"152,5"</f>
        <v>152,5</v>
      </c>
      <c r="L37" s="13" t="str">
        <f>"105,5580"</f>
        <v>105,5580</v>
      </c>
      <c r="M37" s="14"/>
    </row>
    <row r="39" spans="1:13" ht="16">
      <c r="A39" s="34" t="s">
        <v>66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3">
      <c r="A40" s="11" t="s">
        <v>7</v>
      </c>
      <c r="B40" s="12" t="s">
        <v>190</v>
      </c>
      <c r="C40" s="12" t="s">
        <v>191</v>
      </c>
      <c r="D40" s="12" t="s">
        <v>192</v>
      </c>
      <c r="E40" s="12" t="s">
        <v>518</v>
      </c>
      <c r="F40" s="12" t="s">
        <v>193</v>
      </c>
      <c r="G40" s="19" t="s">
        <v>194</v>
      </c>
      <c r="H40" s="20" t="s">
        <v>95</v>
      </c>
      <c r="I40" s="20" t="s">
        <v>95</v>
      </c>
      <c r="J40" s="11"/>
      <c r="K40" s="31" t="str">
        <f>"180,0"</f>
        <v>180,0</v>
      </c>
      <c r="L40" s="11" t="str">
        <f>"110,1240"</f>
        <v>110,1240</v>
      </c>
      <c r="M40" s="12"/>
    </row>
    <row r="41" spans="1:13">
      <c r="A41" s="15" t="s">
        <v>49</v>
      </c>
      <c r="B41" s="16" t="s">
        <v>195</v>
      </c>
      <c r="C41" s="16" t="s">
        <v>196</v>
      </c>
      <c r="D41" s="16" t="s">
        <v>197</v>
      </c>
      <c r="E41" s="16" t="s">
        <v>518</v>
      </c>
      <c r="F41" s="16" t="s">
        <v>13</v>
      </c>
      <c r="G41" s="23" t="s">
        <v>170</v>
      </c>
      <c r="H41" s="24" t="s">
        <v>167</v>
      </c>
      <c r="I41" s="23" t="s">
        <v>167</v>
      </c>
      <c r="J41" s="15"/>
      <c r="K41" s="33" t="str">
        <f>"162,5"</f>
        <v>162,5</v>
      </c>
      <c r="L41" s="15" t="str">
        <f>"101,2700"</f>
        <v>101,2700</v>
      </c>
      <c r="M41" s="16" t="s">
        <v>198</v>
      </c>
    </row>
    <row r="42" spans="1:13">
      <c r="A42" s="15" t="s">
        <v>52</v>
      </c>
      <c r="B42" s="16" t="s">
        <v>199</v>
      </c>
      <c r="C42" s="16" t="s">
        <v>200</v>
      </c>
      <c r="D42" s="16" t="s">
        <v>201</v>
      </c>
      <c r="E42" s="16" t="s">
        <v>518</v>
      </c>
      <c r="F42" s="16" t="s">
        <v>202</v>
      </c>
      <c r="G42" s="23" t="s">
        <v>171</v>
      </c>
      <c r="H42" s="23" t="s">
        <v>179</v>
      </c>
      <c r="I42" s="24" t="s">
        <v>189</v>
      </c>
      <c r="J42" s="15"/>
      <c r="K42" s="33" t="str">
        <f>"152,5"</f>
        <v>152,5</v>
      </c>
      <c r="L42" s="15" t="str">
        <f>"92,8115"</f>
        <v>92,8115</v>
      </c>
      <c r="M42" s="16" t="s">
        <v>32</v>
      </c>
    </row>
    <row r="43" spans="1:13">
      <c r="A43" s="13" t="s">
        <v>54</v>
      </c>
      <c r="B43" s="14" t="s">
        <v>203</v>
      </c>
      <c r="C43" s="14" t="s">
        <v>204</v>
      </c>
      <c r="D43" s="14" t="s">
        <v>205</v>
      </c>
      <c r="E43" s="14" t="s">
        <v>518</v>
      </c>
      <c r="F43" s="14" t="s">
        <v>19</v>
      </c>
      <c r="G43" s="22" t="s">
        <v>170</v>
      </c>
      <c r="H43" s="21" t="s">
        <v>206</v>
      </c>
      <c r="I43" s="21" t="s">
        <v>207</v>
      </c>
      <c r="J43" s="13"/>
      <c r="K43" s="32" t="str">
        <f>"140,0"</f>
        <v>140,0</v>
      </c>
      <c r="L43" s="13" t="str">
        <f>"86,2540"</f>
        <v>86,2540</v>
      </c>
      <c r="M43" s="14" t="s">
        <v>32</v>
      </c>
    </row>
    <row r="45" spans="1:13" ht="16">
      <c r="A45" s="34" t="s">
        <v>121</v>
      </c>
      <c r="B45" s="34"/>
      <c r="C45" s="34"/>
      <c r="D45" s="34"/>
      <c r="E45" s="34"/>
      <c r="F45" s="34"/>
      <c r="G45" s="34"/>
      <c r="H45" s="34"/>
      <c r="I45" s="34"/>
      <c r="J45" s="34"/>
    </row>
    <row r="46" spans="1:13">
      <c r="A46" s="7" t="s">
        <v>7</v>
      </c>
      <c r="B46" s="8" t="s">
        <v>208</v>
      </c>
      <c r="C46" s="8" t="s">
        <v>209</v>
      </c>
      <c r="D46" s="8" t="s">
        <v>210</v>
      </c>
      <c r="E46" s="8" t="s">
        <v>518</v>
      </c>
      <c r="F46" s="8" t="s">
        <v>511</v>
      </c>
      <c r="G46" s="17" t="s">
        <v>168</v>
      </c>
      <c r="H46" s="18" t="s">
        <v>211</v>
      </c>
      <c r="I46" s="18" t="s">
        <v>211</v>
      </c>
      <c r="J46" s="7"/>
      <c r="K46" s="28" t="str">
        <f>"167,5"</f>
        <v>167,5</v>
      </c>
      <c r="L46" s="7" t="str">
        <f>"98,9422"</f>
        <v>98,9422</v>
      </c>
      <c r="M46" s="8" t="s">
        <v>212</v>
      </c>
    </row>
    <row r="50" spans="2:6" ht="18">
      <c r="B50" s="9" t="s">
        <v>213</v>
      </c>
      <c r="C50" s="9"/>
    </row>
    <row r="51" spans="2:6" ht="16">
      <c r="B51" s="10" t="s">
        <v>214</v>
      </c>
      <c r="C51" s="10"/>
    </row>
    <row r="52" spans="2:6" ht="14">
      <c r="B52" s="25"/>
      <c r="C52" s="26" t="s">
        <v>215</v>
      </c>
    </row>
    <row r="53" spans="2:6" ht="14">
      <c r="B53" s="27" t="s">
        <v>216</v>
      </c>
      <c r="C53" s="27" t="s">
        <v>217</v>
      </c>
      <c r="D53" s="27" t="s">
        <v>512</v>
      </c>
      <c r="E53" s="27" t="s">
        <v>218</v>
      </c>
      <c r="F53" s="27" t="s">
        <v>219</v>
      </c>
    </row>
    <row r="54" spans="2:6">
      <c r="B54" s="1" t="s">
        <v>127</v>
      </c>
      <c r="C54" s="1" t="s">
        <v>215</v>
      </c>
      <c r="D54" s="2" t="s">
        <v>220</v>
      </c>
      <c r="E54" s="2" t="s">
        <v>132</v>
      </c>
      <c r="F54" s="2" t="s">
        <v>221</v>
      </c>
    </row>
    <row r="55" spans="2:6">
      <c r="B55" s="1" t="s">
        <v>144</v>
      </c>
      <c r="C55" s="1" t="s">
        <v>215</v>
      </c>
      <c r="D55" s="2" t="s">
        <v>222</v>
      </c>
      <c r="E55" s="2" t="s">
        <v>80</v>
      </c>
      <c r="F55" s="2" t="s">
        <v>223</v>
      </c>
    </row>
    <row r="56" spans="2:6">
      <c r="B56" s="1" t="s">
        <v>85</v>
      </c>
      <c r="C56" s="1" t="s">
        <v>215</v>
      </c>
      <c r="D56" s="2" t="s">
        <v>224</v>
      </c>
      <c r="E56" s="2" t="s">
        <v>79</v>
      </c>
      <c r="F56" s="2" t="s">
        <v>225</v>
      </c>
    </row>
    <row r="58" spans="2:6" ht="16">
      <c r="B58" s="10" t="s">
        <v>226</v>
      </c>
      <c r="C58" s="10"/>
    </row>
    <row r="59" spans="2:6" ht="14">
      <c r="B59" s="25"/>
      <c r="C59" s="26" t="s">
        <v>215</v>
      </c>
    </row>
    <row r="60" spans="2:6" ht="14">
      <c r="B60" s="27" t="s">
        <v>216</v>
      </c>
      <c r="C60" s="27" t="s">
        <v>217</v>
      </c>
      <c r="D60" s="27" t="s">
        <v>512</v>
      </c>
      <c r="E60" s="27" t="s">
        <v>218</v>
      </c>
      <c r="F60" s="27" t="s">
        <v>219</v>
      </c>
    </row>
    <row r="61" spans="2:6">
      <c r="B61" s="1" t="s">
        <v>164</v>
      </c>
      <c r="C61" s="1" t="s">
        <v>215</v>
      </c>
      <c r="D61" s="2" t="s">
        <v>227</v>
      </c>
      <c r="E61" s="2" t="s">
        <v>168</v>
      </c>
      <c r="F61" s="2" t="s">
        <v>228</v>
      </c>
    </row>
    <row r="62" spans="2:6">
      <c r="B62" s="1" t="s">
        <v>190</v>
      </c>
      <c r="C62" s="1" t="s">
        <v>215</v>
      </c>
      <c r="D62" s="2" t="s">
        <v>229</v>
      </c>
      <c r="E62" s="2" t="s">
        <v>194</v>
      </c>
      <c r="F62" s="2" t="s">
        <v>230</v>
      </c>
    </row>
    <row r="63" spans="2:6">
      <c r="B63" s="1" t="s">
        <v>195</v>
      </c>
      <c r="C63" s="1" t="s">
        <v>215</v>
      </c>
      <c r="D63" s="2" t="s">
        <v>229</v>
      </c>
      <c r="E63" s="2" t="s">
        <v>167</v>
      </c>
      <c r="F63" s="2" t="s">
        <v>231</v>
      </c>
    </row>
    <row r="64" spans="2:6">
      <c r="C64" s="2"/>
      <c r="D64" s="2"/>
      <c r="E64" s="2"/>
      <c r="F64" s="2"/>
    </row>
    <row r="65" spans="3:13">
      <c r="C65" s="2"/>
      <c r="D65" s="2"/>
      <c r="E65" s="2"/>
      <c r="F65" s="2"/>
    </row>
    <row r="66" spans="3:13">
      <c r="C66" s="2"/>
      <c r="D66" s="2"/>
      <c r="E66" s="2"/>
      <c r="F66" s="2"/>
    </row>
    <row r="67" spans="3:13">
      <c r="C67" s="2"/>
      <c r="D67" s="2"/>
      <c r="E67" s="2"/>
      <c r="F67" s="2"/>
    </row>
    <row r="68" spans="3:13">
      <c r="C68" s="2"/>
      <c r="D68" s="2"/>
      <c r="E68" s="2"/>
      <c r="F68" s="2"/>
    </row>
    <row r="71" spans="3:13">
      <c r="H71" s="1"/>
      <c r="I71" s="3"/>
      <c r="J71" s="3"/>
      <c r="K71" s="30"/>
      <c r="L71" s="3"/>
      <c r="M71" s="3"/>
    </row>
    <row r="72" spans="3:13">
      <c r="H72" s="1"/>
      <c r="I72" s="3"/>
      <c r="J72" s="3"/>
      <c r="K72" s="30"/>
      <c r="L72" s="3"/>
      <c r="M72" s="3"/>
    </row>
    <row r="73" spans="3:13">
      <c r="H73" s="1"/>
      <c r="I73" s="3"/>
      <c r="J73" s="3"/>
      <c r="K73" s="30"/>
      <c r="L73" s="3"/>
      <c r="M73" s="3"/>
    </row>
    <row r="74" spans="3:13">
      <c r="H74" s="1"/>
      <c r="I74" s="3"/>
      <c r="J74" s="3"/>
      <c r="K74" s="30"/>
      <c r="L74" s="3"/>
      <c r="M74" s="3"/>
    </row>
    <row r="75" spans="3:13">
      <c r="H75" s="1"/>
      <c r="I75" s="3"/>
      <c r="J75" s="3"/>
      <c r="K75" s="30"/>
      <c r="L75" s="3"/>
      <c r="M75" s="3"/>
    </row>
  </sheetData>
  <mergeCells count="20">
    <mergeCell ref="A1:M2"/>
    <mergeCell ref="M3:M4"/>
    <mergeCell ref="L3:L4"/>
    <mergeCell ref="K3:K4"/>
    <mergeCell ref="B3:B4"/>
    <mergeCell ref="A3:A4"/>
    <mergeCell ref="C3:C4"/>
    <mergeCell ref="D3:D4"/>
    <mergeCell ref="E3:E4"/>
    <mergeCell ref="F3:F4"/>
    <mergeCell ref="G3:J3"/>
    <mergeCell ref="A5:J5"/>
    <mergeCell ref="A45:J45"/>
    <mergeCell ref="A39:J39"/>
    <mergeCell ref="A9:J9"/>
    <mergeCell ref="A13:J13"/>
    <mergeCell ref="A17:J17"/>
    <mergeCell ref="A21:J21"/>
    <mergeCell ref="A26:J26"/>
    <mergeCell ref="A32:J32"/>
  </mergeCells>
  <pageMargins left="0.70000004768371604" right="0.70000004768371604" top="0.75" bottom="0.75" header="0.30000001192092901" footer="0.3000000119209290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8"/>
  <sheetViews>
    <sheetView topLeftCell="A33" workbookViewId="0">
      <selection activeCell="E67" sqref="E67"/>
    </sheetView>
  </sheetViews>
  <sheetFormatPr baseColWidth="10" defaultColWidth="9" defaultRowHeight="13"/>
  <cols>
    <col min="1" max="1" width="7.1640625" style="1" bestFit="1" customWidth="1"/>
    <col min="2" max="2" width="19.1640625" style="1" bestFit="1" customWidth="1"/>
    <col min="3" max="3" width="27.5" style="1" customWidth="1"/>
    <col min="4" max="4" width="20.6640625" style="1" bestFit="1" customWidth="1"/>
    <col min="5" max="5" width="10" style="1" bestFit="1" customWidth="1"/>
    <col min="6" max="6" width="30.5" style="1" bestFit="1" customWidth="1"/>
    <col min="7" max="9" width="5.5" style="2" customWidth="1"/>
    <col min="10" max="10" width="4.5" style="2" customWidth="1"/>
    <col min="11" max="11" width="10.5" style="2" bestFit="1" customWidth="1"/>
    <col min="12" max="12" width="8.5" style="2" bestFit="1" customWidth="1"/>
    <col min="13" max="13" width="28.83203125" style="1" bestFit="1" customWidth="1"/>
    <col min="14" max="14" width="9" style="3" bestFit="1" customWidth="1"/>
    <col min="15" max="16384" width="9" style="3"/>
  </cols>
  <sheetData>
    <row r="1" spans="1:13" s="4" customFormat="1" ht="29" customHeight="1" thickBot="1">
      <c r="A1" s="40" t="s">
        <v>502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70</v>
      </c>
      <c r="H3" s="54"/>
      <c r="I3" s="54"/>
      <c r="J3" s="55"/>
      <c r="K3" s="48" t="s">
        <v>84</v>
      </c>
      <c r="L3" s="48" t="s">
        <v>4</v>
      </c>
      <c r="M3" s="46" t="s">
        <v>5</v>
      </c>
    </row>
    <row r="4" spans="1:13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39"/>
      <c r="L4" s="39"/>
      <c r="M4" s="47"/>
    </row>
    <row r="5" spans="1:13" ht="16">
      <c r="A5" s="35" t="s">
        <v>35</v>
      </c>
      <c r="B5" s="36"/>
      <c r="C5" s="36"/>
      <c r="D5" s="36"/>
      <c r="E5" s="36"/>
      <c r="F5" s="36"/>
      <c r="G5" s="36"/>
      <c r="H5" s="36"/>
      <c r="I5" s="36"/>
      <c r="J5" s="37"/>
    </row>
    <row r="6" spans="1:13">
      <c r="A6" s="11" t="s">
        <v>7</v>
      </c>
      <c r="B6" s="12" t="s">
        <v>36</v>
      </c>
      <c r="C6" s="12" t="s">
        <v>232</v>
      </c>
      <c r="D6" s="12" t="s">
        <v>37</v>
      </c>
      <c r="E6" s="12" t="s">
        <v>523</v>
      </c>
      <c r="F6" s="12" t="s">
        <v>38</v>
      </c>
      <c r="G6" s="19" t="s">
        <v>233</v>
      </c>
      <c r="H6" s="19" t="s">
        <v>234</v>
      </c>
      <c r="I6" s="20" t="s">
        <v>42</v>
      </c>
      <c r="J6" s="11"/>
      <c r="K6" s="11" t="str">
        <f>"27,5"</f>
        <v>27,5</v>
      </c>
      <c r="L6" s="11" t="str">
        <f>"41,0740"</f>
        <v>41,0740</v>
      </c>
      <c r="M6" s="12" t="s">
        <v>235</v>
      </c>
    </row>
    <row r="7" spans="1:13">
      <c r="A7" s="13" t="s">
        <v>49</v>
      </c>
      <c r="B7" s="14" t="s">
        <v>236</v>
      </c>
      <c r="C7" s="14" t="s">
        <v>237</v>
      </c>
      <c r="D7" s="14" t="s">
        <v>238</v>
      </c>
      <c r="E7" s="14" t="s">
        <v>523</v>
      </c>
      <c r="F7" s="14" t="s">
        <v>13</v>
      </c>
      <c r="G7" s="22" t="s">
        <v>239</v>
      </c>
      <c r="H7" s="22" t="s">
        <v>48</v>
      </c>
      <c r="I7" s="21" t="s">
        <v>21</v>
      </c>
      <c r="J7" s="13"/>
      <c r="K7" s="13" t="str">
        <f>"17,5"</f>
        <v>17,5</v>
      </c>
      <c r="L7" s="13" t="str">
        <f>"26,1380"</f>
        <v>26,1380</v>
      </c>
      <c r="M7" s="14"/>
    </row>
    <row r="9" spans="1:13" ht="16">
      <c r="A9" s="34" t="s">
        <v>56</v>
      </c>
      <c r="B9" s="34"/>
      <c r="C9" s="34"/>
      <c r="D9" s="34"/>
      <c r="E9" s="34"/>
      <c r="F9" s="34"/>
      <c r="G9" s="34"/>
      <c r="H9" s="34"/>
      <c r="I9" s="34"/>
      <c r="J9" s="34"/>
    </row>
    <row r="10" spans="1:13">
      <c r="A10" s="7" t="s">
        <v>7</v>
      </c>
      <c r="B10" s="8" t="s">
        <v>57</v>
      </c>
      <c r="C10" s="8" t="s">
        <v>240</v>
      </c>
      <c r="D10" s="8" t="s">
        <v>58</v>
      </c>
      <c r="E10" s="8" t="s">
        <v>520</v>
      </c>
      <c r="F10" s="8" t="s">
        <v>38</v>
      </c>
      <c r="G10" s="17" t="s">
        <v>14</v>
      </c>
      <c r="H10" s="18" t="s">
        <v>131</v>
      </c>
      <c r="I10" s="18" t="s">
        <v>131</v>
      </c>
      <c r="J10" s="7"/>
      <c r="K10" s="7" t="str">
        <f>"65,0"</f>
        <v>65,0</v>
      </c>
      <c r="L10" s="7" t="str">
        <f>"97,0873"</f>
        <v>97,0873</v>
      </c>
      <c r="M10" s="8" t="s">
        <v>235</v>
      </c>
    </row>
    <row r="12" spans="1:13" ht="16">
      <c r="A12" s="34" t="s">
        <v>74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3">
      <c r="A13" s="7" t="s">
        <v>7</v>
      </c>
      <c r="B13" s="8" t="s">
        <v>241</v>
      </c>
      <c r="C13" s="8" t="s">
        <v>242</v>
      </c>
      <c r="D13" s="8" t="s">
        <v>243</v>
      </c>
      <c r="E13" s="8" t="s">
        <v>520</v>
      </c>
      <c r="F13" s="8" t="s">
        <v>13</v>
      </c>
      <c r="G13" s="18" t="s">
        <v>112</v>
      </c>
      <c r="H13" s="17" t="s">
        <v>112</v>
      </c>
      <c r="I13" s="17" t="s">
        <v>78</v>
      </c>
      <c r="J13" s="7"/>
      <c r="K13" s="7" t="str">
        <f>"60,0"</f>
        <v>60,0</v>
      </c>
      <c r="L13" s="7" t="str">
        <f>"56,6469"</f>
        <v>56,6469</v>
      </c>
      <c r="M13" s="8" t="s">
        <v>244</v>
      </c>
    </row>
    <row r="15" spans="1:13" ht="16">
      <c r="A15" s="34" t="s">
        <v>39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3">
      <c r="A16" s="7" t="s">
        <v>7</v>
      </c>
      <c r="B16" s="8" t="s">
        <v>245</v>
      </c>
      <c r="C16" s="8" t="s">
        <v>246</v>
      </c>
      <c r="D16" s="8" t="s">
        <v>247</v>
      </c>
      <c r="E16" s="8" t="s">
        <v>523</v>
      </c>
      <c r="F16" s="8" t="s">
        <v>38</v>
      </c>
      <c r="G16" s="17" t="s">
        <v>248</v>
      </c>
      <c r="H16" s="17" t="s">
        <v>142</v>
      </c>
      <c r="I16" s="17" t="s">
        <v>137</v>
      </c>
      <c r="J16" s="7"/>
      <c r="K16" s="7" t="str">
        <f>"52,5"</f>
        <v>52,5</v>
      </c>
      <c r="L16" s="7" t="str">
        <f>"58,9102"</f>
        <v>58,9102</v>
      </c>
      <c r="M16" s="8" t="s">
        <v>235</v>
      </c>
    </row>
    <row r="18" spans="1:13" ht="16">
      <c r="A18" s="34" t="s">
        <v>39</v>
      </c>
      <c r="B18" s="34"/>
      <c r="C18" s="34"/>
      <c r="D18" s="34"/>
      <c r="E18" s="34"/>
      <c r="F18" s="34"/>
      <c r="G18" s="34"/>
      <c r="H18" s="34"/>
      <c r="I18" s="34"/>
      <c r="J18" s="34"/>
    </row>
    <row r="19" spans="1:13">
      <c r="A19" s="7" t="s">
        <v>7</v>
      </c>
      <c r="B19" s="8" t="s">
        <v>40</v>
      </c>
      <c r="C19" s="8" t="s">
        <v>249</v>
      </c>
      <c r="D19" s="8" t="s">
        <v>41</v>
      </c>
      <c r="E19" s="8" t="s">
        <v>522</v>
      </c>
      <c r="F19" s="8" t="s">
        <v>38</v>
      </c>
      <c r="G19" s="17" t="s">
        <v>137</v>
      </c>
      <c r="H19" s="17" t="s">
        <v>112</v>
      </c>
      <c r="I19" s="17" t="s">
        <v>138</v>
      </c>
      <c r="J19" s="7"/>
      <c r="K19" s="7" t="str">
        <f>"57,5"</f>
        <v>57,5</v>
      </c>
      <c r="L19" s="7" t="str">
        <f>"49,1165"</f>
        <v>49,1165</v>
      </c>
      <c r="M19" s="8" t="s">
        <v>44</v>
      </c>
    </row>
    <row r="21" spans="1:13" ht="16">
      <c r="A21" s="34" t="s">
        <v>45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3">
      <c r="A22" s="11" t="s">
        <v>7</v>
      </c>
      <c r="B22" s="12" t="s">
        <v>250</v>
      </c>
      <c r="C22" s="12" t="s">
        <v>251</v>
      </c>
      <c r="D22" s="12" t="s">
        <v>252</v>
      </c>
      <c r="E22" s="12" t="s">
        <v>523</v>
      </c>
      <c r="F22" s="12" t="s">
        <v>13</v>
      </c>
      <c r="G22" s="20" t="s">
        <v>137</v>
      </c>
      <c r="H22" s="19" t="s">
        <v>137</v>
      </c>
      <c r="I22" s="20" t="s">
        <v>112</v>
      </c>
      <c r="J22" s="11"/>
      <c r="K22" s="11" t="str">
        <f>"52,5"</f>
        <v>52,5</v>
      </c>
      <c r="L22" s="11" t="str">
        <f>"55,1670"</f>
        <v>55,1670</v>
      </c>
      <c r="M22" s="12"/>
    </row>
    <row r="23" spans="1:13">
      <c r="A23" s="15" t="s">
        <v>49</v>
      </c>
      <c r="B23" s="16" t="s">
        <v>50</v>
      </c>
      <c r="C23" s="16" t="s">
        <v>253</v>
      </c>
      <c r="D23" s="16" t="s">
        <v>51</v>
      </c>
      <c r="E23" s="16" t="s">
        <v>523</v>
      </c>
      <c r="F23" s="16" t="s">
        <v>38</v>
      </c>
      <c r="G23" s="23" t="s">
        <v>9</v>
      </c>
      <c r="H23" s="23" t="s">
        <v>43</v>
      </c>
      <c r="I23" s="23" t="s">
        <v>254</v>
      </c>
      <c r="J23" s="15"/>
      <c r="K23" s="15" t="str">
        <f>"42,5"</f>
        <v>42,5</v>
      </c>
      <c r="L23" s="15" t="str">
        <f>"56,7545"</f>
        <v>56,7545</v>
      </c>
      <c r="M23" s="16" t="s">
        <v>235</v>
      </c>
    </row>
    <row r="24" spans="1:13">
      <c r="A24" s="15" t="s">
        <v>52</v>
      </c>
      <c r="B24" s="16" t="s">
        <v>46</v>
      </c>
      <c r="C24" s="16" t="s">
        <v>255</v>
      </c>
      <c r="D24" s="16" t="s">
        <v>47</v>
      </c>
      <c r="E24" s="16" t="s">
        <v>523</v>
      </c>
      <c r="F24" s="16" t="s">
        <v>38</v>
      </c>
      <c r="G24" s="23" t="s">
        <v>42</v>
      </c>
      <c r="H24" s="23" t="s">
        <v>256</v>
      </c>
      <c r="I24" s="23" t="s">
        <v>9</v>
      </c>
      <c r="J24" s="15"/>
      <c r="K24" s="15" t="str">
        <f>"35,0"</f>
        <v>35,0</v>
      </c>
      <c r="L24" s="15" t="str">
        <f>"46,7390"</f>
        <v>46,7390</v>
      </c>
      <c r="M24" s="16" t="s">
        <v>235</v>
      </c>
    </row>
    <row r="25" spans="1:13">
      <c r="A25" s="15" t="s">
        <v>54</v>
      </c>
      <c r="B25" s="16" t="s">
        <v>257</v>
      </c>
      <c r="C25" s="16" t="s">
        <v>258</v>
      </c>
      <c r="D25" s="16" t="s">
        <v>259</v>
      </c>
      <c r="E25" s="16" t="s">
        <v>523</v>
      </c>
      <c r="F25" s="16" t="s">
        <v>13</v>
      </c>
      <c r="G25" s="23" t="s">
        <v>260</v>
      </c>
      <c r="H25" s="23" t="s">
        <v>233</v>
      </c>
      <c r="I25" s="24" t="s">
        <v>42</v>
      </c>
      <c r="J25" s="15"/>
      <c r="K25" s="15" t="str">
        <f>"25,0"</f>
        <v>25,0</v>
      </c>
      <c r="L25" s="15" t="str">
        <f>"33,1700"</f>
        <v>33,1700</v>
      </c>
      <c r="M25" s="16"/>
    </row>
    <row r="26" spans="1:13">
      <c r="A26" s="15" t="s">
        <v>55</v>
      </c>
      <c r="B26" s="16" t="s">
        <v>261</v>
      </c>
      <c r="C26" s="16" t="s">
        <v>262</v>
      </c>
      <c r="D26" s="16" t="s">
        <v>263</v>
      </c>
      <c r="E26" s="16" t="s">
        <v>523</v>
      </c>
      <c r="F26" s="16" t="s">
        <v>13</v>
      </c>
      <c r="G26" s="23" t="s">
        <v>239</v>
      </c>
      <c r="H26" s="23" t="s">
        <v>21</v>
      </c>
      <c r="I26" s="23" t="s">
        <v>233</v>
      </c>
      <c r="J26" s="15"/>
      <c r="K26" s="15" t="str">
        <f>"25,0"</f>
        <v>25,0</v>
      </c>
      <c r="L26" s="15" t="str">
        <f>"28,7525"</f>
        <v>28,7525</v>
      </c>
      <c r="M26" s="16" t="s">
        <v>91</v>
      </c>
    </row>
    <row r="27" spans="1:13">
      <c r="A27" s="13" t="s">
        <v>264</v>
      </c>
      <c r="B27" s="14" t="s">
        <v>265</v>
      </c>
      <c r="C27" s="14" t="s">
        <v>266</v>
      </c>
      <c r="D27" s="14" t="s">
        <v>267</v>
      </c>
      <c r="E27" s="14" t="s">
        <v>523</v>
      </c>
      <c r="F27" s="14" t="s">
        <v>13</v>
      </c>
      <c r="G27" s="22" t="s">
        <v>21</v>
      </c>
      <c r="H27" s="21" t="s">
        <v>260</v>
      </c>
      <c r="I27" s="21" t="s">
        <v>260</v>
      </c>
      <c r="J27" s="13"/>
      <c r="K27" s="13" t="str">
        <f>"20,0"</f>
        <v>20,0</v>
      </c>
      <c r="L27" s="13" t="str">
        <f>"26,7080"</f>
        <v>26,7080</v>
      </c>
      <c r="M27" s="14" t="s">
        <v>53</v>
      </c>
    </row>
    <row r="29" spans="1:13" ht="16">
      <c r="A29" s="34" t="s">
        <v>6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3">
      <c r="A30" s="11" t="s">
        <v>7</v>
      </c>
      <c r="B30" s="12" t="s">
        <v>268</v>
      </c>
      <c r="C30" s="12" t="s">
        <v>269</v>
      </c>
      <c r="D30" s="12" t="s">
        <v>270</v>
      </c>
      <c r="E30" s="12" t="s">
        <v>523</v>
      </c>
      <c r="F30" s="12" t="s">
        <v>38</v>
      </c>
      <c r="G30" s="19" t="s">
        <v>26</v>
      </c>
      <c r="H30" s="19" t="s">
        <v>271</v>
      </c>
      <c r="I30" s="19" t="s">
        <v>155</v>
      </c>
      <c r="J30" s="11"/>
      <c r="K30" s="11" t="str">
        <f>"85,0"</f>
        <v>85,0</v>
      </c>
      <c r="L30" s="11" t="str">
        <f>"63,0870"</f>
        <v>63,0870</v>
      </c>
      <c r="M30" s="12" t="s">
        <v>235</v>
      </c>
    </row>
    <row r="31" spans="1:13">
      <c r="A31" s="13" t="s">
        <v>7</v>
      </c>
      <c r="B31" s="14" t="s">
        <v>272</v>
      </c>
      <c r="C31" s="14" t="s">
        <v>273</v>
      </c>
      <c r="D31" s="14" t="s">
        <v>274</v>
      </c>
      <c r="E31" s="14" t="s">
        <v>520</v>
      </c>
      <c r="F31" s="14" t="s">
        <v>38</v>
      </c>
      <c r="G31" s="22" t="s">
        <v>147</v>
      </c>
      <c r="H31" s="22" t="s">
        <v>148</v>
      </c>
      <c r="I31" s="21" t="s">
        <v>275</v>
      </c>
      <c r="J31" s="13"/>
      <c r="K31" s="13" t="str">
        <f>"105,0"</f>
        <v>105,0</v>
      </c>
      <c r="L31" s="13" t="str">
        <f>"81,0821"</f>
        <v>81,0821</v>
      </c>
      <c r="M31" s="14" t="s">
        <v>276</v>
      </c>
    </row>
    <row r="33" spans="1:13" ht="16">
      <c r="A33" s="34" t="s">
        <v>22</v>
      </c>
      <c r="B33" s="34"/>
      <c r="C33" s="34"/>
      <c r="D33" s="34"/>
      <c r="E33" s="34"/>
      <c r="F33" s="34"/>
      <c r="G33" s="34"/>
      <c r="H33" s="34"/>
      <c r="I33" s="34"/>
      <c r="J33" s="34"/>
    </row>
    <row r="34" spans="1:13">
      <c r="A34" s="7" t="s">
        <v>7</v>
      </c>
      <c r="B34" s="8" t="s">
        <v>277</v>
      </c>
      <c r="C34" s="8" t="s">
        <v>278</v>
      </c>
      <c r="D34" s="8" t="s">
        <v>279</v>
      </c>
      <c r="E34" s="8" t="s">
        <v>520</v>
      </c>
      <c r="F34" s="8" t="s">
        <v>13</v>
      </c>
      <c r="G34" s="18" t="s">
        <v>82</v>
      </c>
      <c r="H34" s="17" t="s">
        <v>82</v>
      </c>
      <c r="I34" s="18" t="s">
        <v>280</v>
      </c>
      <c r="J34" s="7"/>
      <c r="K34" s="7" t="str">
        <f>"122,5"</f>
        <v>122,5</v>
      </c>
      <c r="L34" s="7" t="str">
        <f>"83,8519"</f>
        <v>83,8519</v>
      </c>
      <c r="M34" s="8" t="s">
        <v>15</v>
      </c>
    </row>
    <row r="36" spans="1:13" ht="16">
      <c r="A36" s="34" t="s">
        <v>27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3">
      <c r="A37" s="11" t="s">
        <v>7</v>
      </c>
      <c r="B37" s="12" t="s">
        <v>60</v>
      </c>
      <c r="C37" s="12" t="s">
        <v>281</v>
      </c>
      <c r="D37" s="12" t="s">
        <v>61</v>
      </c>
      <c r="E37" s="12" t="s">
        <v>519</v>
      </c>
      <c r="F37" s="12" t="s">
        <v>13</v>
      </c>
      <c r="G37" s="19" t="s">
        <v>189</v>
      </c>
      <c r="H37" s="19" t="s">
        <v>282</v>
      </c>
      <c r="I37" s="20" t="s">
        <v>184</v>
      </c>
      <c r="J37" s="11"/>
      <c r="K37" s="11" t="str">
        <f>"160,0"</f>
        <v>160,0</v>
      </c>
      <c r="L37" s="11" t="str">
        <f>"102,4320"</f>
        <v>102,4320</v>
      </c>
      <c r="M37" s="12" t="s">
        <v>32</v>
      </c>
    </row>
    <row r="38" spans="1:13">
      <c r="A38" s="15" t="s">
        <v>49</v>
      </c>
      <c r="B38" s="16" t="s">
        <v>283</v>
      </c>
      <c r="C38" s="16" t="s">
        <v>284</v>
      </c>
      <c r="D38" s="16" t="s">
        <v>178</v>
      </c>
      <c r="E38" s="16" t="s">
        <v>519</v>
      </c>
      <c r="F38" s="16" t="s">
        <v>13</v>
      </c>
      <c r="G38" s="24" t="s">
        <v>285</v>
      </c>
      <c r="H38" s="23" t="s">
        <v>171</v>
      </c>
      <c r="I38" s="24" t="s">
        <v>179</v>
      </c>
      <c r="J38" s="15"/>
      <c r="K38" s="15" t="str">
        <f>"145,0"</f>
        <v>145,0</v>
      </c>
      <c r="L38" s="15" t="str">
        <f>"93,0465"</f>
        <v>93,0465</v>
      </c>
      <c r="M38" s="16" t="s">
        <v>286</v>
      </c>
    </row>
    <row r="39" spans="1:13">
      <c r="A39" s="15" t="s">
        <v>7</v>
      </c>
      <c r="B39" s="16" t="s">
        <v>287</v>
      </c>
      <c r="C39" s="16" t="s">
        <v>288</v>
      </c>
      <c r="D39" s="16" t="s">
        <v>289</v>
      </c>
      <c r="E39" s="16" t="s">
        <v>518</v>
      </c>
      <c r="F39" s="16" t="s">
        <v>13</v>
      </c>
      <c r="G39" s="23" t="s">
        <v>194</v>
      </c>
      <c r="H39" s="23" t="s">
        <v>290</v>
      </c>
      <c r="I39" s="24" t="s">
        <v>95</v>
      </c>
      <c r="J39" s="15"/>
      <c r="K39" s="15" t="str">
        <f>"187,5"</f>
        <v>187,5</v>
      </c>
      <c r="L39" s="15" t="str">
        <f>"121,3312"</f>
        <v>121,3312</v>
      </c>
      <c r="M39" s="16" t="s">
        <v>91</v>
      </c>
    </row>
    <row r="40" spans="1:13">
      <c r="A40" s="15" t="s">
        <v>49</v>
      </c>
      <c r="B40" s="16" t="s">
        <v>291</v>
      </c>
      <c r="C40" s="16" t="s">
        <v>292</v>
      </c>
      <c r="D40" s="16" t="s">
        <v>293</v>
      </c>
      <c r="E40" s="16" t="s">
        <v>518</v>
      </c>
      <c r="F40" s="16" t="s">
        <v>13</v>
      </c>
      <c r="G40" s="23" t="s">
        <v>171</v>
      </c>
      <c r="H40" s="24" t="s">
        <v>179</v>
      </c>
      <c r="I40" s="23" t="s">
        <v>179</v>
      </c>
      <c r="J40" s="15"/>
      <c r="K40" s="15" t="str">
        <f>"152,5"</f>
        <v>152,5</v>
      </c>
      <c r="L40" s="15" t="str">
        <f>"98,4998"</f>
        <v>98,4998</v>
      </c>
      <c r="M40" s="16" t="s">
        <v>153</v>
      </c>
    </row>
    <row r="41" spans="1:13">
      <c r="A41" s="15" t="s">
        <v>7</v>
      </c>
      <c r="B41" s="16" t="s">
        <v>287</v>
      </c>
      <c r="C41" s="16" t="s">
        <v>294</v>
      </c>
      <c r="D41" s="16" t="s">
        <v>289</v>
      </c>
      <c r="E41" s="16" t="s">
        <v>520</v>
      </c>
      <c r="F41" s="16" t="s">
        <v>13</v>
      </c>
      <c r="G41" s="23" t="s">
        <v>194</v>
      </c>
      <c r="H41" s="23" t="s">
        <v>290</v>
      </c>
      <c r="I41" s="24" t="s">
        <v>95</v>
      </c>
      <c r="J41" s="15"/>
      <c r="K41" s="15" t="str">
        <f>"187,5"</f>
        <v>187,5</v>
      </c>
      <c r="L41" s="15" t="str">
        <f>"135,1630"</f>
        <v>135,1630</v>
      </c>
      <c r="M41" s="16" t="s">
        <v>91</v>
      </c>
    </row>
    <row r="42" spans="1:13">
      <c r="A42" s="15" t="s">
        <v>7</v>
      </c>
      <c r="B42" s="16" t="s">
        <v>295</v>
      </c>
      <c r="C42" s="16" t="s">
        <v>296</v>
      </c>
      <c r="D42" s="16" t="s">
        <v>297</v>
      </c>
      <c r="E42" s="16" t="s">
        <v>521</v>
      </c>
      <c r="F42" s="16" t="s">
        <v>38</v>
      </c>
      <c r="G42" s="24" t="s">
        <v>298</v>
      </c>
      <c r="H42" s="24" t="s">
        <v>298</v>
      </c>
      <c r="I42" s="23" t="s">
        <v>298</v>
      </c>
      <c r="J42" s="15"/>
      <c r="K42" s="15" t="str">
        <f>"115,0"</f>
        <v>115,0</v>
      </c>
      <c r="L42" s="15" t="str">
        <f>"92,3450"</f>
        <v>92,3450</v>
      </c>
      <c r="M42" s="16" t="s">
        <v>44</v>
      </c>
    </row>
    <row r="43" spans="1:13">
      <c r="A43" s="13" t="s">
        <v>7</v>
      </c>
      <c r="B43" s="14" t="s">
        <v>63</v>
      </c>
      <c r="C43" s="14" t="s">
        <v>299</v>
      </c>
      <c r="D43" s="14" t="s">
        <v>64</v>
      </c>
      <c r="E43" s="14" t="s">
        <v>524</v>
      </c>
      <c r="F43" s="14" t="s">
        <v>513</v>
      </c>
      <c r="G43" s="22" t="s">
        <v>156</v>
      </c>
      <c r="H43" s="22" t="s">
        <v>148</v>
      </c>
      <c r="I43" s="21" t="s">
        <v>80</v>
      </c>
      <c r="J43" s="13"/>
      <c r="K43" s="13" t="str">
        <f>"105,0"</f>
        <v>105,0</v>
      </c>
      <c r="L43" s="13" t="str">
        <f>"97,0764"</f>
        <v>97,0764</v>
      </c>
      <c r="M43" s="14"/>
    </row>
    <row r="45" spans="1:13" ht="16">
      <c r="A45" s="34" t="s">
        <v>66</v>
      </c>
      <c r="B45" s="34"/>
      <c r="C45" s="34"/>
      <c r="D45" s="34"/>
      <c r="E45" s="34"/>
      <c r="F45" s="34"/>
      <c r="G45" s="34"/>
      <c r="H45" s="34"/>
      <c r="I45" s="34"/>
      <c r="J45" s="34"/>
    </row>
    <row r="46" spans="1:13">
      <c r="A46" s="11" t="s">
        <v>7</v>
      </c>
      <c r="B46" s="12" t="s">
        <v>67</v>
      </c>
      <c r="C46" s="12" t="s">
        <v>68</v>
      </c>
      <c r="D46" s="12" t="s">
        <v>69</v>
      </c>
      <c r="E46" s="12" t="s">
        <v>518</v>
      </c>
      <c r="F46" s="12" t="s">
        <v>13</v>
      </c>
      <c r="G46" s="19" t="s">
        <v>96</v>
      </c>
      <c r="H46" s="19" t="s">
        <v>300</v>
      </c>
      <c r="I46" s="20" t="s">
        <v>301</v>
      </c>
      <c r="J46" s="11"/>
      <c r="K46" s="11" t="str">
        <f>"210,0"</f>
        <v>210,0</v>
      </c>
      <c r="L46" s="11" t="str">
        <f>"132,8880"</f>
        <v>132,8880</v>
      </c>
      <c r="M46" s="12" t="s">
        <v>15</v>
      </c>
    </row>
    <row r="47" spans="1:13">
      <c r="A47" s="15" t="s">
        <v>49</v>
      </c>
      <c r="B47" s="16" t="s">
        <v>302</v>
      </c>
      <c r="C47" s="16" t="s">
        <v>303</v>
      </c>
      <c r="D47" s="16" t="s">
        <v>304</v>
      </c>
      <c r="E47" s="16" t="s">
        <v>518</v>
      </c>
      <c r="F47" s="16" t="s">
        <v>13</v>
      </c>
      <c r="G47" s="23" t="s">
        <v>282</v>
      </c>
      <c r="H47" s="23" t="s">
        <v>169</v>
      </c>
      <c r="I47" s="23" t="s">
        <v>194</v>
      </c>
      <c r="J47" s="15"/>
      <c r="K47" s="15" t="str">
        <f>"180,0"</f>
        <v>180,0</v>
      </c>
      <c r="L47" s="15" t="str">
        <f>"110,3220"</f>
        <v>110,3220</v>
      </c>
      <c r="M47" s="16" t="s">
        <v>32</v>
      </c>
    </row>
    <row r="48" spans="1:13">
      <c r="A48" s="15" t="s">
        <v>52</v>
      </c>
      <c r="B48" s="16" t="s">
        <v>305</v>
      </c>
      <c r="C48" s="16" t="s">
        <v>306</v>
      </c>
      <c r="D48" s="16" t="s">
        <v>307</v>
      </c>
      <c r="E48" s="16" t="s">
        <v>518</v>
      </c>
      <c r="F48" s="16" t="s">
        <v>13</v>
      </c>
      <c r="G48" s="24" t="s">
        <v>180</v>
      </c>
      <c r="H48" s="23" t="s">
        <v>282</v>
      </c>
      <c r="I48" s="23" t="s">
        <v>184</v>
      </c>
      <c r="J48" s="15"/>
      <c r="K48" s="15" t="str">
        <f>"165,0"</f>
        <v>165,0</v>
      </c>
      <c r="L48" s="15" t="str">
        <f>"101,8380"</f>
        <v>101,8380</v>
      </c>
      <c r="M48" s="16" t="s">
        <v>32</v>
      </c>
    </row>
    <row r="49" spans="1:13">
      <c r="A49" s="15" t="s">
        <v>54</v>
      </c>
      <c r="B49" s="16" t="s">
        <v>308</v>
      </c>
      <c r="C49" s="16" t="s">
        <v>309</v>
      </c>
      <c r="D49" s="16" t="s">
        <v>310</v>
      </c>
      <c r="E49" s="16" t="s">
        <v>518</v>
      </c>
      <c r="F49" s="16" t="s">
        <v>13</v>
      </c>
      <c r="G49" s="24" t="s">
        <v>171</v>
      </c>
      <c r="H49" s="23" t="s">
        <v>206</v>
      </c>
      <c r="I49" s="23" t="s">
        <v>207</v>
      </c>
      <c r="J49" s="15"/>
      <c r="K49" s="15" t="str">
        <f>"150,0"</f>
        <v>150,0</v>
      </c>
      <c r="L49" s="15" t="str">
        <f>"93,1650"</f>
        <v>93,1650</v>
      </c>
      <c r="M49" s="16"/>
    </row>
    <row r="50" spans="1:13">
      <c r="A50" s="13" t="s">
        <v>7</v>
      </c>
      <c r="B50" s="14" t="s">
        <v>302</v>
      </c>
      <c r="C50" s="14" t="s">
        <v>311</v>
      </c>
      <c r="D50" s="14" t="s">
        <v>304</v>
      </c>
      <c r="E50" s="14" t="s">
        <v>520</v>
      </c>
      <c r="F50" s="14" t="s">
        <v>13</v>
      </c>
      <c r="G50" s="22" t="s">
        <v>282</v>
      </c>
      <c r="H50" s="22" t="s">
        <v>169</v>
      </c>
      <c r="I50" s="22" t="s">
        <v>194</v>
      </c>
      <c r="J50" s="13"/>
      <c r="K50" s="13" t="str">
        <f>"180,0"</f>
        <v>180,0</v>
      </c>
      <c r="L50" s="13" t="str">
        <f>"110,3220"</f>
        <v>110,3220</v>
      </c>
      <c r="M50" s="14" t="s">
        <v>32</v>
      </c>
    </row>
    <row r="52" spans="1:13" ht="16">
      <c r="A52" s="34" t="s">
        <v>121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3">
      <c r="A53" s="11" t="s">
        <v>7</v>
      </c>
      <c r="B53" s="12" t="s">
        <v>312</v>
      </c>
      <c r="C53" s="12" t="s">
        <v>313</v>
      </c>
      <c r="D53" s="12" t="s">
        <v>314</v>
      </c>
      <c r="E53" s="12" t="s">
        <v>518</v>
      </c>
      <c r="F53" s="12" t="s">
        <v>315</v>
      </c>
      <c r="G53" s="19" t="s">
        <v>107</v>
      </c>
      <c r="H53" s="19" t="s">
        <v>316</v>
      </c>
      <c r="I53" s="19" t="s">
        <v>301</v>
      </c>
      <c r="J53" s="11"/>
      <c r="K53" s="11" t="str">
        <f>"212,5"</f>
        <v>212,5</v>
      </c>
      <c r="L53" s="11" t="str">
        <f>"126,4800"</f>
        <v>126,4800</v>
      </c>
      <c r="M53" s="12"/>
    </row>
    <row r="54" spans="1:13">
      <c r="A54" s="15" t="s">
        <v>49</v>
      </c>
      <c r="B54" s="16" t="s">
        <v>317</v>
      </c>
      <c r="C54" s="16" t="s">
        <v>318</v>
      </c>
      <c r="D54" s="16" t="s">
        <v>319</v>
      </c>
      <c r="E54" s="16" t="s">
        <v>518</v>
      </c>
      <c r="F54" s="16" t="s">
        <v>13</v>
      </c>
      <c r="G54" s="23" t="s">
        <v>320</v>
      </c>
      <c r="H54" s="24" t="s">
        <v>321</v>
      </c>
      <c r="I54" s="24" t="s">
        <v>322</v>
      </c>
      <c r="J54" s="15"/>
      <c r="K54" s="15" t="str">
        <f>"177,5"</f>
        <v>177,5</v>
      </c>
      <c r="L54" s="15" t="str">
        <f>"104,6895"</f>
        <v>104,6895</v>
      </c>
      <c r="M54" s="16"/>
    </row>
    <row r="55" spans="1:13">
      <c r="A55" s="15" t="s">
        <v>52</v>
      </c>
      <c r="B55" s="16" t="s">
        <v>323</v>
      </c>
      <c r="C55" s="16" t="s">
        <v>324</v>
      </c>
      <c r="D55" s="16" t="s">
        <v>325</v>
      </c>
      <c r="E55" s="16" t="s">
        <v>518</v>
      </c>
      <c r="F55" s="16" t="s">
        <v>13</v>
      </c>
      <c r="G55" s="23" t="s">
        <v>282</v>
      </c>
      <c r="H55" s="23" t="s">
        <v>169</v>
      </c>
      <c r="I55" s="24" t="s">
        <v>194</v>
      </c>
      <c r="J55" s="15"/>
      <c r="K55" s="15" t="str">
        <f>"170,0"</f>
        <v>170,0</v>
      </c>
      <c r="L55" s="15" t="str">
        <f>"100,1810"</f>
        <v>100,1810</v>
      </c>
      <c r="M55" s="16"/>
    </row>
    <row r="56" spans="1:13">
      <c r="A56" s="15" t="s">
        <v>7</v>
      </c>
      <c r="B56" s="16" t="s">
        <v>326</v>
      </c>
      <c r="C56" s="16" t="s">
        <v>105</v>
      </c>
      <c r="D56" s="16" t="s">
        <v>327</v>
      </c>
      <c r="E56" s="16" t="s">
        <v>520</v>
      </c>
      <c r="F56" s="16" t="s">
        <v>38</v>
      </c>
      <c r="G56" s="23" t="s">
        <v>211</v>
      </c>
      <c r="H56" s="23" t="s">
        <v>321</v>
      </c>
      <c r="I56" s="24" t="s">
        <v>322</v>
      </c>
      <c r="J56" s="15"/>
      <c r="K56" s="15" t="str">
        <f>"185,0"</f>
        <v>185,0</v>
      </c>
      <c r="L56" s="15" t="str">
        <f>"125,4845"</f>
        <v>125,4845</v>
      </c>
      <c r="M56" s="16"/>
    </row>
    <row r="57" spans="1:13">
      <c r="A57" s="13" t="s">
        <v>49</v>
      </c>
      <c r="B57" s="14" t="s">
        <v>328</v>
      </c>
      <c r="C57" s="14" t="s">
        <v>329</v>
      </c>
      <c r="D57" s="14" t="s">
        <v>330</v>
      </c>
      <c r="E57" s="14" t="s">
        <v>520</v>
      </c>
      <c r="F57" s="14" t="s">
        <v>13</v>
      </c>
      <c r="G57" s="21" t="s">
        <v>282</v>
      </c>
      <c r="H57" s="22" t="s">
        <v>282</v>
      </c>
      <c r="I57" s="21" t="s">
        <v>167</v>
      </c>
      <c r="J57" s="13"/>
      <c r="K57" s="13" t="str">
        <f>"160,0"</f>
        <v>160,0</v>
      </c>
      <c r="L57" s="13" t="str">
        <f>"95,5269"</f>
        <v>95,5269</v>
      </c>
      <c r="M57" s="14"/>
    </row>
    <row r="59" spans="1:13" ht="16">
      <c r="A59" s="34" t="s">
        <v>331</v>
      </c>
      <c r="B59" s="34"/>
      <c r="C59" s="34"/>
      <c r="D59" s="34"/>
      <c r="E59" s="34"/>
      <c r="F59" s="34"/>
      <c r="G59" s="34"/>
      <c r="H59" s="34"/>
      <c r="I59" s="34"/>
      <c r="J59" s="34"/>
    </row>
    <row r="60" spans="1:13">
      <c r="A60" s="11" t="s">
        <v>7</v>
      </c>
      <c r="B60" s="12" t="s">
        <v>332</v>
      </c>
      <c r="C60" s="12" t="s">
        <v>333</v>
      </c>
      <c r="D60" s="12" t="s">
        <v>334</v>
      </c>
      <c r="E60" s="12" t="s">
        <v>518</v>
      </c>
      <c r="F60" s="12" t="s">
        <v>13</v>
      </c>
      <c r="G60" s="19" t="s">
        <v>335</v>
      </c>
      <c r="H60" s="19" t="s">
        <v>96</v>
      </c>
      <c r="I60" s="19" t="s">
        <v>102</v>
      </c>
      <c r="J60" s="11"/>
      <c r="K60" s="11" t="str">
        <f>"205,0"</f>
        <v>205,0</v>
      </c>
      <c r="L60" s="11" t="str">
        <f>"116,9935"</f>
        <v>116,9935</v>
      </c>
      <c r="M60" s="12"/>
    </row>
    <row r="61" spans="1:13">
      <c r="A61" s="15" t="s">
        <v>49</v>
      </c>
      <c r="B61" s="16" t="s">
        <v>336</v>
      </c>
      <c r="C61" s="16" t="s">
        <v>337</v>
      </c>
      <c r="D61" s="16" t="s">
        <v>338</v>
      </c>
      <c r="E61" s="16" t="s">
        <v>518</v>
      </c>
      <c r="F61" s="16" t="s">
        <v>13</v>
      </c>
      <c r="G61" s="24" t="s">
        <v>322</v>
      </c>
      <c r="H61" s="23" t="s">
        <v>335</v>
      </c>
      <c r="I61" s="23" t="s">
        <v>96</v>
      </c>
      <c r="J61" s="15"/>
      <c r="K61" s="15" t="str">
        <f>"202,5"</f>
        <v>202,5</v>
      </c>
      <c r="L61" s="15" t="str">
        <f>"116,1945"</f>
        <v>116,1945</v>
      </c>
      <c r="M61" s="16" t="s">
        <v>91</v>
      </c>
    </row>
    <row r="62" spans="1:13">
      <c r="A62" s="15" t="s">
        <v>7</v>
      </c>
      <c r="B62" s="16" t="s">
        <v>332</v>
      </c>
      <c r="C62" s="16" t="s">
        <v>339</v>
      </c>
      <c r="D62" s="16" t="s">
        <v>334</v>
      </c>
      <c r="E62" s="16" t="s">
        <v>520</v>
      </c>
      <c r="F62" s="16" t="s">
        <v>13</v>
      </c>
      <c r="G62" s="23" t="s">
        <v>335</v>
      </c>
      <c r="H62" s="23" t="s">
        <v>96</v>
      </c>
      <c r="I62" s="23" t="s">
        <v>102</v>
      </c>
      <c r="J62" s="15"/>
      <c r="K62" s="15" t="str">
        <f>"205,0"</f>
        <v>205,0</v>
      </c>
      <c r="L62" s="15" t="str">
        <f>"117,5785"</f>
        <v>117,5785</v>
      </c>
      <c r="M62" s="16"/>
    </row>
    <row r="63" spans="1:13">
      <c r="A63" s="13" t="s">
        <v>49</v>
      </c>
      <c r="B63" s="14" t="s">
        <v>340</v>
      </c>
      <c r="C63" s="14" t="s">
        <v>341</v>
      </c>
      <c r="D63" s="14" t="s">
        <v>342</v>
      </c>
      <c r="E63" s="14" t="s">
        <v>520</v>
      </c>
      <c r="F63" s="14" t="s">
        <v>343</v>
      </c>
      <c r="G63" s="22" t="s">
        <v>95</v>
      </c>
      <c r="H63" s="21" t="s">
        <v>344</v>
      </c>
      <c r="I63" s="21" t="s">
        <v>344</v>
      </c>
      <c r="J63" s="13"/>
      <c r="K63" s="13" t="str">
        <f>"190,0"</f>
        <v>190,0</v>
      </c>
      <c r="L63" s="13" t="str">
        <f>"123,3978"</f>
        <v>123,3978</v>
      </c>
      <c r="M63" s="14"/>
    </row>
    <row r="65" spans="1:13" ht="16">
      <c r="A65" s="34" t="s">
        <v>345</v>
      </c>
      <c r="B65" s="34"/>
      <c r="C65" s="34"/>
      <c r="D65" s="34"/>
      <c r="E65" s="34"/>
      <c r="F65" s="34"/>
      <c r="G65" s="34"/>
      <c r="H65" s="34"/>
      <c r="I65" s="34"/>
      <c r="J65" s="34"/>
    </row>
    <row r="66" spans="1:13">
      <c r="A66" s="7" t="s">
        <v>7</v>
      </c>
      <c r="B66" s="8" t="s">
        <v>346</v>
      </c>
      <c r="C66" s="8" t="s">
        <v>347</v>
      </c>
      <c r="D66" s="8" t="s">
        <v>348</v>
      </c>
      <c r="E66" s="8" t="s">
        <v>520</v>
      </c>
      <c r="F66" s="8" t="s">
        <v>202</v>
      </c>
      <c r="G66" s="17" t="s">
        <v>102</v>
      </c>
      <c r="H66" s="17" t="s">
        <v>301</v>
      </c>
      <c r="I66" s="17" t="s">
        <v>350</v>
      </c>
      <c r="J66" s="7"/>
      <c r="K66" s="7" t="str">
        <f>"217,5"</f>
        <v>217,5</v>
      </c>
      <c r="L66" s="7" t="str">
        <f>"131,4880"</f>
        <v>131,4880</v>
      </c>
      <c r="M66" s="8"/>
    </row>
    <row r="70" spans="1:13" ht="18">
      <c r="B70" s="9" t="s">
        <v>213</v>
      </c>
      <c r="C70" s="9"/>
    </row>
    <row r="71" spans="1:13" ht="16">
      <c r="B71" s="10" t="s">
        <v>226</v>
      </c>
      <c r="C71" s="10"/>
    </row>
    <row r="72" spans="1:13" ht="14">
      <c r="B72" s="25"/>
      <c r="C72" s="26" t="s">
        <v>351</v>
      </c>
    </row>
    <row r="73" spans="1:13" ht="14">
      <c r="B73" s="27" t="s">
        <v>216</v>
      </c>
      <c r="C73" s="27" t="s">
        <v>217</v>
      </c>
      <c r="D73" s="27" t="s">
        <v>512</v>
      </c>
      <c r="E73" s="27" t="s">
        <v>218</v>
      </c>
      <c r="F73" s="27" t="s">
        <v>219</v>
      </c>
    </row>
    <row r="74" spans="1:13">
      <c r="B74" s="1" t="s">
        <v>268</v>
      </c>
      <c r="C74" s="1" t="s">
        <v>352</v>
      </c>
      <c r="D74" s="2" t="s">
        <v>222</v>
      </c>
      <c r="E74" s="2" t="s">
        <v>155</v>
      </c>
      <c r="F74" s="2" t="s">
        <v>353</v>
      </c>
    </row>
    <row r="75" spans="1:13">
      <c r="B75" s="1" t="s">
        <v>50</v>
      </c>
      <c r="C75" s="1" t="s">
        <v>352</v>
      </c>
      <c r="D75" s="2" t="s">
        <v>354</v>
      </c>
      <c r="E75" s="2" t="s">
        <v>254</v>
      </c>
      <c r="F75" s="2" t="s">
        <v>355</v>
      </c>
    </row>
    <row r="76" spans="1:13">
      <c r="B76" s="1" t="s">
        <v>250</v>
      </c>
      <c r="C76" s="1" t="s">
        <v>352</v>
      </c>
      <c r="D76" s="2" t="s">
        <v>354</v>
      </c>
      <c r="E76" s="2" t="s">
        <v>137</v>
      </c>
      <c r="F76" s="2" t="s">
        <v>356</v>
      </c>
    </row>
    <row r="78" spans="1:13" ht="14">
      <c r="B78" s="25"/>
      <c r="C78" s="26" t="s">
        <v>215</v>
      </c>
    </row>
    <row r="79" spans="1:13" ht="14">
      <c r="B79" s="27" t="s">
        <v>216</v>
      </c>
      <c r="C79" s="27" t="s">
        <v>217</v>
      </c>
      <c r="D79" s="27" t="s">
        <v>512</v>
      </c>
      <c r="E79" s="27" t="s">
        <v>218</v>
      </c>
      <c r="F79" s="27" t="s">
        <v>219</v>
      </c>
    </row>
    <row r="80" spans="1:13">
      <c r="B80" s="1" t="s">
        <v>67</v>
      </c>
      <c r="C80" s="1" t="s">
        <v>215</v>
      </c>
      <c r="D80" s="2" t="s">
        <v>229</v>
      </c>
      <c r="E80" s="2" t="s">
        <v>300</v>
      </c>
      <c r="F80" s="2" t="s">
        <v>357</v>
      </c>
    </row>
    <row r="81" spans="2:6">
      <c r="B81" s="1" t="s">
        <v>312</v>
      </c>
      <c r="C81" s="1" t="s">
        <v>215</v>
      </c>
      <c r="D81" s="2" t="s">
        <v>358</v>
      </c>
      <c r="E81" s="2" t="s">
        <v>301</v>
      </c>
      <c r="F81" s="2" t="s">
        <v>359</v>
      </c>
    </row>
    <row r="82" spans="2:6">
      <c r="B82" s="1" t="s">
        <v>287</v>
      </c>
      <c r="C82" s="1" t="s">
        <v>215</v>
      </c>
      <c r="D82" s="2" t="s">
        <v>360</v>
      </c>
      <c r="E82" s="2" t="s">
        <v>290</v>
      </c>
      <c r="F82" s="2" t="s">
        <v>361</v>
      </c>
    </row>
    <row r="84" spans="2:6" ht="14">
      <c r="B84" s="25"/>
      <c r="C84" s="26" t="s">
        <v>362</v>
      </c>
    </row>
    <row r="85" spans="2:6" ht="14">
      <c r="B85" s="27" t="s">
        <v>216</v>
      </c>
      <c r="C85" s="27" t="s">
        <v>217</v>
      </c>
      <c r="D85" s="27" t="s">
        <v>512</v>
      </c>
      <c r="E85" s="27" t="s">
        <v>218</v>
      </c>
      <c r="F85" s="27" t="s">
        <v>219</v>
      </c>
    </row>
    <row r="86" spans="2:6">
      <c r="B86" s="1" t="s">
        <v>287</v>
      </c>
      <c r="C86" s="1" t="s">
        <v>363</v>
      </c>
      <c r="D86" s="2" t="s">
        <v>360</v>
      </c>
      <c r="E86" s="2" t="s">
        <v>290</v>
      </c>
      <c r="F86" s="2" t="s">
        <v>364</v>
      </c>
    </row>
    <row r="87" spans="2:6">
      <c r="B87" s="1" t="s">
        <v>346</v>
      </c>
      <c r="C87" s="1" t="s">
        <v>363</v>
      </c>
      <c r="D87" s="2" t="s">
        <v>365</v>
      </c>
      <c r="E87" s="2" t="s">
        <v>350</v>
      </c>
      <c r="F87" s="2" t="s">
        <v>366</v>
      </c>
    </row>
    <row r="88" spans="2:6">
      <c r="B88" s="1" t="s">
        <v>326</v>
      </c>
      <c r="C88" s="1" t="s">
        <v>363</v>
      </c>
      <c r="D88" s="2" t="s">
        <v>358</v>
      </c>
      <c r="E88" s="2" t="s">
        <v>321</v>
      </c>
      <c r="F88" s="2" t="s">
        <v>367</v>
      </c>
    </row>
  </sheetData>
  <mergeCells count="24">
    <mergeCell ref="A1:M2"/>
    <mergeCell ref="M3:M4"/>
    <mergeCell ref="L3:L4"/>
    <mergeCell ref="K3:K4"/>
    <mergeCell ref="A3:A4"/>
    <mergeCell ref="C3:C4"/>
    <mergeCell ref="D3:D4"/>
    <mergeCell ref="E3:E4"/>
    <mergeCell ref="F3:F4"/>
    <mergeCell ref="G3:J3"/>
    <mergeCell ref="B3:B4"/>
    <mergeCell ref="A5:J5"/>
    <mergeCell ref="A65:J65"/>
    <mergeCell ref="A15:J15"/>
    <mergeCell ref="A9:J9"/>
    <mergeCell ref="A12:J12"/>
    <mergeCell ref="A18:J18"/>
    <mergeCell ref="A21:J21"/>
    <mergeCell ref="A29:J29"/>
    <mergeCell ref="A33:J33"/>
    <mergeCell ref="A36:J36"/>
    <mergeCell ref="A45:J45"/>
    <mergeCell ref="A52:J52"/>
    <mergeCell ref="A59:J59"/>
  </mergeCells>
  <pageMargins left="0.70000004768371604" right="0.70000004768371604" top="0.75" bottom="0.75" header="0.30000001192092901" footer="0.3000000119209290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"/>
  <sheetViews>
    <sheetView workbookViewId="0">
      <selection activeCell="E7" sqref="E7"/>
    </sheetView>
  </sheetViews>
  <sheetFormatPr baseColWidth="10" defaultColWidth="9" defaultRowHeight="13"/>
  <cols>
    <col min="1" max="1" width="7.1640625" style="1" bestFit="1" customWidth="1"/>
    <col min="2" max="2" width="17.5" style="1" customWidth="1"/>
    <col min="3" max="3" width="24.83203125" style="1" bestFit="1" customWidth="1"/>
    <col min="4" max="4" width="14.6640625" style="1" bestFit="1" customWidth="1"/>
    <col min="5" max="5" width="11.6640625" style="1" customWidth="1"/>
    <col min="6" max="6" width="23.6640625" style="1" bestFit="1" customWidth="1"/>
    <col min="7" max="10" width="5.5" style="2" customWidth="1"/>
    <col min="11" max="11" width="10.5" style="2" bestFit="1" customWidth="1"/>
    <col min="12" max="12" width="10.83203125" style="2" customWidth="1"/>
    <col min="13" max="13" width="21.33203125" style="1" customWidth="1"/>
    <col min="14" max="14" width="9" style="3" bestFit="1" customWidth="1"/>
    <col min="15" max="16384" width="9" style="3"/>
  </cols>
  <sheetData>
    <row r="1" spans="1:13" s="4" customFormat="1" ht="29" customHeight="1" thickBot="1">
      <c r="A1" s="40" t="s">
        <v>499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70</v>
      </c>
      <c r="H3" s="54"/>
      <c r="I3" s="54"/>
      <c r="J3" s="55"/>
      <c r="K3" s="48" t="s">
        <v>84</v>
      </c>
      <c r="L3" s="48" t="s">
        <v>4</v>
      </c>
      <c r="M3" s="46" t="s">
        <v>5</v>
      </c>
    </row>
    <row r="4" spans="1:13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39"/>
      <c r="L4" s="39"/>
      <c r="M4" s="47"/>
    </row>
    <row r="5" spans="1:13" ht="16">
      <c r="A5" s="35" t="s">
        <v>66</v>
      </c>
      <c r="B5" s="36"/>
      <c r="C5" s="36"/>
      <c r="D5" s="36"/>
      <c r="E5" s="36"/>
      <c r="F5" s="36"/>
      <c r="G5" s="36"/>
      <c r="H5" s="36"/>
      <c r="I5" s="36"/>
      <c r="J5" s="37"/>
    </row>
    <row r="6" spans="1:13">
      <c r="A6" s="7" t="s">
        <v>98</v>
      </c>
      <c r="B6" s="8" t="s">
        <v>116</v>
      </c>
      <c r="C6" s="8" t="s">
        <v>117</v>
      </c>
      <c r="D6" s="8" t="s">
        <v>118</v>
      </c>
      <c r="E6" s="8" t="s">
        <v>518</v>
      </c>
      <c r="F6" s="8" t="s">
        <v>13</v>
      </c>
      <c r="G6" s="18" t="s">
        <v>119</v>
      </c>
      <c r="H6" s="18" t="s">
        <v>120</v>
      </c>
      <c r="I6" s="7"/>
      <c r="J6" s="7"/>
      <c r="K6" s="28">
        <v>0</v>
      </c>
      <c r="L6" s="7" t="str">
        <f>"0,0000"</f>
        <v>0,0000</v>
      </c>
      <c r="M6" s="8"/>
    </row>
    <row r="8" spans="1:13">
      <c r="C8" s="2"/>
      <c r="D8" s="2"/>
      <c r="E8" s="2"/>
      <c r="F8" s="2"/>
      <c r="H8" s="1"/>
      <c r="I8" s="3"/>
      <c r="J8" s="3"/>
      <c r="K8" s="3"/>
      <c r="L8" s="3"/>
      <c r="M8" s="3"/>
    </row>
    <row r="9" spans="1:13">
      <c r="C9" s="2"/>
      <c r="D9" s="2"/>
      <c r="E9" s="2"/>
      <c r="F9" s="2"/>
      <c r="H9" s="1"/>
      <c r="I9" s="3"/>
      <c r="J9" s="3"/>
      <c r="K9" s="3"/>
      <c r="L9" s="3"/>
      <c r="M9" s="3"/>
    </row>
    <row r="10" spans="1:13">
      <c r="C10" s="2"/>
      <c r="D10" s="2"/>
      <c r="E10" s="2"/>
      <c r="F10" s="2"/>
      <c r="H10" s="1"/>
      <c r="I10" s="3"/>
      <c r="J10" s="3"/>
      <c r="K10" s="3"/>
      <c r="L10" s="3"/>
      <c r="M10" s="3"/>
    </row>
    <row r="11" spans="1:13">
      <c r="C11" s="2"/>
      <c r="D11" s="2"/>
      <c r="E11" s="2"/>
      <c r="F11" s="2"/>
      <c r="H11" s="1"/>
      <c r="I11" s="3"/>
      <c r="J11" s="3"/>
      <c r="K11" s="3"/>
      <c r="L11" s="3"/>
      <c r="M11" s="3"/>
    </row>
    <row r="12" spans="1:13">
      <c r="C12" s="2"/>
      <c r="D12" s="2"/>
      <c r="E12" s="2"/>
      <c r="F12" s="2"/>
      <c r="H12" s="1"/>
      <c r="I12" s="3"/>
      <c r="J12" s="3"/>
      <c r="K12" s="3"/>
      <c r="L12" s="3"/>
      <c r="M12" s="3"/>
    </row>
    <row r="13" spans="1:13">
      <c r="C13" s="2"/>
      <c r="D13" s="2"/>
      <c r="E13" s="2"/>
      <c r="F13" s="2"/>
      <c r="H13" s="1"/>
      <c r="I13" s="3"/>
      <c r="J13" s="3"/>
      <c r="K13" s="3"/>
      <c r="L13" s="3"/>
      <c r="M13" s="3"/>
    </row>
    <row r="14" spans="1:13">
      <c r="C14" s="2"/>
      <c r="D14" s="2"/>
      <c r="E14" s="2"/>
      <c r="F14" s="2"/>
      <c r="H14" s="1"/>
      <c r="I14" s="3"/>
      <c r="J14" s="3"/>
      <c r="K14" s="3"/>
      <c r="L14" s="3"/>
      <c r="M14" s="3"/>
    </row>
    <row r="15" spans="1:13">
      <c r="C15" s="2"/>
      <c r="D15" s="2"/>
      <c r="E15" s="2"/>
      <c r="F15" s="2"/>
      <c r="H15" s="1"/>
      <c r="I15" s="3"/>
      <c r="J15" s="3"/>
      <c r="K15" s="3"/>
      <c r="L15" s="3"/>
      <c r="M15" s="3"/>
    </row>
    <row r="16" spans="1:13">
      <c r="C16" s="2"/>
      <c r="D16" s="2"/>
      <c r="E16" s="2"/>
      <c r="F16" s="2"/>
      <c r="H16" s="1"/>
      <c r="I16" s="3"/>
      <c r="J16" s="3"/>
      <c r="K16" s="3"/>
      <c r="L16" s="3"/>
      <c r="M16" s="3"/>
    </row>
    <row r="17" spans="3:13">
      <c r="C17" s="2"/>
      <c r="D17" s="2"/>
      <c r="E17" s="2"/>
      <c r="F17" s="2"/>
      <c r="H17" s="1"/>
      <c r="I17" s="3"/>
      <c r="J17" s="3"/>
      <c r="K17" s="3"/>
      <c r="L17" s="3"/>
      <c r="M17" s="3"/>
    </row>
    <row r="18" spans="3:13">
      <c r="C18" s="2"/>
      <c r="D18" s="2"/>
      <c r="E18" s="2"/>
      <c r="F18" s="2"/>
      <c r="H18" s="1"/>
      <c r="I18" s="3"/>
      <c r="J18" s="3"/>
      <c r="K18" s="3"/>
      <c r="L18" s="3"/>
      <c r="M18" s="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0000004768371604" right="0.70000004768371604" top="0.75" bottom="0.75" header="0.30000001192092901" footer="0.3000000119209290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7"/>
  <sheetViews>
    <sheetView workbookViewId="0">
      <selection sqref="A1:M2"/>
    </sheetView>
  </sheetViews>
  <sheetFormatPr baseColWidth="10" defaultColWidth="9" defaultRowHeight="13"/>
  <cols>
    <col min="1" max="1" width="7.1640625" style="1" bestFit="1" customWidth="1"/>
    <col min="2" max="2" width="20" style="1" customWidth="1"/>
    <col min="3" max="3" width="27.1640625" style="1" bestFit="1" customWidth="1"/>
    <col min="4" max="4" width="20.6640625" style="1" bestFit="1" customWidth="1"/>
    <col min="5" max="5" width="10" style="1" bestFit="1" customWidth="1"/>
    <col min="6" max="6" width="24.5" style="1" bestFit="1" customWidth="1"/>
    <col min="7" max="9" width="5.5" style="2" customWidth="1"/>
    <col min="10" max="10" width="4.5" style="2" customWidth="1"/>
    <col min="11" max="11" width="10.5" style="2" bestFit="1" customWidth="1"/>
    <col min="12" max="12" width="8.5" style="2" bestFit="1" customWidth="1"/>
    <col min="13" max="13" width="21.1640625" style="1" customWidth="1"/>
    <col min="14" max="14" width="9" style="3" bestFit="1" customWidth="1"/>
    <col min="15" max="16384" width="9" style="3"/>
  </cols>
  <sheetData>
    <row r="1" spans="1:13" s="4" customFormat="1" ht="29" customHeight="1" thickBot="1">
      <c r="A1" s="40" t="s">
        <v>503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4" customFormat="1" ht="62" customHeight="1" thickBo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5" customFormat="1" ht="12.75" customHeight="1" thickBot="1">
      <c r="A3" s="56" t="s">
        <v>515</v>
      </c>
      <c r="B3" s="38" t="s">
        <v>0</v>
      </c>
      <c r="C3" s="51" t="s">
        <v>516</v>
      </c>
      <c r="D3" s="51" t="s">
        <v>1</v>
      </c>
      <c r="E3" s="48" t="s">
        <v>517</v>
      </c>
      <c r="F3" s="48" t="s">
        <v>3</v>
      </c>
      <c r="G3" s="53" t="s">
        <v>70</v>
      </c>
      <c r="H3" s="54"/>
      <c r="I3" s="54"/>
      <c r="J3" s="55"/>
      <c r="K3" s="48" t="s">
        <v>84</v>
      </c>
      <c r="L3" s="48" t="s">
        <v>4</v>
      </c>
      <c r="M3" s="46" t="s">
        <v>5</v>
      </c>
    </row>
    <row r="4" spans="1:13" s="5" customFormat="1" ht="21" customHeight="1" thickBot="1">
      <c r="A4" s="57"/>
      <c r="B4" s="39"/>
      <c r="C4" s="52"/>
      <c r="D4" s="52"/>
      <c r="E4" s="39"/>
      <c r="F4" s="39"/>
      <c r="G4" s="6">
        <v>1</v>
      </c>
      <c r="H4" s="6">
        <v>2</v>
      </c>
      <c r="I4" s="6">
        <v>3</v>
      </c>
      <c r="J4" s="6" t="s">
        <v>73</v>
      </c>
      <c r="K4" s="39"/>
      <c r="L4" s="39"/>
      <c r="M4" s="47"/>
    </row>
    <row r="5" spans="1:13" ht="16">
      <c r="A5" s="35" t="s">
        <v>121</v>
      </c>
      <c r="B5" s="36"/>
      <c r="C5" s="36"/>
      <c r="D5" s="36"/>
      <c r="E5" s="36"/>
      <c r="F5" s="36"/>
      <c r="G5" s="36"/>
      <c r="H5" s="36"/>
      <c r="I5" s="36"/>
      <c r="J5" s="37"/>
    </row>
    <row r="6" spans="1:13">
      <c r="A6" s="11" t="s">
        <v>7</v>
      </c>
      <c r="B6" s="12" t="s">
        <v>312</v>
      </c>
      <c r="C6" s="12" t="s">
        <v>313</v>
      </c>
      <c r="D6" s="12" t="s">
        <v>314</v>
      </c>
      <c r="E6" s="12" t="s">
        <v>518</v>
      </c>
      <c r="F6" s="12" t="s">
        <v>315</v>
      </c>
      <c r="G6" s="19" t="s">
        <v>368</v>
      </c>
      <c r="H6" s="20" t="s">
        <v>369</v>
      </c>
      <c r="I6" s="20" t="s">
        <v>369</v>
      </c>
      <c r="J6" s="11"/>
      <c r="K6" s="11" t="str">
        <f>"290,0"</f>
        <v>290,0</v>
      </c>
      <c r="L6" s="11" t="str">
        <f>"164,8505"</f>
        <v>164,8505</v>
      </c>
      <c r="M6" s="12"/>
    </row>
    <row r="7" spans="1:13">
      <c r="A7" s="13" t="s">
        <v>7</v>
      </c>
      <c r="B7" s="14" t="s">
        <v>122</v>
      </c>
      <c r="C7" s="14" t="s">
        <v>123</v>
      </c>
      <c r="D7" s="14" t="s">
        <v>124</v>
      </c>
      <c r="E7" s="14" t="s">
        <v>520</v>
      </c>
      <c r="F7" s="14" t="s">
        <v>13</v>
      </c>
      <c r="G7" s="22" t="s">
        <v>370</v>
      </c>
      <c r="H7" s="21" t="s">
        <v>371</v>
      </c>
      <c r="I7" s="22" t="s">
        <v>371</v>
      </c>
      <c r="J7" s="13"/>
      <c r="K7" s="13" t="str">
        <f>"260,0"</f>
        <v>260,0</v>
      </c>
      <c r="L7" s="13" t="str">
        <f>"161,5629"</f>
        <v>161,5629</v>
      </c>
      <c r="M7" s="14" t="s">
        <v>91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WEPF Жим многослой</vt:lpstr>
      <vt:lpstr>WEPF Жим софт однопетельная</vt:lpstr>
      <vt:lpstr>WEPF Жим софт многопетельная</vt:lpstr>
      <vt:lpstr>WRPF Тяга без экипировки ДК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 Шевелева</cp:lastModifiedBy>
  <dcterms:created xsi:type="dcterms:W3CDTF">2021-11-25T10:34:52Z</dcterms:created>
  <dcterms:modified xsi:type="dcterms:W3CDTF">2021-11-25T10:54:26Z</dcterms:modified>
</cp:coreProperties>
</file>