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75E14690-9398-5A4C-BB5E-23C0C5B99010}" xr6:coauthVersionLast="45" xr6:coauthVersionMax="45" xr10:uidLastSave="{00000000-0000-0000-0000-000000000000}"/>
  <bookViews>
    <workbookView xWindow="480" yWindow="460" windowWidth="28080" windowHeight="16200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EPF ПЛ однослой ДК" sheetId="8" r:id="rId5"/>
    <sheet name="WEPF ПЛ многослой" sheetId="11" r:id="rId6"/>
    <sheet name="WRPF Двоеборье без экип ДК" sheetId="28" r:id="rId7"/>
    <sheet name="WRPF Двоеборье без экип" sheetId="27" r:id="rId8"/>
    <sheet name="WRPF Жим лежа без экип ДК" sheetId="15" r:id="rId9"/>
    <sheet name="WRPF Жим лежа без экип" sheetId="14" r:id="rId10"/>
    <sheet name="WEPF Жим софт однопетельная ДК" sheetId="16" r:id="rId11"/>
    <sheet name="WEPF Жим софт однопетельная" sheetId="13" r:id="rId12"/>
    <sheet name="WEPF Жим софт многопетельнаяДК" sheetId="20" r:id="rId13"/>
    <sheet name="WEPF Жим софт многопетельная" sheetId="19" r:id="rId14"/>
    <sheet name="WRPF Тяга без экипировки ДК" sheetId="24" r:id="rId15"/>
    <sheet name="WRPF Тяга без экипировки" sheetId="23" r:id="rId16"/>
    <sheet name="WRPF Подъем на бицепс" sheetId="43" r:id="rId17"/>
  </sheets>
  <definedNames>
    <definedName name="_FilterDatabase" localSheetId="3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43" l="1"/>
  <c r="L27" i="43"/>
  <c r="K27" i="43"/>
  <c r="L26" i="43"/>
  <c r="K26" i="43"/>
  <c r="L23" i="43"/>
  <c r="L22" i="43"/>
  <c r="K22" i="43"/>
  <c r="L19" i="43"/>
  <c r="K19" i="43"/>
  <c r="L16" i="43"/>
  <c r="K16" i="43"/>
  <c r="L15" i="43"/>
  <c r="K15" i="43"/>
  <c r="L14" i="43"/>
  <c r="K14" i="43"/>
  <c r="L13" i="43"/>
  <c r="K13" i="43"/>
  <c r="L12" i="43"/>
  <c r="K12" i="43"/>
  <c r="L9" i="43"/>
  <c r="K9" i="43"/>
  <c r="L6" i="43"/>
  <c r="K6" i="43"/>
  <c r="P36" i="28"/>
  <c r="O36" i="28"/>
  <c r="P35" i="28"/>
  <c r="O35" i="28"/>
  <c r="P32" i="28"/>
  <c r="O32" i="28"/>
  <c r="P31" i="28"/>
  <c r="O31" i="28"/>
  <c r="P28" i="28"/>
  <c r="O28" i="28"/>
  <c r="P27" i="28"/>
  <c r="P24" i="28"/>
  <c r="O24" i="28"/>
  <c r="P21" i="28"/>
  <c r="O21" i="28"/>
  <c r="P20" i="28"/>
  <c r="O20" i="28"/>
  <c r="P19" i="28"/>
  <c r="O19" i="28"/>
  <c r="P16" i="28"/>
  <c r="O16" i="28"/>
  <c r="P15" i="28"/>
  <c r="O15" i="28"/>
  <c r="P12" i="28"/>
  <c r="O12" i="28"/>
  <c r="P9" i="28"/>
  <c r="O9" i="28"/>
  <c r="P6" i="28"/>
  <c r="O6" i="28"/>
  <c r="P19" i="27"/>
  <c r="O19" i="27"/>
  <c r="P16" i="27"/>
  <c r="O16" i="27"/>
  <c r="P15" i="27"/>
  <c r="O15" i="27"/>
  <c r="P14" i="27"/>
  <c r="O14" i="27"/>
  <c r="P11" i="27"/>
  <c r="O11" i="27"/>
  <c r="P8" i="27"/>
  <c r="O8" i="27"/>
  <c r="P7" i="27"/>
  <c r="O7" i="27"/>
  <c r="P6" i="27"/>
  <c r="O6" i="27"/>
  <c r="L58" i="24"/>
  <c r="K58" i="24"/>
  <c r="L57" i="24"/>
  <c r="K57" i="24"/>
  <c r="L56" i="24"/>
  <c r="K56" i="24"/>
  <c r="L53" i="24"/>
  <c r="K53" i="24"/>
  <c r="L52" i="24"/>
  <c r="K52" i="24"/>
  <c r="L49" i="24"/>
  <c r="K49" i="24"/>
  <c r="L48" i="24"/>
  <c r="K48" i="24"/>
  <c r="L47" i="24"/>
  <c r="K47" i="24"/>
  <c r="L44" i="24"/>
  <c r="K44" i="24"/>
  <c r="L41" i="24"/>
  <c r="K41" i="24"/>
  <c r="L40" i="24"/>
  <c r="K40" i="24"/>
  <c r="L39" i="24"/>
  <c r="K39" i="24"/>
  <c r="L38" i="24"/>
  <c r="K38" i="24"/>
  <c r="L37" i="24"/>
  <c r="K37" i="24"/>
  <c r="L36" i="24"/>
  <c r="K36" i="24"/>
  <c r="L33" i="24"/>
  <c r="K33" i="24"/>
  <c r="L32" i="24"/>
  <c r="K32" i="24"/>
  <c r="L31" i="24"/>
  <c r="K31" i="24"/>
  <c r="L30" i="24"/>
  <c r="K30" i="24"/>
  <c r="L29" i="24"/>
  <c r="K29" i="24"/>
  <c r="L28" i="24"/>
  <c r="K28" i="24"/>
  <c r="L27" i="24"/>
  <c r="K27" i="24"/>
  <c r="L24" i="24"/>
  <c r="K24" i="24"/>
  <c r="L23" i="24"/>
  <c r="K23" i="24"/>
  <c r="L22" i="24"/>
  <c r="K22" i="24"/>
  <c r="L19" i="24"/>
  <c r="K19" i="24"/>
  <c r="L16" i="24"/>
  <c r="K16" i="24"/>
  <c r="L13" i="24"/>
  <c r="K13" i="24"/>
  <c r="L12" i="24"/>
  <c r="K12" i="24"/>
  <c r="L9" i="24"/>
  <c r="K9" i="24"/>
  <c r="L6" i="24"/>
  <c r="K6" i="24"/>
  <c r="L35" i="23"/>
  <c r="K35" i="23"/>
  <c r="L32" i="23"/>
  <c r="K32" i="23"/>
  <c r="L29" i="23"/>
  <c r="K29" i="23"/>
  <c r="L28" i="23"/>
  <c r="K28" i="23"/>
  <c r="L27" i="23"/>
  <c r="K27" i="23"/>
  <c r="L24" i="23"/>
  <c r="K24" i="23"/>
  <c r="L23" i="23"/>
  <c r="K23" i="23"/>
  <c r="L22" i="23"/>
  <c r="K22" i="23"/>
  <c r="L21" i="23"/>
  <c r="K21" i="23"/>
  <c r="L20" i="23"/>
  <c r="K20" i="23"/>
  <c r="L19" i="23"/>
  <c r="K19" i="23"/>
  <c r="L18" i="23"/>
  <c r="K18" i="23"/>
  <c r="L15" i="23"/>
  <c r="K15" i="23"/>
  <c r="L14" i="23"/>
  <c r="K14" i="23"/>
  <c r="L13" i="23"/>
  <c r="K13" i="23"/>
  <c r="L10" i="23"/>
  <c r="K10" i="23"/>
  <c r="L9" i="23"/>
  <c r="K9" i="23"/>
  <c r="L6" i="23"/>
  <c r="K6" i="23"/>
  <c r="L7" i="20"/>
  <c r="K7" i="20"/>
  <c r="L6" i="20"/>
  <c r="K6" i="20"/>
  <c r="L7" i="19"/>
  <c r="K7" i="19"/>
  <c r="L6" i="19"/>
  <c r="K6" i="19"/>
  <c r="L7" i="16"/>
  <c r="K7" i="16"/>
  <c r="L6" i="16"/>
  <c r="K6" i="16"/>
  <c r="L60" i="15"/>
  <c r="K60" i="15"/>
  <c r="L59" i="15"/>
  <c r="K59" i="15"/>
  <c r="L58" i="15"/>
  <c r="K58" i="15"/>
  <c r="L57" i="15"/>
  <c r="K57" i="15"/>
  <c r="L54" i="15"/>
  <c r="K54" i="15"/>
  <c r="L53" i="15"/>
  <c r="K53" i="15"/>
  <c r="L52" i="15"/>
  <c r="K52" i="15"/>
  <c r="L49" i="15"/>
  <c r="K49" i="15"/>
  <c r="L46" i="15"/>
  <c r="K46" i="15"/>
  <c r="L45" i="15"/>
  <c r="K45" i="15"/>
  <c r="L42" i="15"/>
  <c r="K42" i="15"/>
  <c r="L41" i="15"/>
  <c r="K41" i="15"/>
  <c r="L40" i="15"/>
  <c r="K40" i="15"/>
  <c r="L39" i="15"/>
  <c r="K39" i="15"/>
  <c r="L38" i="15"/>
  <c r="K38" i="15"/>
  <c r="L35" i="15"/>
  <c r="K35" i="15"/>
  <c r="L34" i="15"/>
  <c r="K34" i="15"/>
  <c r="L33" i="15"/>
  <c r="K33" i="15"/>
  <c r="L32" i="15"/>
  <c r="K32" i="15"/>
  <c r="L31" i="15"/>
  <c r="K31" i="15"/>
  <c r="L30" i="15"/>
  <c r="K30" i="15"/>
  <c r="L29" i="15"/>
  <c r="K29" i="15"/>
  <c r="L26" i="15"/>
  <c r="K26" i="15"/>
  <c r="L23" i="15"/>
  <c r="K23" i="15"/>
  <c r="L22" i="15"/>
  <c r="K22" i="15"/>
  <c r="L19" i="15"/>
  <c r="K19" i="15"/>
  <c r="L16" i="15"/>
  <c r="K16" i="15"/>
  <c r="L13" i="15"/>
  <c r="K13" i="15"/>
  <c r="L10" i="15"/>
  <c r="K10" i="15"/>
  <c r="L7" i="15"/>
  <c r="K7" i="15"/>
  <c r="L6" i="15"/>
  <c r="K6" i="15"/>
  <c r="L43" i="14"/>
  <c r="K43" i="14"/>
  <c r="L42" i="14"/>
  <c r="K42" i="14"/>
  <c r="L39" i="14"/>
  <c r="K39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28" i="14"/>
  <c r="K28" i="14"/>
  <c r="L27" i="14"/>
  <c r="K27" i="14"/>
  <c r="L26" i="14"/>
  <c r="K26" i="14"/>
  <c r="L25" i="14"/>
  <c r="K25" i="14"/>
  <c r="L24" i="14"/>
  <c r="K24" i="14"/>
  <c r="L21" i="14"/>
  <c r="L18" i="14"/>
  <c r="K18" i="14"/>
  <c r="L17" i="14"/>
  <c r="K17" i="14"/>
  <c r="L14" i="14"/>
  <c r="L13" i="14"/>
  <c r="K13" i="14"/>
  <c r="L10" i="14"/>
  <c r="K10" i="14"/>
  <c r="L9" i="14"/>
  <c r="K9" i="14"/>
  <c r="L6" i="14"/>
  <c r="K6" i="14"/>
  <c r="L8" i="13"/>
  <c r="K8" i="13"/>
  <c r="L7" i="13"/>
  <c r="K7" i="13"/>
  <c r="L6" i="13"/>
  <c r="K6" i="13"/>
  <c r="T6" i="11"/>
  <c r="S6" i="11"/>
  <c r="T50" i="10"/>
  <c r="S50" i="10"/>
  <c r="T49" i="10"/>
  <c r="S49" i="10"/>
  <c r="T46" i="10"/>
  <c r="S46" i="10"/>
  <c r="T45" i="10"/>
  <c r="S45" i="10"/>
  <c r="T42" i="10"/>
  <c r="S42" i="10"/>
  <c r="T41" i="10"/>
  <c r="S41" i="10"/>
  <c r="T40" i="10"/>
  <c r="S40" i="10"/>
  <c r="T37" i="10"/>
  <c r="S37" i="10"/>
  <c r="T36" i="10"/>
  <c r="S36" i="10"/>
  <c r="T33" i="10"/>
  <c r="S33" i="10"/>
  <c r="T32" i="10"/>
  <c r="S32" i="10"/>
  <c r="T31" i="10"/>
  <c r="S31" i="10"/>
  <c r="T28" i="10"/>
  <c r="S28" i="10"/>
  <c r="T25" i="10"/>
  <c r="S25" i="10"/>
  <c r="T22" i="10"/>
  <c r="S22" i="10"/>
  <c r="T21" i="10"/>
  <c r="S21" i="10"/>
  <c r="T20" i="10"/>
  <c r="S20" i="10"/>
  <c r="T17" i="10"/>
  <c r="S17" i="10"/>
  <c r="T16" i="10"/>
  <c r="S16" i="10"/>
  <c r="T13" i="10"/>
  <c r="S13" i="10"/>
  <c r="T10" i="10"/>
  <c r="T9" i="10"/>
  <c r="S9" i="10"/>
  <c r="T6" i="10"/>
  <c r="S6" i="10"/>
  <c r="T47" i="9"/>
  <c r="S47" i="9"/>
  <c r="T46" i="9"/>
  <c r="S46" i="9"/>
  <c r="T43" i="9"/>
  <c r="S43" i="9"/>
  <c r="T42" i="9"/>
  <c r="S42" i="9"/>
  <c r="T41" i="9"/>
  <c r="S41" i="9"/>
  <c r="T40" i="9"/>
  <c r="S40" i="9"/>
  <c r="T37" i="9"/>
  <c r="S37" i="9"/>
  <c r="T36" i="9"/>
  <c r="S36" i="9"/>
  <c r="T35" i="9"/>
  <c r="S35" i="9"/>
  <c r="T32" i="9"/>
  <c r="S32" i="9"/>
  <c r="T31" i="9"/>
  <c r="S31" i="9"/>
  <c r="T30" i="9"/>
  <c r="S30" i="9"/>
  <c r="T29" i="9"/>
  <c r="S29" i="9"/>
  <c r="T28" i="9"/>
  <c r="S28" i="9"/>
  <c r="T25" i="9"/>
  <c r="S25" i="9"/>
  <c r="T24" i="9"/>
  <c r="S24" i="9"/>
  <c r="T23" i="9"/>
  <c r="S23" i="9"/>
  <c r="T20" i="9"/>
  <c r="S20" i="9"/>
  <c r="T17" i="9"/>
  <c r="S17" i="9"/>
  <c r="T16" i="9"/>
  <c r="S16" i="9"/>
  <c r="T13" i="9"/>
  <c r="S13" i="9"/>
  <c r="T10" i="9"/>
  <c r="S10" i="9"/>
  <c r="T7" i="9"/>
  <c r="T6" i="9"/>
  <c r="S6" i="9"/>
  <c r="T7" i="8"/>
  <c r="S7" i="8"/>
  <c r="T6" i="8"/>
  <c r="S6" i="8"/>
  <c r="T17" i="6"/>
  <c r="S17" i="6"/>
  <c r="T16" i="6"/>
  <c r="S16" i="6"/>
  <c r="T13" i="6"/>
  <c r="S13" i="6"/>
  <c r="T10" i="6"/>
  <c r="S10" i="6"/>
  <c r="T7" i="6"/>
  <c r="S7" i="6"/>
  <c r="T6" i="6"/>
  <c r="S6" i="6"/>
  <c r="T12" i="5"/>
  <c r="S12" i="5"/>
  <c r="T11" i="5"/>
  <c r="S11" i="5"/>
  <c r="T8" i="5"/>
  <c r="S8" i="5"/>
  <c r="T7" i="5"/>
  <c r="S7" i="5"/>
  <c r="T6" i="5"/>
  <c r="S6" i="5"/>
</calcChain>
</file>

<file path=xl/sharedStrings.xml><?xml version="1.0" encoding="utf-8"?>
<sst xmlns="http://schemas.openxmlformats.org/spreadsheetml/2006/main" count="3072" uniqueCount="636">
  <si>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</si>
  <si>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</si>
  <si>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</si>
  <si>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</si>
  <si>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</si>
  <si>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</si>
  <si>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</si>
  <si>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</si>
  <si>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</si>
  <si>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</si>
  <si>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110</t>
  </si>
  <si>
    <t>Веремеенко Дмитрий</t>
  </si>
  <si>
    <t>Открытая (13.04.1986)/35</t>
  </si>
  <si>
    <t>106,50</t>
  </si>
  <si>
    <t>285,0</t>
  </si>
  <si>
    <t>305,0</t>
  </si>
  <si>
    <t>310,0</t>
  </si>
  <si>
    <t>170,0</t>
  </si>
  <si>
    <t>185,0</t>
  </si>
  <si>
    <t>195,0</t>
  </si>
  <si>
    <t>245,0</t>
  </si>
  <si>
    <t>265,0</t>
  </si>
  <si>
    <t>275,0</t>
  </si>
  <si>
    <t xml:space="preserve">Айвазов А. </t>
  </si>
  <si>
    <t>Исрапилов Магомедамин</t>
  </si>
  <si>
    <t>Открытая (03.05.1975)/46</t>
  </si>
  <si>
    <t>110,00</t>
  </si>
  <si>
    <t>210,0</t>
  </si>
  <si>
    <t>225,0</t>
  </si>
  <si>
    <t>235,0</t>
  </si>
  <si>
    <t>155,0</t>
  </si>
  <si>
    <t>165,0</t>
  </si>
  <si>
    <t>220,0</t>
  </si>
  <si>
    <t>230,0</t>
  </si>
  <si>
    <t>Мастера 40-49 (03.05.1975)/46</t>
  </si>
  <si>
    <t>ВЕСОВАЯ КАТЕГОРИЯ   125</t>
  </si>
  <si>
    <t>Алиев Исамудин</t>
  </si>
  <si>
    <t>Открытая (10.06.1978)/43</t>
  </si>
  <si>
    <t>125,00</t>
  </si>
  <si>
    <t>270,0</t>
  </si>
  <si>
    <t>300,0</t>
  </si>
  <si>
    <t>180,0</t>
  </si>
  <si>
    <t>190,0</t>
  </si>
  <si>
    <t>200,0</t>
  </si>
  <si>
    <t>280,0</t>
  </si>
  <si>
    <t>290,0</t>
  </si>
  <si>
    <t>Мастера 40-49 (10.06.1978)/43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</si>
  <si>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</si>
  <si>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</si>
  <si>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</si>
  <si>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</si>
  <si>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</si>
  <si>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</si>
  <si>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</si>
  <si>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</si>
  <si>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125</t>
  </si>
  <si>
    <t>110</t>
  </si>
  <si>
    <t>1</t>
  </si>
  <si>
    <t>2</t>
  </si>
  <si>
    <t/>
  </si>
  <si>
    <t>ВЕСОВАЯ КАТЕГОРИЯ   75</t>
  </si>
  <si>
    <t>Висханов Арсен</t>
  </si>
  <si>
    <t>Открытая (28.08.1992)/29</t>
  </si>
  <si>
    <t>75,00</t>
  </si>
  <si>
    <t>140,0</t>
  </si>
  <si>
    <t>150,0</t>
  </si>
  <si>
    <t xml:space="preserve">Алиев И. </t>
  </si>
  <si>
    <t>Салаев Усман</t>
  </si>
  <si>
    <t>Открытая (13.01.1984)/37</t>
  </si>
  <si>
    <t>160,0</t>
  </si>
  <si>
    <t>130,0</t>
  </si>
  <si>
    <t>132,5</t>
  </si>
  <si>
    <t>205,0</t>
  </si>
  <si>
    <t>ВЕСОВАЯ КАТЕГОРИЯ   82.5</t>
  </si>
  <si>
    <t>Селимсултанов Альви</t>
  </si>
  <si>
    <t>Мастера 40-49 (18.11.1981)/40</t>
  </si>
  <si>
    <t>82,50</t>
  </si>
  <si>
    <t>135,0</t>
  </si>
  <si>
    <t>142,5</t>
  </si>
  <si>
    <t>ВЕСОВАЯ КАТЕГОРИЯ   90</t>
  </si>
  <si>
    <t>Юсупов Рамзан</t>
  </si>
  <si>
    <t>Открытая (21.05.1987)/34</t>
  </si>
  <si>
    <t>90,00</t>
  </si>
  <si>
    <t>240,0</t>
  </si>
  <si>
    <t>90</t>
  </si>
  <si>
    <t>75</t>
  </si>
  <si>
    <t>82.5</t>
  </si>
  <si>
    <t>ВЕСОВАЯ КАТЕГОРИЯ   52</t>
  </si>
  <si>
    <t>Берко Татьяна</t>
  </si>
  <si>
    <t>Открытая (24.01.1991)/30</t>
  </si>
  <si>
    <t>51,00</t>
  </si>
  <si>
    <t>70,0</t>
  </si>
  <si>
    <t>75,0</t>
  </si>
  <si>
    <t>40,0</t>
  </si>
  <si>
    <t>45,0</t>
  </si>
  <si>
    <t>95,0</t>
  </si>
  <si>
    <t>102,5</t>
  </si>
  <si>
    <t xml:space="preserve">Снигирев В. </t>
  </si>
  <si>
    <t>Котелевская Инна</t>
  </si>
  <si>
    <t>Мастера 40-49 (26.10.1979)/42</t>
  </si>
  <si>
    <t>52,00</t>
  </si>
  <si>
    <t>110,0</t>
  </si>
  <si>
    <t>117,5</t>
  </si>
  <si>
    <t>120,0</t>
  </si>
  <si>
    <t>72,5</t>
  </si>
  <si>
    <t xml:space="preserve">Тарасов А. </t>
  </si>
  <si>
    <t>ВЕСОВАЯ КАТЕГОРИЯ   60</t>
  </si>
  <si>
    <t>Богданова Наталья</t>
  </si>
  <si>
    <t>Открытая (12.05.1989)/32</t>
  </si>
  <si>
    <t>58,40</t>
  </si>
  <si>
    <t>82,5</t>
  </si>
  <si>
    <t>90,0</t>
  </si>
  <si>
    <t>57,5</t>
  </si>
  <si>
    <t>62,5</t>
  </si>
  <si>
    <t>65,0</t>
  </si>
  <si>
    <t>115,0</t>
  </si>
  <si>
    <t>125,0</t>
  </si>
  <si>
    <t xml:space="preserve">Кашпаров Д. </t>
  </si>
  <si>
    <t>ВЕСОВАЯ КАТЕГОРИЯ   67.5</t>
  </si>
  <si>
    <t>Бамматханова Дженет</t>
  </si>
  <si>
    <t>Открытая (19.02.1988)/33</t>
  </si>
  <si>
    <t>62,00</t>
  </si>
  <si>
    <t xml:space="preserve">Газагбиев А. </t>
  </si>
  <si>
    <t>ВЕСОВАЯ КАТЕГОРИЯ   56</t>
  </si>
  <si>
    <t>Кондратьев Андрей</t>
  </si>
  <si>
    <t>Юноши 14-16 (14.08.2009)/12</t>
  </si>
  <si>
    <t>55,70</t>
  </si>
  <si>
    <t>60,0</t>
  </si>
  <si>
    <t>80,0</t>
  </si>
  <si>
    <t>35,0</t>
  </si>
  <si>
    <t>50,0</t>
  </si>
  <si>
    <t>Семикин Алексей</t>
  </si>
  <si>
    <t>Юноши 14-16 (15.11.2009)/12</t>
  </si>
  <si>
    <t>54,10</t>
  </si>
  <si>
    <t>25,0</t>
  </si>
  <si>
    <t>55,0</t>
  </si>
  <si>
    <t xml:space="preserve">Погорелый Н. </t>
  </si>
  <si>
    <t>Судаков Егор</t>
  </si>
  <si>
    <t>Юноши 14-16 (07.12.2008)/12</t>
  </si>
  <si>
    <t>58,00</t>
  </si>
  <si>
    <t>47,5</t>
  </si>
  <si>
    <t xml:space="preserve">Снегирев В. </t>
  </si>
  <si>
    <t>Ступников Роман</t>
  </si>
  <si>
    <t>Открытая (21.01.1988)/33</t>
  </si>
  <si>
    <t>82,40</t>
  </si>
  <si>
    <t>260,0</t>
  </si>
  <si>
    <t>275,5</t>
  </si>
  <si>
    <t>322,5</t>
  </si>
  <si>
    <t>340,0</t>
  </si>
  <si>
    <t>355,0</t>
  </si>
  <si>
    <t>Гусаков Максим</t>
  </si>
  <si>
    <t>Открытая (17.03.1990)/31</t>
  </si>
  <si>
    <t>81,80</t>
  </si>
  <si>
    <t>175,0</t>
  </si>
  <si>
    <t xml:space="preserve">Перепелицын И. </t>
  </si>
  <si>
    <t>Хохлов Эдуард</t>
  </si>
  <si>
    <t>Мастера 40-49 (13.09.1972)/49</t>
  </si>
  <si>
    <t>Хмара Артур</t>
  </si>
  <si>
    <t>Открытая (27.12.1983)/37</t>
  </si>
  <si>
    <t>215,0</t>
  </si>
  <si>
    <t>222,5</t>
  </si>
  <si>
    <t>227,5</t>
  </si>
  <si>
    <t>172,5</t>
  </si>
  <si>
    <t>250,0</t>
  </si>
  <si>
    <t>Асриян Виталий</t>
  </si>
  <si>
    <t>Открытая (26.11.1988)/33</t>
  </si>
  <si>
    <t>89,30</t>
  </si>
  <si>
    <t xml:space="preserve">Карагашев П. </t>
  </si>
  <si>
    <t>Логвинов Артем</t>
  </si>
  <si>
    <t>Открытая (03.09.1995)/26</t>
  </si>
  <si>
    <t>197,5</t>
  </si>
  <si>
    <t>145,0</t>
  </si>
  <si>
    <t>152,5</t>
  </si>
  <si>
    <t>257,5</t>
  </si>
  <si>
    <t xml:space="preserve">Арестов М. </t>
  </si>
  <si>
    <t>Фисенко Юрий</t>
  </si>
  <si>
    <t>Открытая (19.07.1987)/34</t>
  </si>
  <si>
    <t>89,40</t>
  </si>
  <si>
    <t xml:space="preserve">Ильченко А. </t>
  </si>
  <si>
    <t>Саркисян Карен</t>
  </si>
  <si>
    <t>Открытая (25.10.1989)/32</t>
  </si>
  <si>
    <t>86,00</t>
  </si>
  <si>
    <t>ВЕСОВАЯ КАТЕГОРИЯ   100</t>
  </si>
  <si>
    <t>Мацуев Магомед</t>
  </si>
  <si>
    <t>Открытая (27.01.1988)/33</t>
  </si>
  <si>
    <t>97,30</t>
  </si>
  <si>
    <t xml:space="preserve">Тулпаров Ш. </t>
  </si>
  <si>
    <t>Крастилевский Денис</t>
  </si>
  <si>
    <t>Открытая (07.06.1990)/31</t>
  </si>
  <si>
    <t>99,00</t>
  </si>
  <si>
    <t>282,5</t>
  </si>
  <si>
    <t xml:space="preserve">Ступников Р. </t>
  </si>
  <si>
    <t>Аносенко Алексей</t>
  </si>
  <si>
    <t>Открытая (19.03.1991)/30</t>
  </si>
  <si>
    <t>93,40</t>
  </si>
  <si>
    <t>202,5</t>
  </si>
  <si>
    <t>Жохов Сергей</t>
  </si>
  <si>
    <t>Открытая (04.03.1987)/34</t>
  </si>
  <si>
    <t>107,90</t>
  </si>
  <si>
    <t>315,0</t>
  </si>
  <si>
    <t>330,0</t>
  </si>
  <si>
    <t>350,0</t>
  </si>
  <si>
    <t>Коротких Александр</t>
  </si>
  <si>
    <t>Открытая (12.08.1990)/31</t>
  </si>
  <si>
    <t>106,80</t>
  </si>
  <si>
    <t>207,5</t>
  </si>
  <si>
    <t xml:space="preserve">Шалоха А. </t>
  </si>
  <si>
    <t>Кучур Евгений</t>
  </si>
  <si>
    <t>Открытая (22.01.1982)/39</t>
  </si>
  <si>
    <t>Идармачев Абдулагид</t>
  </si>
  <si>
    <t>Мастера 40-49 (23.11.1976)/45</t>
  </si>
  <si>
    <t>119,00</t>
  </si>
  <si>
    <t>247,5</t>
  </si>
  <si>
    <t>255,0</t>
  </si>
  <si>
    <t xml:space="preserve">Гусейнов Г. </t>
  </si>
  <si>
    <t xml:space="preserve">Женщины </t>
  </si>
  <si>
    <t>67.5</t>
  </si>
  <si>
    <t>320,0</t>
  </si>
  <si>
    <t>56</t>
  </si>
  <si>
    <t>810,0</t>
  </si>
  <si>
    <t>543,0240</t>
  </si>
  <si>
    <t>865,0</t>
  </si>
  <si>
    <t>512,1665</t>
  </si>
  <si>
    <t>100</t>
  </si>
  <si>
    <t>765,0</t>
  </si>
  <si>
    <t>470,8575</t>
  </si>
  <si>
    <t>-</t>
  </si>
  <si>
    <t>3</t>
  </si>
  <si>
    <t>4</t>
  </si>
  <si>
    <t>5</t>
  </si>
  <si>
    <t>ВЕСОВАЯ КАТЕГОРИЯ   48</t>
  </si>
  <si>
    <t>Джанполадова Татьяна</t>
  </si>
  <si>
    <t>Открытая (15.09.1984)/37</t>
  </si>
  <si>
    <t>46,60</t>
  </si>
  <si>
    <t>97,5</t>
  </si>
  <si>
    <t>52,5</t>
  </si>
  <si>
    <t>137,5</t>
  </si>
  <si>
    <t>Степанкина Марина</t>
  </si>
  <si>
    <t>Открытая (17.12.1998)/22</t>
  </si>
  <si>
    <t>Абазова Алина</t>
  </si>
  <si>
    <t>Открытая (22.05.1990)/31</t>
  </si>
  <si>
    <t>50,40</t>
  </si>
  <si>
    <t xml:space="preserve">Касимов Ф. </t>
  </si>
  <si>
    <t>Божанова Любовь</t>
  </si>
  <si>
    <t>Открытая (29.06.1991)/30</t>
  </si>
  <si>
    <t>56,00</t>
  </si>
  <si>
    <t>107,5</t>
  </si>
  <si>
    <t>67,5</t>
  </si>
  <si>
    <t>Казанатова Сабина</t>
  </si>
  <si>
    <t>Открытая (02.01.1980)/41</t>
  </si>
  <si>
    <t>60,00</t>
  </si>
  <si>
    <t>100,0</t>
  </si>
  <si>
    <t>Мастера 40-49 (02.01.1980)/41</t>
  </si>
  <si>
    <t>Гусакова Екатерина</t>
  </si>
  <si>
    <t>Юниорки (04.03.1998)/23</t>
  </si>
  <si>
    <t>66,80</t>
  </si>
  <si>
    <t>122,5</t>
  </si>
  <si>
    <t xml:space="preserve">Гусаков М. </t>
  </si>
  <si>
    <t>Открытая (04.03.1998)/23</t>
  </si>
  <si>
    <t>Алиферова Анна</t>
  </si>
  <si>
    <t>Открытая (21.06.1987)/34</t>
  </si>
  <si>
    <t>65,80</t>
  </si>
  <si>
    <t>112,5</t>
  </si>
  <si>
    <t>Османов Амир</t>
  </si>
  <si>
    <t>Юноши 14-16 (31.12.2005)/15</t>
  </si>
  <si>
    <t>55,00</t>
  </si>
  <si>
    <t xml:space="preserve">Рамазанов И. </t>
  </si>
  <si>
    <t>Цоколов Артём</t>
  </si>
  <si>
    <t>Юноши 14-16 (09.10.2007)/14</t>
  </si>
  <si>
    <t>58,50</t>
  </si>
  <si>
    <t>87,5</t>
  </si>
  <si>
    <t>92,5</t>
  </si>
  <si>
    <t>77,5</t>
  </si>
  <si>
    <t>Османов Умар</t>
  </si>
  <si>
    <t>Юноши 14-16 (31.07.2006)/15</t>
  </si>
  <si>
    <t>85,0</t>
  </si>
  <si>
    <t>167,5</t>
  </si>
  <si>
    <t>Асукаев Рашид</t>
  </si>
  <si>
    <t>Юноши 17-19 (28.08.2002)/19</t>
  </si>
  <si>
    <t>67,00</t>
  </si>
  <si>
    <t xml:space="preserve">Мацуев М. </t>
  </si>
  <si>
    <t>Лобанов Дмитрий</t>
  </si>
  <si>
    <t>Открытая (15.10.1992)/29</t>
  </si>
  <si>
    <t>65,00</t>
  </si>
  <si>
    <t>127,5</t>
  </si>
  <si>
    <t>147,5</t>
  </si>
  <si>
    <t xml:space="preserve">Аносенко А. </t>
  </si>
  <si>
    <t>Гончаров Фёдор</t>
  </si>
  <si>
    <t>Юноши 17-19 (11.01.2003)/18</t>
  </si>
  <si>
    <t>81,30</t>
  </si>
  <si>
    <t>Османов Рамиз</t>
  </si>
  <si>
    <t>Мастера 40-49 (15.06.1976)/45</t>
  </si>
  <si>
    <t>242,5</t>
  </si>
  <si>
    <t>Карданов Астемир</t>
  </si>
  <si>
    <t>Юниоры (12.06.2000)/21</t>
  </si>
  <si>
    <t>89,90</t>
  </si>
  <si>
    <t>Открытая (12.06.2000)/21</t>
  </si>
  <si>
    <t>Османов Алим</t>
  </si>
  <si>
    <t>Мастера 40-49 (07.02.1979)/42</t>
  </si>
  <si>
    <t>89,00</t>
  </si>
  <si>
    <t>Галстян Самвел</t>
  </si>
  <si>
    <t>Открытая (05.12.1987)/33</t>
  </si>
  <si>
    <t>122,50</t>
  </si>
  <si>
    <t xml:space="preserve">Ступников Роман </t>
  </si>
  <si>
    <t>Черкашин Сергей</t>
  </si>
  <si>
    <t>Открытая (12.09.1993)/28</t>
  </si>
  <si>
    <t>118,50</t>
  </si>
  <si>
    <t>317,5</t>
  </si>
  <si>
    <t>326,4853</t>
  </si>
  <si>
    <t>332,5</t>
  </si>
  <si>
    <t>391,2195</t>
  </si>
  <si>
    <t>48</t>
  </si>
  <si>
    <t>287,5</t>
  </si>
  <si>
    <t>389,0450</t>
  </si>
  <si>
    <t>Погорелый Николай</t>
  </si>
  <si>
    <t>Открытая (01.10.1993)/28</t>
  </si>
  <si>
    <t>99,20</t>
  </si>
  <si>
    <t>Тарасов Александр</t>
  </si>
  <si>
    <t>Мастера 40-49 (28.05.1980)/41</t>
  </si>
  <si>
    <t xml:space="preserve">Результат </t>
  </si>
  <si>
    <t xml:space="preserve">Gloss </t>
  </si>
  <si>
    <t>Результат</t>
  </si>
  <si>
    <t>Явиляк Наталья</t>
  </si>
  <si>
    <t>Открытая (04.09.1983)/38</t>
  </si>
  <si>
    <t>Муртазалиев Лёма</t>
  </si>
  <si>
    <t>Открытая (28.02.1988)/33</t>
  </si>
  <si>
    <t>65,50</t>
  </si>
  <si>
    <t>Егиян Авет</t>
  </si>
  <si>
    <t>Мастера 50-59 (10.05.1963)/58</t>
  </si>
  <si>
    <t>66,10</t>
  </si>
  <si>
    <t>Маркосян Арам</t>
  </si>
  <si>
    <t>Открытая (23.09.1988)/33</t>
  </si>
  <si>
    <t xml:space="preserve">Кечимаев А. </t>
  </si>
  <si>
    <t>Лысогоров Евгений</t>
  </si>
  <si>
    <t>Открытая (14.08.1988)/33</t>
  </si>
  <si>
    <t>70,60</t>
  </si>
  <si>
    <t>Плотников Анатолий</t>
  </si>
  <si>
    <t>Открытая (05.09.1983)/38</t>
  </si>
  <si>
    <t>81,10</t>
  </si>
  <si>
    <t xml:space="preserve">Сабиев М. </t>
  </si>
  <si>
    <t>Дубов Олег</t>
  </si>
  <si>
    <t>Открытая (02.04.1990)/31</t>
  </si>
  <si>
    <t>Ярахмедов Замир</t>
  </si>
  <si>
    <t>Открытая (27.08.1989)/32</t>
  </si>
  <si>
    <t>Арутюнов Тигран</t>
  </si>
  <si>
    <t>Открытая (02.07.1993)/28</t>
  </si>
  <si>
    <t>94,80</t>
  </si>
  <si>
    <t>Адаев Рустам</t>
  </si>
  <si>
    <t>Открытая (26.04.2002)/19</t>
  </si>
  <si>
    <t>98,70</t>
  </si>
  <si>
    <t xml:space="preserve">Хрулев В. </t>
  </si>
  <si>
    <t>Авдеев Сергей</t>
  </si>
  <si>
    <t>Открытая (08.07.1986)/35</t>
  </si>
  <si>
    <t>99,10</t>
  </si>
  <si>
    <t>Лысенко Александр</t>
  </si>
  <si>
    <t>Открытая (07.05.1988)/33</t>
  </si>
  <si>
    <t>99,70</t>
  </si>
  <si>
    <t>Саиев Мухтар</t>
  </si>
  <si>
    <t>Открытая (06.05.1991)/30</t>
  </si>
  <si>
    <t>109,40</t>
  </si>
  <si>
    <t>252,5</t>
  </si>
  <si>
    <t>Смолич Василий</t>
  </si>
  <si>
    <t>Открытая (02.11.1983)/38</t>
  </si>
  <si>
    <t>106,70</t>
  </si>
  <si>
    <t>Леденёв Сергей</t>
  </si>
  <si>
    <t>Открытая (19.10.1988)/33</t>
  </si>
  <si>
    <t>108,00</t>
  </si>
  <si>
    <t>177,5</t>
  </si>
  <si>
    <t xml:space="preserve">Мордвинов С. </t>
  </si>
  <si>
    <t>Войков Александр</t>
  </si>
  <si>
    <t>Мастера 50-59 (30.06.1971)/50</t>
  </si>
  <si>
    <t>102,00</t>
  </si>
  <si>
    <t>Дьяконов Дмитрий</t>
  </si>
  <si>
    <t>Открытая (07.07.1988)/33</t>
  </si>
  <si>
    <t>112,40</t>
  </si>
  <si>
    <t>ВЕСОВАЯ КАТЕГОРИЯ   140</t>
  </si>
  <si>
    <t>Бобряшов Владимир</t>
  </si>
  <si>
    <t>Открытая (22.12.1988)/32</t>
  </si>
  <si>
    <t>134,00</t>
  </si>
  <si>
    <t xml:space="preserve">Подрез И. </t>
  </si>
  <si>
    <t>Тхамитлоков Казбек</t>
  </si>
  <si>
    <t>Открытая (22.03.1985)/36</t>
  </si>
  <si>
    <t>140,00</t>
  </si>
  <si>
    <t>157,8690</t>
  </si>
  <si>
    <t>147,3750</t>
  </si>
  <si>
    <t>128,2680</t>
  </si>
  <si>
    <t>Зайцева Арина</t>
  </si>
  <si>
    <t>Юниорки (20.01.1998)/23</t>
  </si>
  <si>
    <t>47,30</t>
  </si>
  <si>
    <t>Максименко Виктория</t>
  </si>
  <si>
    <t>Открытая (06.01.1995)/26</t>
  </si>
  <si>
    <t>Мещерикова Наталья</t>
  </si>
  <si>
    <t>Открытая (27.09.1986)/35</t>
  </si>
  <si>
    <t>67,50</t>
  </si>
  <si>
    <t>Мкртумян Ваник</t>
  </si>
  <si>
    <t>Открытая (17.08.1993)/28</t>
  </si>
  <si>
    <t>55,90</t>
  </si>
  <si>
    <t>111,0</t>
  </si>
  <si>
    <t>Апресян Давид</t>
  </si>
  <si>
    <t>Открытая (26.02.1990)/31</t>
  </si>
  <si>
    <t>59,60</t>
  </si>
  <si>
    <t xml:space="preserve">Галстян С. </t>
  </si>
  <si>
    <t>Гусейнов Абдурахман</t>
  </si>
  <si>
    <t>Юноши 14-16 (19.03.2005)/16</t>
  </si>
  <si>
    <t>Чалян Артавазд</t>
  </si>
  <si>
    <t>Юноши 17-19 (06.04.2002)/19</t>
  </si>
  <si>
    <t>71,50</t>
  </si>
  <si>
    <t xml:space="preserve">Лиховицкий И. </t>
  </si>
  <si>
    <t>Бурьянов Артем</t>
  </si>
  <si>
    <t>Юноши 17-19 (26.05.2002)/19</t>
  </si>
  <si>
    <t>Вагапов Халид</t>
  </si>
  <si>
    <t>Юниоры (22.11.2001)/20</t>
  </si>
  <si>
    <t>74,00</t>
  </si>
  <si>
    <t>Шекеров Мусса</t>
  </si>
  <si>
    <t>Открытая (17.02.1996)/25</t>
  </si>
  <si>
    <t>Дудуев Рустам</t>
  </si>
  <si>
    <t>Открытая (26.06.1987)/34</t>
  </si>
  <si>
    <t xml:space="preserve">Тхамитлоков К. </t>
  </si>
  <si>
    <t>Пшихачев Ислам</t>
  </si>
  <si>
    <t>Открытая (07.02.1991)/30</t>
  </si>
  <si>
    <t>80,00</t>
  </si>
  <si>
    <t xml:space="preserve">Хашпаков М. </t>
  </si>
  <si>
    <t>Алоев Анзор</t>
  </si>
  <si>
    <t>Открытая (10.08.1996)/25</t>
  </si>
  <si>
    <t>Мостовой Евгений</t>
  </si>
  <si>
    <t>Открытая (15.04.1988)/33</t>
  </si>
  <si>
    <t>81,20</t>
  </si>
  <si>
    <t xml:space="preserve">Аутюнян Г. </t>
  </si>
  <si>
    <t>Федечкин Станислав</t>
  </si>
  <si>
    <t>Открытая (04.11.1992)/29</t>
  </si>
  <si>
    <t>77,60</t>
  </si>
  <si>
    <t>Магомедов Абдулла</t>
  </si>
  <si>
    <t>Открытая (15.02.1992)/29</t>
  </si>
  <si>
    <t>Ирезиев Турпал</t>
  </si>
  <si>
    <t>Открытая (26.03.1995)/26</t>
  </si>
  <si>
    <t>88,40</t>
  </si>
  <si>
    <t>Байгереев Бислан</t>
  </si>
  <si>
    <t>Открытая (04.04.1987)/34</t>
  </si>
  <si>
    <t>99,50</t>
  </si>
  <si>
    <t>Габаев Усман</t>
  </si>
  <si>
    <t>Юноши 17-19 (20.02.2003)/18</t>
  </si>
  <si>
    <t>109,70</t>
  </si>
  <si>
    <t>Хункерханов Расул</t>
  </si>
  <si>
    <t>Открытая (19.10.1984)/37</t>
  </si>
  <si>
    <t>109,00</t>
  </si>
  <si>
    <t>Одабашян Рубен</t>
  </si>
  <si>
    <t>Открытая (27.08.1986)/35</t>
  </si>
  <si>
    <t>114,00</t>
  </si>
  <si>
    <t>Цыбульский Александр</t>
  </si>
  <si>
    <t>Открытая (28.06.1989)/32</t>
  </si>
  <si>
    <t xml:space="preserve">Сарычев К. </t>
  </si>
  <si>
    <t>Кунашев Эдуард</t>
  </si>
  <si>
    <t>Открытая (11.07.1985)/36</t>
  </si>
  <si>
    <t>112,00</t>
  </si>
  <si>
    <t>115,0890</t>
  </si>
  <si>
    <t>107,7440</t>
  </si>
  <si>
    <t>106,8900</t>
  </si>
  <si>
    <t>Мусаева Патимат</t>
  </si>
  <si>
    <t>Открытая (22.02.1986)/35</t>
  </si>
  <si>
    <t>53,50</t>
  </si>
  <si>
    <t>Ильченко Андрей</t>
  </si>
  <si>
    <t>Юниоры (06.01.1998)/23</t>
  </si>
  <si>
    <t>85,30</t>
  </si>
  <si>
    <t>Открытая (06.01.1998)/23</t>
  </si>
  <si>
    <t>Жигалов Руслан</t>
  </si>
  <si>
    <t>Открытая (10.08.1980)/41</t>
  </si>
  <si>
    <t xml:space="preserve">Пысь Д. </t>
  </si>
  <si>
    <t>Аванесян Сурен</t>
  </si>
  <si>
    <t>Открытая (26.07.1979)/42</t>
  </si>
  <si>
    <t>99,30</t>
  </si>
  <si>
    <t>Киселев Алексей</t>
  </si>
  <si>
    <t>Открытая (27.04.1974)/47</t>
  </si>
  <si>
    <t>100,00</t>
  </si>
  <si>
    <t>Тенишев Растям</t>
  </si>
  <si>
    <t>Открытая (07.07.1993)/28</t>
  </si>
  <si>
    <t>98,60</t>
  </si>
  <si>
    <t xml:space="preserve">Киселёв А. </t>
  </si>
  <si>
    <t>Мастера 40-49 (26.07.1979)/42</t>
  </si>
  <si>
    <t>Власов Станислав</t>
  </si>
  <si>
    <t>Мастера 50-59 (07.07.1967)/54</t>
  </si>
  <si>
    <t>108,10</t>
  </si>
  <si>
    <t>Макеев Денис</t>
  </si>
  <si>
    <t>Открытая (22.04.1983)/38</t>
  </si>
  <si>
    <t>137,70</t>
  </si>
  <si>
    <t>ВЕСОВАЯ КАТЕГОРИЯ   140+</t>
  </si>
  <si>
    <t>Ибрагимов Мовсар</t>
  </si>
  <si>
    <t>Открытая (19.05.1992)/29</t>
  </si>
  <si>
    <t>153,20</t>
  </si>
  <si>
    <t>197,1000</t>
  </si>
  <si>
    <t>237,9920</t>
  </si>
  <si>
    <t>195,3930</t>
  </si>
  <si>
    <t>6</t>
  </si>
  <si>
    <t>105,0</t>
  </si>
  <si>
    <t>Федоренко Артём</t>
  </si>
  <si>
    <t>Юноши 14-16 (11.07.2005)/16</t>
  </si>
  <si>
    <t>48,90</t>
  </si>
  <si>
    <t>Балкаров Андемир</t>
  </si>
  <si>
    <t>Юноши 14-16 (28.08.2011)/10</t>
  </si>
  <si>
    <t>53,90</t>
  </si>
  <si>
    <t>Чеченов Темирлан</t>
  </si>
  <si>
    <t>Юноши 14-16 (27.05.2005)/16</t>
  </si>
  <si>
    <t>67,30</t>
  </si>
  <si>
    <t>Семенов Дахир</t>
  </si>
  <si>
    <t>Открытая (02.05.1994)/27</t>
  </si>
  <si>
    <t>74,40</t>
  </si>
  <si>
    <t>Лигай Дмитрий</t>
  </si>
  <si>
    <t>Открытая (29.11.1996)/25</t>
  </si>
  <si>
    <t>71,10</t>
  </si>
  <si>
    <t>182,5</t>
  </si>
  <si>
    <t>Хажироков Кантемир</t>
  </si>
  <si>
    <t>Открытая (03.01.1992)/29</t>
  </si>
  <si>
    <t>Давыдов Денис</t>
  </si>
  <si>
    <t>Открытая (29.10.1992)/29</t>
  </si>
  <si>
    <t>70,20</t>
  </si>
  <si>
    <t>Эрсибиев Асхаб</t>
  </si>
  <si>
    <t>Открытая (20.07.1988)/33</t>
  </si>
  <si>
    <t>Спирин Илья</t>
  </si>
  <si>
    <t>Открытая (03.09.1988)/33</t>
  </si>
  <si>
    <t>80,90</t>
  </si>
  <si>
    <t xml:space="preserve">Шеин В. А. </t>
  </si>
  <si>
    <t>Хашпаков Муса</t>
  </si>
  <si>
    <t>Открытая (20.11.1992)/29</t>
  </si>
  <si>
    <t>94,10</t>
  </si>
  <si>
    <t>Карданов Азрет</t>
  </si>
  <si>
    <t>Открытая (22.01.1991)/30</t>
  </si>
  <si>
    <t>97,10</t>
  </si>
  <si>
    <t>Балкизов Руслан</t>
  </si>
  <si>
    <t>Открытая (26.05.1990)/31</t>
  </si>
  <si>
    <t>95,20</t>
  </si>
  <si>
    <t>176,4778</t>
  </si>
  <si>
    <t>174,0483</t>
  </si>
  <si>
    <t>173,9920</t>
  </si>
  <si>
    <t>7</t>
  </si>
  <si>
    <t>Шахбанов Раджабали</t>
  </si>
  <si>
    <t>Открытая (29.08.1986)/35</t>
  </si>
  <si>
    <t>77,90</t>
  </si>
  <si>
    <t>540,0</t>
  </si>
  <si>
    <t>362,0160</t>
  </si>
  <si>
    <t>500,0</t>
  </si>
  <si>
    <t>307,7500</t>
  </si>
  <si>
    <t>455,0</t>
  </si>
  <si>
    <t>306,3970</t>
  </si>
  <si>
    <t>Черкасский Сергей</t>
  </si>
  <si>
    <t>Мастера 40-49 (25.11.1973)/48</t>
  </si>
  <si>
    <t>98,80</t>
  </si>
  <si>
    <t>162,5</t>
  </si>
  <si>
    <t xml:space="preserve">Сухоруков З. </t>
  </si>
  <si>
    <t>Гусейнов Гусейн</t>
  </si>
  <si>
    <t>Мастера 50-59 (04.01.1966)/55</t>
  </si>
  <si>
    <t>97,80</t>
  </si>
  <si>
    <t>470,0</t>
  </si>
  <si>
    <t>268,9810</t>
  </si>
  <si>
    <t>380,0</t>
  </si>
  <si>
    <t>254,5620</t>
  </si>
  <si>
    <t>249,4100</t>
  </si>
  <si>
    <t>37,5</t>
  </si>
  <si>
    <t>Казанцев Николай</t>
  </si>
  <si>
    <t>Открытая (30.07.1994)/27</t>
  </si>
  <si>
    <t>63,90</t>
  </si>
  <si>
    <t>Джабаев Мовсар</t>
  </si>
  <si>
    <t>Открытая (08.08.1995)/26</t>
  </si>
  <si>
    <t>86,50</t>
  </si>
  <si>
    <t>Андрюнькин Александр</t>
  </si>
  <si>
    <t>Открытая (12.03.1984)/37</t>
  </si>
  <si>
    <t>89,60</t>
  </si>
  <si>
    <t>Темирбулатов Расул</t>
  </si>
  <si>
    <t>Открытая (29.07.1983)/38</t>
  </si>
  <si>
    <t>46,5040</t>
  </si>
  <si>
    <t>45,3814</t>
  </si>
  <si>
    <t>43,0344</t>
  </si>
  <si>
    <t>Открытый Чемпионат Евразии
WRPF Строгий подъем штанги на бицепс
Ставрополь/Ставропольский край, 03-05 декабря 2021 года</t>
  </si>
  <si>
    <t>Открытый Чемпионат Евразии
WRPF любители Силовое двоеборье без экипировки ДК
Ставрополь/Ставропольский край, 03-05 декабря 2021 года</t>
  </si>
  <si>
    <t>Открытый Чемпионат Евразии
WRPF любители Силовое двоеборье без экипировки
Ставрополь/Ставропольский край, 03-05 декабря 2021 года</t>
  </si>
  <si>
    <t>Открытый Чемпионат Евразии
WRPF любители Становая тяга без экипировки ДК
Ставрополь/Ставропольский край, 03-05 декабря 2021 года</t>
  </si>
  <si>
    <t>Открытый Чемпионат Евразии
WRPF любители Становая тяга без экипировки
Ставрополь/Ставропольский край, 03-05 декабря 2021 года</t>
  </si>
  <si>
    <t>Открытый Чемпионат Евразии
WEPF Жим лежа в многопетельной софт экипировке ДК
Ставрополь/Ставропольский край, 03-05 декабря 2021 года</t>
  </si>
  <si>
    <t>Открытый Чемпионат Евразии
WEPF Жим лежа в многопетельной софт экипировке
Ставрополь/Ставропольский край, 03-05 декабря 2021 года</t>
  </si>
  <si>
    <t>Открытый Чемпионат Евразии
WEPF Жим лежа в однопетельной софт экипировке ДК
Ставрополь/Ставропольский край, 03-05 декабря 2021 года</t>
  </si>
  <si>
    <t>Открытый Чемпионат Евразии
WRPF любители Жим лежа без экипировки ДК
Ставрополь/Ставропольский край, 03-05 декабря 2021 года</t>
  </si>
  <si>
    <t>Открытый Чемпионат Евразии
WRPF любители Жим лежа без экипировки
Ставрополь/Ставропольский край, 03-05 декабря 2021 года</t>
  </si>
  <si>
    <t>Открытый Чемпионат Евразии
WEPF Жим лежа в однопетельной софт экипировке
Ставрополь/Ставропольский край, 03-05 декабря 2021 года</t>
  </si>
  <si>
    <t>Открытый Чемпионат Евразии
WEPF любители Пауэрлифтинг в многослойной экипировке
Ставрополь/Ставропольский край, 03-05 декабря 2021 года</t>
  </si>
  <si>
    <t>Открытый Чемпионат Евразии
WRPF любители Пауэрлифтинг без экипировки ДК
Ставрополь/Ставропольский край, 03-05 декабря 2021 года</t>
  </si>
  <si>
    <t>Открытый Чемпионат Евразии
WRPF любители Пауэрлифтинг без экипировки
Ставрополь/Ставропольский край, 03-05 декабря 2021 года</t>
  </si>
  <si>
    <t>Открытый Чемпионат Евразии
WEPF любители Пауэрлифтинг в однослойной экипировке ДК
Ставрополь/Ставропольский край, 03-05 декабря 2021 года</t>
  </si>
  <si>
    <t>Открытый Чемпионат Евразии
WRPF любители Пауэрлифтинг классический в бинтах ДК
Ставрополь/Ставропольский край, 03-05 декабря 2021 года</t>
  </si>
  <si>
    <t>Открытый Чемпионат Евразии
WRPF любители Пауэрлифтинг классический в бинтах
Ставрополь/Ставропольский край, 03-05 декабря 2021 года</t>
  </si>
  <si>
    <t>Юниоры 20-23 (22.11.2001)/20</t>
  </si>
  <si>
    <t>Юноши 13-19 (20.02.2003)/18</t>
  </si>
  <si>
    <t xml:space="preserve">Чернов Д. </t>
  </si>
  <si>
    <t>Весовая категория</t>
  </si>
  <si>
    <t xml:space="preserve">Хмара А. </t>
  </si>
  <si>
    <t xml:space="preserve">Дьяконов Д. </t>
  </si>
  <si>
    <t>Жим</t>
  </si>
  <si>
    <t xml:space="preserve">Сочи </t>
  </si>
  <si>
    <t xml:space="preserve">Зеленоград </t>
  </si>
  <si>
    <t xml:space="preserve">Нальчик </t>
  </si>
  <si>
    <t xml:space="preserve">Ставрополь </t>
  </si>
  <si>
    <t xml:space="preserve">Махачкала </t>
  </si>
  <si>
    <t xml:space="preserve">Пятигорск </t>
  </si>
  <si>
    <t xml:space="preserve">Черкесск </t>
  </si>
  <si>
    <t xml:space="preserve">Дербент </t>
  </si>
  <si>
    <t xml:space="preserve">Буршаг </t>
  </si>
  <si>
    <t xml:space="preserve">Кисловодск </t>
  </si>
  <si>
    <t xml:space="preserve">Чегем Второй </t>
  </si>
  <si>
    <t xml:space="preserve">Георгиевск </t>
  </si>
  <si>
    <t xml:space="preserve">Михайловск </t>
  </si>
  <si>
    <t xml:space="preserve">Анапа </t>
  </si>
  <si>
    <t xml:space="preserve">Ессентуки </t>
  </si>
  <si>
    <t xml:space="preserve">Краснодар </t>
  </si>
  <si>
    <t xml:space="preserve">Гудермес </t>
  </si>
  <si>
    <t xml:space="preserve">Грозный </t>
  </si>
  <si>
    <t xml:space="preserve">Минеральные Воды </t>
  </si>
  <si>
    <t xml:space="preserve">Чегем </t>
  </si>
  <si>
    <t xml:space="preserve">Армавир </t>
  </si>
  <si>
    <t xml:space="preserve">Геленджик </t>
  </si>
  <si>
    <t xml:space="preserve">Баксан </t>
  </si>
  <si>
    <t xml:space="preserve"> Пенза  </t>
  </si>
  <si>
    <t xml:space="preserve">Железноводск </t>
  </si>
  <si>
    <t xml:space="preserve">Астрахань </t>
  </si>
  <si>
    <t xml:space="preserve">Будённовск </t>
  </si>
  <si>
    <t xml:space="preserve"> Чегем </t>
  </si>
  <si>
    <t xml:space="preserve">Избербаш </t>
  </si>
  <si>
    <t xml:space="preserve">Таганрог </t>
  </si>
  <si>
    <t xml:space="preserve">Невинномысск </t>
  </si>
  <si>
    <t xml:space="preserve">Светлоград </t>
  </si>
  <si>
    <t>№</t>
  </si>
  <si>
    <t xml:space="preserve">
Дата рождения/Возраст</t>
  </si>
  <si>
    <t>Возрастная группа</t>
  </si>
  <si>
    <t>O</t>
  </si>
  <si>
    <t>J</t>
  </si>
  <si>
    <t>T</t>
  </si>
  <si>
    <t>M1</t>
  </si>
  <si>
    <t>M2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</si>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</sst>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60"/>
  <sheetViews>
    <sheetView tabSelected="1" workbookViewId="0">
      <selection activeCell="E51" sqref="E51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3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8" width="5.33203125" style="6" customWidth="1"/>
    <col min="19" max="19" width="7.6640625" style="28" bestFit="1" customWidth="1"/>
    <col min="20" max="20" width="8.33203125" style="6" bestFit="1" customWidth="1"/>
    <col min="21" max="21" width="16.5" style="5" bestFit="1" customWidth="1"/>
    <col min="22" max="16384" width="9.1640625" style="3"/>
  </cols>
  <sheetData>
    <row r="1" spans="1:21" s="2" customFormat="1" ht="29" customHeight="1">
      <c r="A1" s="33" t="s">
        <v>582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230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25" t="s">
        <v>57</v>
      </c>
      <c r="B6" s="17" t="s">
        <v>231</v>
      </c>
      <c r="C6" s="17" t="s">
        <v>232</v>
      </c>
      <c r="D6" s="17" t="s">
        <v>233</v>
      </c>
      <c r="E6" s="17" t="s">
        <v>629</v>
      </c>
      <c r="F6" s="17" t="s">
        <v>594</v>
      </c>
      <c r="G6" s="26" t="s">
        <v>111</v>
      </c>
      <c r="H6" s="26" t="s">
        <v>95</v>
      </c>
      <c r="I6" s="26" t="s">
        <v>234</v>
      </c>
      <c r="J6" s="25"/>
      <c r="K6" s="26" t="s">
        <v>235</v>
      </c>
      <c r="L6" s="27" t="s">
        <v>135</v>
      </c>
      <c r="M6" s="27" t="s">
        <v>135</v>
      </c>
      <c r="N6" s="25"/>
      <c r="O6" s="26" t="s">
        <v>71</v>
      </c>
      <c r="P6" s="26" t="s">
        <v>236</v>
      </c>
      <c r="Q6" s="27" t="s">
        <v>64</v>
      </c>
      <c r="R6" s="25"/>
      <c r="S6" s="29" t="str">
        <f>"287,5"</f>
        <v>287,5</v>
      </c>
      <c r="T6" s="25" t="str">
        <f>"389,0450"</f>
        <v>389,0450</v>
      </c>
      <c r="U6" s="17" t="s">
        <v>191</v>
      </c>
    </row>
    <row r="7" spans="1:21">
      <c r="B7" s="5" t="s">
        <v>59</v>
      </c>
    </row>
    <row r="8" spans="1:21" ht="16">
      <c r="A8" s="46" t="s">
        <v>87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8" t="s">
        <v>57</v>
      </c>
      <c r="B9" s="7" t="s">
        <v>237</v>
      </c>
      <c r="C9" s="7" t="s">
        <v>238</v>
      </c>
      <c r="D9" s="7" t="s">
        <v>90</v>
      </c>
      <c r="E9" s="7" t="s">
        <v>629</v>
      </c>
      <c r="F9" s="7" t="s">
        <v>595</v>
      </c>
      <c r="G9" s="19" t="s">
        <v>92</v>
      </c>
      <c r="H9" s="20" t="s">
        <v>110</v>
      </c>
      <c r="I9" s="19" t="s">
        <v>110</v>
      </c>
      <c r="J9" s="8"/>
      <c r="K9" s="19" t="s">
        <v>130</v>
      </c>
      <c r="L9" s="19" t="s">
        <v>235</v>
      </c>
      <c r="M9" s="20" t="s">
        <v>135</v>
      </c>
      <c r="N9" s="8"/>
      <c r="O9" s="19" t="s">
        <v>128</v>
      </c>
      <c r="P9" s="19" t="s">
        <v>111</v>
      </c>
      <c r="Q9" s="20" t="s">
        <v>95</v>
      </c>
      <c r="R9" s="8"/>
      <c r="S9" s="30" t="str">
        <f>"225,0"</f>
        <v>225,0</v>
      </c>
      <c r="T9" s="8" t="str">
        <f>"284,7150"</f>
        <v>284,7150</v>
      </c>
      <c r="U9" s="7" t="s">
        <v>191</v>
      </c>
    </row>
    <row r="10" spans="1:21">
      <c r="A10" s="12" t="s">
        <v>226</v>
      </c>
      <c r="B10" s="11" t="s">
        <v>239</v>
      </c>
      <c r="C10" s="11" t="s">
        <v>240</v>
      </c>
      <c r="D10" s="11" t="s">
        <v>241</v>
      </c>
      <c r="E10" s="11" t="s">
        <v>629</v>
      </c>
      <c r="F10" s="11" t="s">
        <v>596</v>
      </c>
      <c r="G10" s="23" t="s">
        <v>127</v>
      </c>
      <c r="H10" s="24" t="s">
        <v>114</v>
      </c>
      <c r="I10" s="23" t="s">
        <v>114</v>
      </c>
      <c r="J10" s="12"/>
      <c r="K10" s="24" t="s">
        <v>93</v>
      </c>
      <c r="L10" s="24" t="s">
        <v>93</v>
      </c>
      <c r="M10" s="24" t="s">
        <v>93</v>
      </c>
      <c r="N10" s="12"/>
      <c r="O10" s="24"/>
      <c r="P10" s="12"/>
      <c r="Q10" s="12"/>
      <c r="R10" s="12"/>
      <c r="S10" s="31">
        <v>0</v>
      </c>
      <c r="T10" s="12" t="str">
        <f>"0,0000"</f>
        <v>0,0000</v>
      </c>
      <c r="U10" s="11" t="s">
        <v>242</v>
      </c>
    </row>
    <row r="11" spans="1:21">
      <c r="B11" s="5" t="s">
        <v>59</v>
      </c>
    </row>
    <row r="12" spans="1:21" ht="16">
      <c r="A12" s="46" t="s">
        <v>123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1">
      <c r="A13" s="25" t="s">
        <v>57</v>
      </c>
      <c r="B13" s="17" t="s">
        <v>243</v>
      </c>
      <c r="C13" s="17" t="s">
        <v>244</v>
      </c>
      <c r="D13" s="17" t="s">
        <v>245</v>
      </c>
      <c r="E13" s="17" t="s">
        <v>629</v>
      </c>
      <c r="F13" s="17" t="s">
        <v>597</v>
      </c>
      <c r="G13" s="26" t="s">
        <v>246</v>
      </c>
      <c r="H13" s="26" t="s">
        <v>115</v>
      </c>
      <c r="I13" s="26" t="s">
        <v>102</v>
      </c>
      <c r="J13" s="25"/>
      <c r="K13" s="26" t="s">
        <v>113</v>
      </c>
      <c r="L13" s="26" t="s">
        <v>247</v>
      </c>
      <c r="M13" s="26" t="s">
        <v>91</v>
      </c>
      <c r="N13" s="25"/>
      <c r="O13" s="26" t="s">
        <v>71</v>
      </c>
      <c r="P13" s="26" t="s">
        <v>78</v>
      </c>
      <c r="Q13" s="26" t="s">
        <v>171</v>
      </c>
      <c r="R13" s="25"/>
      <c r="S13" s="29" t="str">
        <f>"332,5"</f>
        <v>332,5</v>
      </c>
      <c r="T13" s="25" t="str">
        <f>"391,2195"</f>
        <v>391,2195</v>
      </c>
      <c r="U13" s="17" t="s">
        <v>178</v>
      </c>
    </row>
    <row r="14" spans="1:21">
      <c r="B14" s="5" t="s">
        <v>59</v>
      </c>
    </row>
    <row r="15" spans="1:21" ht="16">
      <c r="A15" s="46" t="s">
        <v>106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8" t="s">
        <v>57</v>
      </c>
      <c r="B16" s="7" t="s">
        <v>248</v>
      </c>
      <c r="C16" s="7" t="s">
        <v>249</v>
      </c>
      <c r="D16" s="7" t="s">
        <v>250</v>
      </c>
      <c r="E16" s="7" t="s">
        <v>629</v>
      </c>
      <c r="F16" s="7" t="s">
        <v>598</v>
      </c>
      <c r="G16" s="19" t="s">
        <v>91</v>
      </c>
      <c r="H16" s="19" t="s">
        <v>92</v>
      </c>
      <c r="I16" s="19" t="s">
        <v>128</v>
      </c>
      <c r="J16" s="8"/>
      <c r="K16" s="19" t="s">
        <v>94</v>
      </c>
      <c r="L16" s="20" t="s">
        <v>135</v>
      </c>
      <c r="M16" s="20" t="s">
        <v>135</v>
      </c>
      <c r="N16" s="8"/>
      <c r="O16" s="20" t="s">
        <v>111</v>
      </c>
      <c r="P16" s="19" t="s">
        <v>111</v>
      </c>
      <c r="Q16" s="20" t="s">
        <v>251</v>
      </c>
      <c r="R16" s="8"/>
      <c r="S16" s="30" t="str">
        <f>"215,0"</f>
        <v>215,0</v>
      </c>
      <c r="T16" s="8" t="str">
        <f>"239,7035"</f>
        <v>239,7035</v>
      </c>
      <c r="U16" s="7"/>
    </row>
    <row r="17" spans="1:21">
      <c r="A17" s="12" t="s">
        <v>57</v>
      </c>
      <c r="B17" s="11" t="s">
        <v>248</v>
      </c>
      <c r="C17" s="11" t="s">
        <v>252</v>
      </c>
      <c r="D17" s="11" t="s">
        <v>250</v>
      </c>
      <c r="E17" s="11" t="s">
        <v>632</v>
      </c>
      <c r="F17" s="11" t="s">
        <v>598</v>
      </c>
      <c r="G17" s="23" t="s">
        <v>91</v>
      </c>
      <c r="H17" s="23" t="s">
        <v>92</v>
      </c>
      <c r="I17" s="23" t="s">
        <v>128</v>
      </c>
      <c r="J17" s="12"/>
      <c r="K17" s="23" t="s">
        <v>94</v>
      </c>
      <c r="L17" s="24" t="s">
        <v>135</v>
      </c>
      <c r="M17" s="24" t="s">
        <v>135</v>
      </c>
      <c r="N17" s="12"/>
      <c r="O17" s="24" t="s">
        <v>111</v>
      </c>
      <c r="P17" s="23" t="s">
        <v>111</v>
      </c>
      <c r="Q17" s="24" t="s">
        <v>251</v>
      </c>
      <c r="R17" s="12"/>
      <c r="S17" s="31" t="str">
        <f>"215,0"</f>
        <v>215,0</v>
      </c>
      <c r="T17" s="12" t="str">
        <f>"240,9020"</f>
        <v>240,9020</v>
      </c>
      <c r="U17" s="11"/>
    </row>
    <row r="18" spans="1:21">
      <c r="B18" s="5" t="s">
        <v>59</v>
      </c>
    </row>
    <row r="19" spans="1:21" ht="16">
      <c r="A19" s="46" t="s">
        <v>118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21">
      <c r="A20" s="8" t="s">
        <v>57</v>
      </c>
      <c r="B20" s="7" t="s">
        <v>253</v>
      </c>
      <c r="C20" s="7" t="s">
        <v>254</v>
      </c>
      <c r="D20" s="7" t="s">
        <v>255</v>
      </c>
      <c r="E20" s="7" t="s">
        <v>630</v>
      </c>
      <c r="F20" s="7" t="s">
        <v>599</v>
      </c>
      <c r="G20" s="19" t="s">
        <v>115</v>
      </c>
      <c r="H20" s="19" t="s">
        <v>256</v>
      </c>
      <c r="I20" s="20" t="s">
        <v>116</v>
      </c>
      <c r="J20" s="8"/>
      <c r="K20" s="19" t="s">
        <v>135</v>
      </c>
      <c r="L20" s="20" t="s">
        <v>127</v>
      </c>
      <c r="M20" s="20" t="s">
        <v>127</v>
      </c>
      <c r="N20" s="8"/>
      <c r="O20" s="19" t="s">
        <v>70</v>
      </c>
      <c r="P20" s="20" t="s">
        <v>64</v>
      </c>
      <c r="Q20" s="19" t="s">
        <v>64</v>
      </c>
      <c r="R20" s="20" t="s">
        <v>78</v>
      </c>
      <c r="S20" s="30" t="str">
        <f>"317,5"</f>
        <v>317,5</v>
      </c>
      <c r="T20" s="8" t="str">
        <f>"326,4853"</f>
        <v>326,4853</v>
      </c>
      <c r="U20" s="7" t="s">
        <v>257</v>
      </c>
    </row>
    <row r="21" spans="1:21">
      <c r="A21" s="10" t="s">
        <v>57</v>
      </c>
      <c r="B21" s="9" t="s">
        <v>253</v>
      </c>
      <c r="C21" s="9" t="s">
        <v>258</v>
      </c>
      <c r="D21" s="9" t="s">
        <v>255</v>
      </c>
      <c r="E21" s="9" t="s">
        <v>629</v>
      </c>
      <c r="F21" s="9" t="s">
        <v>599</v>
      </c>
      <c r="G21" s="21" t="s">
        <v>115</v>
      </c>
      <c r="H21" s="21" t="s">
        <v>256</v>
      </c>
      <c r="I21" s="22" t="s">
        <v>116</v>
      </c>
      <c r="J21" s="10"/>
      <c r="K21" s="21" t="s">
        <v>135</v>
      </c>
      <c r="L21" s="22" t="s">
        <v>127</v>
      </c>
      <c r="M21" s="22" t="s">
        <v>127</v>
      </c>
      <c r="N21" s="10"/>
      <c r="O21" s="21" t="s">
        <v>70</v>
      </c>
      <c r="P21" s="22" t="s">
        <v>64</v>
      </c>
      <c r="Q21" s="21" t="s">
        <v>64</v>
      </c>
      <c r="R21" s="22" t="s">
        <v>78</v>
      </c>
      <c r="S21" s="32" t="str">
        <f>"317,5"</f>
        <v>317,5</v>
      </c>
      <c r="T21" s="10" t="str">
        <f>"326,4853"</f>
        <v>326,4853</v>
      </c>
      <c r="U21" s="9" t="s">
        <v>257</v>
      </c>
    </row>
    <row r="22" spans="1:21">
      <c r="A22" s="12" t="s">
        <v>58</v>
      </c>
      <c r="B22" s="11" t="s">
        <v>259</v>
      </c>
      <c r="C22" s="11" t="s">
        <v>260</v>
      </c>
      <c r="D22" s="11" t="s">
        <v>261</v>
      </c>
      <c r="E22" s="11" t="s">
        <v>629</v>
      </c>
      <c r="F22" s="11" t="s">
        <v>600</v>
      </c>
      <c r="G22" s="23" t="s">
        <v>111</v>
      </c>
      <c r="H22" s="23" t="s">
        <v>95</v>
      </c>
      <c r="I22" s="23" t="s">
        <v>251</v>
      </c>
      <c r="J22" s="12"/>
      <c r="K22" s="23" t="s">
        <v>127</v>
      </c>
      <c r="L22" s="24" t="s">
        <v>114</v>
      </c>
      <c r="M22" s="24" t="s">
        <v>114</v>
      </c>
      <c r="N22" s="12"/>
      <c r="O22" s="23" t="s">
        <v>262</v>
      </c>
      <c r="P22" s="23" t="s">
        <v>103</v>
      </c>
      <c r="Q22" s="24" t="s">
        <v>256</v>
      </c>
      <c r="R22" s="12"/>
      <c r="S22" s="31" t="str">
        <f>"280,0"</f>
        <v>280,0</v>
      </c>
      <c r="T22" s="12" t="str">
        <f>"291,1160"</f>
        <v>291,1160</v>
      </c>
      <c r="U22" s="11" t="s">
        <v>178</v>
      </c>
    </row>
    <row r="23" spans="1:21">
      <c r="B23" s="5" t="s">
        <v>59</v>
      </c>
    </row>
    <row r="24" spans="1:21" ht="16">
      <c r="A24" s="46" t="s">
        <v>123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21">
      <c r="A25" s="25" t="s">
        <v>57</v>
      </c>
      <c r="B25" s="17" t="s">
        <v>263</v>
      </c>
      <c r="C25" s="17" t="s">
        <v>264</v>
      </c>
      <c r="D25" s="17" t="s">
        <v>265</v>
      </c>
      <c r="E25" s="17" t="s">
        <v>634</v>
      </c>
      <c r="F25" s="17" t="s">
        <v>601</v>
      </c>
      <c r="G25" s="27" t="s">
        <v>111</v>
      </c>
      <c r="H25" s="26" t="s">
        <v>111</v>
      </c>
      <c r="I25" s="26" t="s">
        <v>251</v>
      </c>
      <c r="J25" s="25"/>
      <c r="K25" s="26" t="s">
        <v>114</v>
      </c>
      <c r="L25" s="26" t="s">
        <v>91</v>
      </c>
      <c r="M25" s="27" t="s">
        <v>104</v>
      </c>
      <c r="N25" s="25"/>
      <c r="O25" s="26" t="s">
        <v>103</v>
      </c>
      <c r="P25" s="26" t="s">
        <v>77</v>
      </c>
      <c r="Q25" s="26" t="s">
        <v>171</v>
      </c>
      <c r="R25" s="25"/>
      <c r="S25" s="29" t="str">
        <f>"315,0"</f>
        <v>315,0</v>
      </c>
      <c r="T25" s="25" t="str">
        <f>"291,9105"</f>
        <v>291,9105</v>
      </c>
      <c r="U25" s="17" t="s">
        <v>266</v>
      </c>
    </row>
    <row r="26" spans="1:21">
      <c r="B26" s="5" t="s">
        <v>59</v>
      </c>
    </row>
    <row r="27" spans="1:21" ht="16">
      <c r="A27" s="46" t="s">
        <v>106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25" t="s">
        <v>57</v>
      </c>
      <c r="B28" s="17" t="s">
        <v>267</v>
      </c>
      <c r="C28" s="17" t="s">
        <v>268</v>
      </c>
      <c r="D28" s="17" t="s">
        <v>269</v>
      </c>
      <c r="E28" s="17" t="s">
        <v>634</v>
      </c>
      <c r="F28" s="17" t="s">
        <v>597</v>
      </c>
      <c r="G28" s="26" t="s">
        <v>128</v>
      </c>
      <c r="H28" s="26" t="s">
        <v>270</v>
      </c>
      <c r="I28" s="26" t="s">
        <v>271</v>
      </c>
      <c r="J28" s="25"/>
      <c r="K28" s="26" t="s">
        <v>91</v>
      </c>
      <c r="L28" s="26" t="s">
        <v>92</v>
      </c>
      <c r="M28" s="26" t="s">
        <v>272</v>
      </c>
      <c r="N28" s="25"/>
      <c r="O28" s="26" t="s">
        <v>101</v>
      </c>
      <c r="P28" s="26" t="s">
        <v>102</v>
      </c>
      <c r="Q28" s="26" t="s">
        <v>256</v>
      </c>
      <c r="R28" s="25"/>
      <c r="S28" s="29" t="str">
        <f>"292,5"</f>
        <v>292,5</v>
      </c>
      <c r="T28" s="25" t="str">
        <f>"255,3817"</f>
        <v>255,3817</v>
      </c>
      <c r="U28" s="17" t="s">
        <v>191</v>
      </c>
    </row>
    <row r="29" spans="1:21">
      <c r="B29" s="5" t="s">
        <v>59</v>
      </c>
    </row>
    <row r="30" spans="1:21" ht="16">
      <c r="A30" s="46" t="s">
        <v>118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21">
      <c r="A31" s="8" t="s">
        <v>57</v>
      </c>
      <c r="B31" s="7" t="s">
        <v>273</v>
      </c>
      <c r="C31" s="7" t="s">
        <v>274</v>
      </c>
      <c r="D31" s="7" t="s">
        <v>255</v>
      </c>
      <c r="E31" s="7" t="s">
        <v>634</v>
      </c>
      <c r="F31" s="7" t="s">
        <v>601</v>
      </c>
      <c r="G31" s="19" t="s">
        <v>103</v>
      </c>
      <c r="H31" s="19" t="s">
        <v>64</v>
      </c>
      <c r="I31" s="20" t="s">
        <v>78</v>
      </c>
      <c r="J31" s="8"/>
      <c r="K31" s="19" t="s">
        <v>275</v>
      </c>
      <c r="L31" s="19" t="s">
        <v>111</v>
      </c>
      <c r="M31" s="20" t="s">
        <v>95</v>
      </c>
      <c r="N31" s="8"/>
      <c r="O31" s="19" t="s">
        <v>171</v>
      </c>
      <c r="P31" s="19" t="s">
        <v>30</v>
      </c>
      <c r="Q31" s="19" t="s">
        <v>276</v>
      </c>
      <c r="R31" s="8"/>
      <c r="S31" s="30" t="str">
        <f>"397,5"</f>
        <v>397,5</v>
      </c>
      <c r="T31" s="8" t="str">
        <f>"309,0562"</f>
        <v>309,0562</v>
      </c>
      <c r="U31" s="7" t="s">
        <v>266</v>
      </c>
    </row>
    <row r="32" spans="1:21">
      <c r="A32" s="10" t="s">
        <v>57</v>
      </c>
      <c r="B32" s="9" t="s">
        <v>277</v>
      </c>
      <c r="C32" s="9" t="s">
        <v>278</v>
      </c>
      <c r="D32" s="9" t="s">
        <v>279</v>
      </c>
      <c r="E32" s="9" t="s">
        <v>635</v>
      </c>
      <c r="F32" s="9" t="s">
        <v>602</v>
      </c>
      <c r="G32" s="21" t="s">
        <v>101</v>
      </c>
      <c r="H32" s="22" t="s">
        <v>103</v>
      </c>
      <c r="I32" s="21" t="s">
        <v>103</v>
      </c>
      <c r="J32" s="10"/>
      <c r="K32" s="21" t="s">
        <v>114</v>
      </c>
      <c r="L32" s="21" t="s">
        <v>91</v>
      </c>
      <c r="M32" s="21" t="s">
        <v>92</v>
      </c>
      <c r="N32" s="10"/>
      <c r="O32" s="21" t="s">
        <v>65</v>
      </c>
      <c r="P32" s="21" t="s">
        <v>69</v>
      </c>
      <c r="Q32" s="21" t="s">
        <v>17</v>
      </c>
      <c r="R32" s="10"/>
      <c r="S32" s="32" t="str">
        <f>"365,0"</f>
        <v>365,0</v>
      </c>
      <c r="T32" s="10" t="str">
        <f>"283,0940"</f>
        <v>283,0940</v>
      </c>
      <c r="U32" s="9" t="s">
        <v>280</v>
      </c>
    </row>
    <row r="33" spans="1:21">
      <c r="A33" s="12" t="s">
        <v>57</v>
      </c>
      <c r="B33" s="11" t="s">
        <v>281</v>
      </c>
      <c r="C33" s="11" t="s">
        <v>282</v>
      </c>
      <c r="D33" s="11" t="s">
        <v>283</v>
      </c>
      <c r="E33" s="11" t="s">
        <v>629</v>
      </c>
      <c r="F33" s="11" t="s">
        <v>603</v>
      </c>
      <c r="G33" s="23" t="s">
        <v>115</v>
      </c>
      <c r="H33" s="23" t="s">
        <v>256</v>
      </c>
      <c r="I33" s="24" t="s">
        <v>284</v>
      </c>
      <c r="J33" s="12"/>
      <c r="K33" s="23" t="s">
        <v>113</v>
      </c>
      <c r="L33" s="23" t="s">
        <v>91</v>
      </c>
      <c r="M33" s="24" t="s">
        <v>92</v>
      </c>
      <c r="N33" s="12"/>
      <c r="O33" s="23" t="s">
        <v>64</v>
      </c>
      <c r="P33" s="23" t="s">
        <v>285</v>
      </c>
      <c r="Q33" s="23" t="s">
        <v>30</v>
      </c>
      <c r="R33" s="12"/>
      <c r="S33" s="31" t="str">
        <f>"347,5"</f>
        <v>347,5</v>
      </c>
      <c r="T33" s="12" t="str">
        <f>"276,3320"</f>
        <v>276,3320</v>
      </c>
      <c r="U33" s="11" t="s">
        <v>286</v>
      </c>
    </row>
    <row r="34" spans="1:21">
      <c r="B34" s="5" t="s">
        <v>59</v>
      </c>
    </row>
    <row r="35" spans="1:21" ht="16">
      <c r="A35" s="46" t="s">
        <v>73</v>
      </c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21">
      <c r="A36" s="8" t="s">
        <v>57</v>
      </c>
      <c r="B36" s="7" t="s">
        <v>287</v>
      </c>
      <c r="C36" s="7" t="s">
        <v>288</v>
      </c>
      <c r="D36" s="7" t="s">
        <v>289</v>
      </c>
      <c r="E36" s="7" t="s">
        <v>635</v>
      </c>
      <c r="F36" s="7" t="s">
        <v>597</v>
      </c>
      <c r="G36" s="20" t="s">
        <v>64</v>
      </c>
      <c r="H36" s="20" t="s">
        <v>64</v>
      </c>
      <c r="I36" s="19" t="s">
        <v>64</v>
      </c>
      <c r="J36" s="8"/>
      <c r="K36" s="19" t="s">
        <v>251</v>
      </c>
      <c r="L36" s="19" t="s">
        <v>101</v>
      </c>
      <c r="M36" s="20" t="s">
        <v>115</v>
      </c>
      <c r="N36" s="8"/>
      <c r="O36" s="19" t="s">
        <v>43</v>
      </c>
      <c r="P36" s="20" t="s">
        <v>32</v>
      </c>
      <c r="Q36" s="20" t="s">
        <v>32</v>
      </c>
      <c r="R36" s="8"/>
      <c r="S36" s="30" t="str">
        <f>"450,0"</f>
        <v>450,0</v>
      </c>
      <c r="T36" s="8" t="str">
        <f>"304,1550"</f>
        <v>304,1550</v>
      </c>
      <c r="U36" s="7"/>
    </row>
    <row r="37" spans="1:21">
      <c r="A37" s="12" t="s">
        <v>57</v>
      </c>
      <c r="B37" s="11" t="s">
        <v>290</v>
      </c>
      <c r="C37" s="11" t="s">
        <v>291</v>
      </c>
      <c r="D37" s="11" t="s">
        <v>76</v>
      </c>
      <c r="E37" s="11" t="s">
        <v>632</v>
      </c>
      <c r="F37" s="11" t="s">
        <v>601</v>
      </c>
      <c r="G37" s="23" t="s">
        <v>41</v>
      </c>
      <c r="H37" s="23" t="s">
        <v>42</v>
      </c>
      <c r="I37" s="24" t="s">
        <v>43</v>
      </c>
      <c r="J37" s="12"/>
      <c r="K37" s="23" t="s">
        <v>77</v>
      </c>
      <c r="L37" s="23" t="s">
        <v>78</v>
      </c>
      <c r="M37" s="23" t="s">
        <v>171</v>
      </c>
      <c r="N37" s="12"/>
      <c r="O37" s="23" t="s">
        <v>27</v>
      </c>
      <c r="P37" s="23" t="s">
        <v>33</v>
      </c>
      <c r="Q37" s="24" t="s">
        <v>292</v>
      </c>
      <c r="R37" s="12"/>
      <c r="S37" s="31" t="str">
        <f>"565,0"</f>
        <v>565,0</v>
      </c>
      <c r="T37" s="12" t="str">
        <f>"401,2031"</f>
        <v>401,2031</v>
      </c>
      <c r="U37" s="11"/>
    </row>
    <row r="38" spans="1:21">
      <c r="B38" s="5" t="s">
        <v>59</v>
      </c>
    </row>
    <row r="39" spans="1:21" ht="16">
      <c r="A39" s="46" t="s">
        <v>79</v>
      </c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21">
      <c r="A40" s="8" t="s">
        <v>57</v>
      </c>
      <c r="B40" s="7" t="s">
        <v>293</v>
      </c>
      <c r="C40" s="7" t="s">
        <v>294</v>
      </c>
      <c r="D40" s="7" t="s">
        <v>295</v>
      </c>
      <c r="E40" s="7" t="s">
        <v>630</v>
      </c>
      <c r="F40" s="7" t="s">
        <v>604</v>
      </c>
      <c r="G40" s="19" t="s">
        <v>18</v>
      </c>
      <c r="H40" s="19" t="s">
        <v>19</v>
      </c>
      <c r="I40" s="20" t="s">
        <v>43</v>
      </c>
      <c r="J40" s="8"/>
      <c r="K40" s="19" t="s">
        <v>171</v>
      </c>
      <c r="L40" s="19" t="s">
        <v>172</v>
      </c>
      <c r="M40" s="20" t="s">
        <v>30</v>
      </c>
      <c r="N40" s="8"/>
      <c r="O40" s="19" t="s">
        <v>28</v>
      </c>
      <c r="P40" s="20" t="s">
        <v>29</v>
      </c>
      <c r="Q40" s="19" t="s">
        <v>29</v>
      </c>
      <c r="R40" s="8"/>
      <c r="S40" s="30" t="str">
        <f>"582,5"</f>
        <v>582,5</v>
      </c>
      <c r="T40" s="8" t="str">
        <f>"372,1010"</f>
        <v>372,1010</v>
      </c>
      <c r="U40" s="7"/>
    </row>
    <row r="41" spans="1:21">
      <c r="A41" s="10" t="s">
        <v>57</v>
      </c>
      <c r="B41" s="9" t="s">
        <v>293</v>
      </c>
      <c r="C41" s="9" t="s">
        <v>296</v>
      </c>
      <c r="D41" s="9" t="s">
        <v>295</v>
      </c>
      <c r="E41" s="9" t="s">
        <v>629</v>
      </c>
      <c r="F41" s="9" t="s">
        <v>604</v>
      </c>
      <c r="G41" s="21" t="s">
        <v>18</v>
      </c>
      <c r="H41" s="21" t="s">
        <v>19</v>
      </c>
      <c r="I41" s="22" t="s">
        <v>43</v>
      </c>
      <c r="J41" s="10"/>
      <c r="K41" s="21" t="s">
        <v>171</v>
      </c>
      <c r="L41" s="21" t="s">
        <v>172</v>
      </c>
      <c r="M41" s="22" t="s">
        <v>30</v>
      </c>
      <c r="N41" s="10"/>
      <c r="O41" s="21" t="s">
        <v>28</v>
      </c>
      <c r="P41" s="22" t="s">
        <v>29</v>
      </c>
      <c r="Q41" s="21" t="s">
        <v>29</v>
      </c>
      <c r="R41" s="10"/>
      <c r="S41" s="32" t="str">
        <f>"582,5"</f>
        <v>582,5</v>
      </c>
      <c r="T41" s="10" t="str">
        <f>"372,1010"</f>
        <v>372,1010</v>
      </c>
      <c r="U41" s="9"/>
    </row>
    <row r="42" spans="1:21">
      <c r="A42" s="12" t="s">
        <v>57</v>
      </c>
      <c r="B42" s="11" t="s">
        <v>297</v>
      </c>
      <c r="C42" s="11" t="s">
        <v>298</v>
      </c>
      <c r="D42" s="11" t="s">
        <v>299</v>
      </c>
      <c r="E42" s="11" t="s">
        <v>632</v>
      </c>
      <c r="F42" s="11" t="s">
        <v>601</v>
      </c>
      <c r="G42" s="23" t="s">
        <v>42</v>
      </c>
      <c r="H42" s="23" t="s">
        <v>43</v>
      </c>
      <c r="I42" s="23" t="s">
        <v>72</v>
      </c>
      <c r="J42" s="12"/>
      <c r="K42" s="23" t="s">
        <v>236</v>
      </c>
      <c r="L42" s="23" t="s">
        <v>78</v>
      </c>
      <c r="M42" s="24" t="s">
        <v>171</v>
      </c>
      <c r="N42" s="12"/>
      <c r="O42" s="23" t="s">
        <v>32</v>
      </c>
      <c r="P42" s="23" t="s">
        <v>83</v>
      </c>
      <c r="Q42" s="24" t="s">
        <v>20</v>
      </c>
      <c r="R42" s="12"/>
      <c r="S42" s="31" t="str">
        <f>"587,5"</f>
        <v>587,5</v>
      </c>
      <c r="T42" s="12" t="str">
        <f>"382,5150"</f>
        <v>382,5150</v>
      </c>
      <c r="U42" s="11" t="s">
        <v>266</v>
      </c>
    </row>
    <row r="43" spans="1:21">
      <c r="B43" s="5" t="s">
        <v>59</v>
      </c>
    </row>
    <row r="44" spans="1:21" ht="16">
      <c r="A44" s="46" t="s">
        <v>10</v>
      </c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21">
      <c r="A45" s="8" t="s">
        <v>57</v>
      </c>
      <c r="B45" s="7" t="s">
        <v>24</v>
      </c>
      <c r="C45" s="7" t="s">
        <v>25</v>
      </c>
      <c r="D45" s="7" t="s">
        <v>26</v>
      </c>
      <c r="E45" s="7" t="s">
        <v>629</v>
      </c>
      <c r="F45" s="7" t="s">
        <v>598</v>
      </c>
      <c r="G45" s="19" t="s">
        <v>27</v>
      </c>
      <c r="H45" s="19" t="s">
        <v>28</v>
      </c>
      <c r="I45" s="19" t="s">
        <v>29</v>
      </c>
      <c r="J45" s="8"/>
      <c r="K45" s="19" t="s">
        <v>30</v>
      </c>
      <c r="L45" s="19" t="s">
        <v>31</v>
      </c>
      <c r="M45" s="19" t="s">
        <v>17</v>
      </c>
      <c r="N45" s="8"/>
      <c r="O45" s="19" t="s">
        <v>27</v>
      </c>
      <c r="P45" s="19" t="s">
        <v>32</v>
      </c>
      <c r="Q45" s="20" t="s">
        <v>33</v>
      </c>
      <c r="R45" s="8"/>
      <c r="S45" s="30" t="str">
        <f>"625,0"</f>
        <v>625,0</v>
      </c>
      <c r="T45" s="8" t="str">
        <f>"367,8125"</f>
        <v>367,8125</v>
      </c>
      <c r="U45" s="7"/>
    </row>
    <row r="46" spans="1:21">
      <c r="A46" s="12" t="s">
        <v>57</v>
      </c>
      <c r="B46" s="11" t="s">
        <v>24</v>
      </c>
      <c r="C46" s="11" t="s">
        <v>34</v>
      </c>
      <c r="D46" s="11" t="s">
        <v>26</v>
      </c>
      <c r="E46" s="11" t="s">
        <v>632</v>
      </c>
      <c r="F46" s="11" t="s">
        <v>598</v>
      </c>
      <c r="G46" s="23" t="s">
        <v>27</v>
      </c>
      <c r="H46" s="23" t="s">
        <v>28</v>
      </c>
      <c r="I46" s="23" t="s">
        <v>29</v>
      </c>
      <c r="J46" s="12"/>
      <c r="K46" s="23" t="s">
        <v>30</v>
      </c>
      <c r="L46" s="23" t="s">
        <v>31</v>
      </c>
      <c r="M46" s="23" t="s">
        <v>17</v>
      </c>
      <c r="N46" s="12"/>
      <c r="O46" s="23" t="s">
        <v>27</v>
      </c>
      <c r="P46" s="23" t="s">
        <v>32</v>
      </c>
      <c r="Q46" s="24" t="s">
        <v>33</v>
      </c>
      <c r="R46" s="12"/>
      <c r="S46" s="31" t="str">
        <f>"625,0"</f>
        <v>625,0</v>
      </c>
      <c r="T46" s="12" t="str">
        <f>"396,5019"</f>
        <v>396,5019</v>
      </c>
      <c r="U46" s="11"/>
    </row>
    <row r="47" spans="1:21">
      <c r="B47" s="5" t="s">
        <v>59</v>
      </c>
    </row>
    <row r="48" spans="1:21" ht="16">
      <c r="A48" s="46" t="s">
        <v>35</v>
      </c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21">
      <c r="A49" s="8" t="s">
        <v>57</v>
      </c>
      <c r="B49" s="7" t="s">
        <v>300</v>
      </c>
      <c r="C49" s="7" t="s">
        <v>301</v>
      </c>
      <c r="D49" s="7" t="s">
        <v>302</v>
      </c>
      <c r="E49" s="7" t="s">
        <v>629</v>
      </c>
      <c r="F49" s="7" t="s">
        <v>605</v>
      </c>
      <c r="G49" s="19" t="s">
        <v>41</v>
      </c>
      <c r="H49" s="19" t="s">
        <v>43</v>
      </c>
      <c r="I49" s="19" t="s">
        <v>32</v>
      </c>
      <c r="J49" s="8"/>
      <c r="K49" s="19" t="s">
        <v>17</v>
      </c>
      <c r="L49" s="19" t="s">
        <v>41</v>
      </c>
      <c r="M49" s="19" t="s">
        <v>18</v>
      </c>
      <c r="N49" s="8"/>
      <c r="O49" s="19" t="s">
        <v>39</v>
      </c>
      <c r="P49" s="19" t="s">
        <v>14</v>
      </c>
      <c r="Q49" s="20" t="s">
        <v>45</v>
      </c>
      <c r="R49" s="8"/>
      <c r="S49" s="30" t="str">
        <f>"690,0"</f>
        <v>690,0</v>
      </c>
      <c r="T49" s="8" t="str">
        <f>"394,8870"</f>
        <v>394,8870</v>
      </c>
      <c r="U49" s="7" t="s">
        <v>191</v>
      </c>
    </row>
    <row r="50" spans="1:21">
      <c r="A50" s="12" t="s">
        <v>58</v>
      </c>
      <c r="B50" s="11" t="s">
        <v>304</v>
      </c>
      <c r="C50" s="11" t="s">
        <v>305</v>
      </c>
      <c r="D50" s="11" t="s">
        <v>306</v>
      </c>
      <c r="E50" s="11" t="s">
        <v>629</v>
      </c>
      <c r="F50" s="11" t="s">
        <v>599</v>
      </c>
      <c r="G50" s="24" t="s">
        <v>41</v>
      </c>
      <c r="H50" s="23" t="s">
        <v>41</v>
      </c>
      <c r="I50" s="24" t="s">
        <v>72</v>
      </c>
      <c r="J50" s="12"/>
      <c r="K50" s="23" t="s">
        <v>77</v>
      </c>
      <c r="L50" s="24" t="s">
        <v>171</v>
      </c>
      <c r="M50" s="24" t="s">
        <v>171</v>
      </c>
      <c r="N50" s="12"/>
      <c r="O50" s="23" t="s">
        <v>27</v>
      </c>
      <c r="P50" s="24" t="s">
        <v>28</v>
      </c>
      <c r="Q50" s="24" t="s">
        <v>28</v>
      </c>
      <c r="R50" s="12"/>
      <c r="S50" s="31" t="str">
        <f>"525,0"</f>
        <v>525,0</v>
      </c>
      <c r="T50" s="12" t="str">
        <f>"302,7150"</f>
        <v>302,7150</v>
      </c>
      <c r="U50" s="11" t="s">
        <v>257</v>
      </c>
    </row>
    <row r="51" spans="1:21">
      <c r="B51" s="5" t="s">
        <v>59</v>
      </c>
    </row>
    <row r="52" spans="1:21">
      <c r="B52" s="5" t="s">
        <v>59</v>
      </c>
    </row>
    <row r="53" spans="1:21">
      <c r="B53" s="5" t="s">
        <v>59</v>
      </c>
    </row>
    <row r="54" spans="1:21" ht="18">
      <c r="B54" s="13" t="s">
        <v>47</v>
      </c>
      <c r="C54" s="13"/>
      <c r="F54" s="3"/>
    </row>
    <row r="55" spans="1:21" ht="16">
      <c r="B55" s="14" t="s">
        <v>215</v>
      </c>
      <c r="C55" s="14"/>
      <c r="F55" s="3"/>
    </row>
    <row r="56" spans="1:21" ht="14">
      <c r="B56" s="15"/>
      <c r="C56" s="16" t="s">
        <v>49</v>
      </c>
      <c r="F56" s="3"/>
    </row>
    <row r="57" spans="1:21" ht="14">
      <c r="B57" s="18" t="s">
        <v>50</v>
      </c>
      <c r="C57" s="18" t="s">
        <v>51</v>
      </c>
      <c r="D57" s="18" t="s">
        <v>590</v>
      </c>
      <c r="E57" s="18" t="s">
        <v>53</v>
      </c>
      <c r="F57" s="18" t="s">
        <v>54</v>
      </c>
    </row>
    <row r="58" spans="1:21">
      <c r="B58" s="5" t="s">
        <v>243</v>
      </c>
      <c r="C58" s="5" t="s">
        <v>49</v>
      </c>
      <c r="D58" s="6" t="s">
        <v>218</v>
      </c>
      <c r="E58" s="6" t="s">
        <v>309</v>
      </c>
      <c r="F58" s="6" t="s">
        <v>310</v>
      </c>
    </row>
    <row r="59" spans="1:21">
      <c r="B59" s="5" t="s">
        <v>231</v>
      </c>
      <c r="C59" s="5" t="s">
        <v>49</v>
      </c>
      <c r="D59" s="6" t="s">
        <v>311</v>
      </c>
      <c r="E59" s="6" t="s">
        <v>312</v>
      </c>
      <c r="F59" s="6" t="s">
        <v>313</v>
      </c>
    </row>
    <row r="60" spans="1:21">
      <c r="B60" s="5" t="s">
        <v>253</v>
      </c>
      <c r="C60" s="5" t="s">
        <v>49</v>
      </c>
      <c r="D60" s="6" t="s">
        <v>216</v>
      </c>
      <c r="E60" s="6" t="s">
        <v>307</v>
      </c>
      <c r="F60" s="6" t="s">
        <v>308</v>
      </c>
    </row>
  </sheetData>
  <mergeCells count="25">
    <mergeCell ref="A30:R30"/>
    <mergeCell ref="A35:R35"/>
    <mergeCell ref="A39:R39"/>
    <mergeCell ref="A44:R44"/>
    <mergeCell ref="A48:R48"/>
    <mergeCell ref="A24:R24"/>
    <mergeCell ref="A27:R27"/>
    <mergeCell ref="S3:S4"/>
    <mergeCell ref="T3:T4"/>
    <mergeCell ref="U3:U4"/>
    <mergeCell ref="A5:R5"/>
    <mergeCell ref="B3:B4"/>
    <mergeCell ref="A8:R8"/>
    <mergeCell ref="A12:R12"/>
    <mergeCell ref="A15:R15"/>
    <mergeCell ref="A19:R19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53"/>
  <sheetViews>
    <sheetView topLeftCell="A28" workbookViewId="0">
      <selection activeCell="E44" sqref="E44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18.6640625" style="5" bestFit="1" customWidth="1"/>
    <col min="7" max="9" width="5.33203125" style="6" customWidth="1"/>
    <col min="10" max="10" width="4.6640625" style="6" customWidth="1"/>
    <col min="11" max="11" width="10.5" style="28" bestFit="1" customWidth="1"/>
    <col min="12" max="12" width="8.33203125" style="6" bestFit="1" customWidth="1"/>
    <col min="13" max="13" width="25" style="5" bestFit="1" customWidth="1"/>
    <col min="14" max="16384" width="9.1640625" style="3"/>
  </cols>
  <sheetData>
    <row r="1" spans="1:13" s="2" customFormat="1" ht="29" customHeight="1">
      <c r="A1" s="33" t="s">
        <v>579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8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123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5" t="s">
        <v>57</v>
      </c>
      <c r="B6" s="17" t="s">
        <v>322</v>
      </c>
      <c r="C6" s="17" t="s">
        <v>323</v>
      </c>
      <c r="D6" s="17" t="s">
        <v>265</v>
      </c>
      <c r="E6" s="17" t="s">
        <v>629</v>
      </c>
      <c r="F6" s="17" t="s">
        <v>609</v>
      </c>
      <c r="G6" s="26" t="s">
        <v>113</v>
      </c>
      <c r="H6" s="26" t="s">
        <v>114</v>
      </c>
      <c r="I6" s="27" t="s">
        <v>91</v>
      </c>
      <c r="J6" s="25"/>
      <c r="K6" s="29" t="str">
        <f>"65,0"</f>
        <v>65,0</v>
      </c>
      <c r="L6" s="25" t="str">
        <f>"77,5645"</f>
        <v>77,5645</v>
      </c>
      <c r="M6" s="17" t="s">
        <v>591</v>
      </c>
    </row>
    <row r="7" spans="1:13">
      <c r="B7" s="5" t="s">
        <v>59</v>
      </c>
    </row>
    <row r="8" spans="1:13" ht="16">
      <c r="A8" s="46" t="s">
        <v>118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57</v>
      </c>
      <c r="B9" s="7" t="s">
        <v>324</v>
      </c>
      <c r="C9" s="7" t="s">
        <v>325</v>
      </c>
      <c r="D9" s="7" t="s">
        <v>326</v>
      </c>
      <c r="E9" s="7" t="s">
        <v>629</v>
      </c>
      <c r="F9" s="7" t="s">
        <v>611</v>
      </c>
      <c r="G9" s="20" t="s">
        <v>70</v>
      </c>
      <c r="H9" s="19" t="s">
        <v>77</v>
      </c>
      <c r="I9" s="20" t="s">
        <v>78</v>
      </c>
      <c r="J9" s="8"/>
      <c r="K9" s="30" t="str">
        <f>"135,0"</f>
        <v>135,0</v>
      </c>
      <c r="L9" s="8" t="str">
        <f>"106,6635"</f>
        <v>106,6635</v>
      </c>
      <c r="M9" s="7"/>
    </row>
    <row r="10" spans="1:13">
      <c r="A10" s="12" t="s">
        <v>57</v>
      </c>
      <c r="B10" s="11" t="s">
        <v>327</v>
      </c>
      <c r="C10" s="11" t="s">
        <v>328</v>
      </c>
      <c r="D10" s="11" t="s">
        <v>329</v>
      </c>
      <c r="E10" s="11" t="s">
        <v>633</v>
      </c>
      <c r="F10" s="11" t="s">
        <v>599</v>
      </c>
      <c r="G10" s="23" t="s">
        <v>70</v>
      </c>
      <c r="H10" s="24" t="s">
        <v>64</v>
      </c>
      <c r="I10" s="24" t="s">
        <v>64</v>
      </c>
      <c r="J10" s="12"/>
      <c r="K10" s="31" t="str">
        <f>"130,0"</f>
        <v>130,0</v>
      </c>
      <c r="L10" s="12" t="str">
        <f>"134,7726"</f>
        <v>134,7726</v>
      </c>
      <c r="M10" s="11"/>
    </row>
    <row r="11" spans="1:13">
      <c r="B11" s="5" t="s">
        <v>59</v>
      </c>
    </row>
    <row r="12" spans="1:13" ht="16">
      <c r="A12" s="46" t="s">
        <v>60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8" t="s">
        <v>57</v>
      </c>
      <c r="B13" s="7" t="s">
        <v>330</v>
      </c>
      <c r="C13" s="7" t="s">
        <v>331</v>
      </c>
      <c r="D13" s="7" t="s">
        <v>63</v>
      </c>
      <c r="E13" s="7" t="s">
        <v>629</v>
      </c>
      <c r="F13" s="7" t="s">
        <v>599</v>
      </c>
      <c r="G13" s="19" t="s">
        <v>17</v>
      </c>
      <c r="H13" s="19" t="s">
        <v>153</v>
      </c>
      <c r="I13" s="19" t="s">
        <v>41</v>
      </c>
      <c r="J13" s="8"/>
      <c r="K13" s="30" t="str">
        <f>"180,0"</f>
        <v>180,0</v>
      </c>
      <c r="L13" s="8" t="str">
        <f>"128,2680"</f>
        <v>128,2680</v>
      </c>
      <c r="M13" s="7" t="s">
        <v>332</v>
      </c>
    </row>
    <row r="14" spans="1:13">
      <c r="A14" s="12" t="s">
        <v>226</v>
      </c>
      <c r="B14" s="11" t="s">
        <v>333</v>
      </c>
      <c r="C14" s="11" t="s">
        <v>334</v>
      </c>
      <c r="D14" s="11" t="s">
        <v>335</v>
      </c>
      <c r="E14" s="11" t="s">
        <v>629</v>
      </c>
      <c r="F14" s="11" t="s">
        <v>608</v>
      </c>
      <c r="G14" s="24" t="s">
        <v>251</v>
      </c>
      <c r="H14" s="24" t="s">
        <v>251</v>
      </c>
      <c r="I14" s="24" t="s">
        <v>251</v>
      </c>
      <c r="J14" s="12"/>
      <c r="K14" s="31">
        <v>0</v>
      </c>
      <c r="L14" s="12" t="str">
        <f>"0,0000"</f>
        <v>0,0000</v>
      </c>
      <c r="M14" s="11"/>
    </row>
    <row r="15" spans="1:13">
      <c r="B15" s="5" t="s">
        <v>59</v>
      </c>
    </row>
    <row r="16" spans="1:13" ht="16">
      <c r="A16" s="46" t="s">
        <v>73</v>
      </c>
      <c r="B16" s="46"/>
      <c r="C16" s="47"/>
      <c r="D16" s="47"/>
      <c r="E16" s="47"/>
      <c r="F16" s="47"/>
      <c r="G16" s="47"/>
      <c r="H16" s="47"/>
      <c r="I16" s="47"/>
      <c r="J16" s="47"/>
    </row>
    <row r="17" spans="1:13">
      <c r="A17" s="8" t="s">
        <v>57</v>
      </c>
      <c r="B17" s="7" t="s">
        <v>336</v>
      </c>
      <c r="C17" s="7" t="s">
        <v>337</v>
      </c>
      <c r="D17" s="7" t="s">
        <v>338</v>
      </c>
      <c r="E17" s="7" t="s">
        <v>629</v>
      </c>
      <c r="F17" s="7" t="s">
        <v>596</v>
      </c>
      <c r="G17" s="19" t="s">
        <v>65</v>
      </c>
      <c r="H17" s="20" t="s">
        <v>31</v>
      </c>
      <c r="I17" s="20" t="s">
        <v>31</v>
      </c>
      <c r="J17" s="8"/>
      <c r="K17" s="30" t="str">
        <f>"150,0"</f>
        <v>150,0</v>
      </c>
      <c r="L17" s="8" t="str">
        <f>"101,5350"</f>
        <v>101,5350</v>
      </c>
      <c r="M17" s="7" t="s">
        <v>339</v>
      </c>
    </row>
    <row r="18" spans="1:13">
      <c r="A18" s="12" t="s">
        <v>58</v>
      </c>
      <c r="B18" s="11" t="s">
        <v>340</v>
      </c>
      <c r="C18" s="11" t="s">
        <v>341</v>
      </c>
      <c r="D18" s="11" t="s">
        <v>76</v>
      </c>
      <c r="E18" s="11" t="s">
        <v>629</v>
      </c>
      <c r="F18" s="11" t="s">
        <v>614</v>
      </c>
      <c r="G18" s="23" t="s">
        <v>236</v>
      </c>
      <c r="H18" s="24" t="s">
        <v>78</v>
      </c>
      <c r="I18" s="24" t="s">
        <v>78</v>
      </c>
      <c r="J18" s="12"/>
      <c r="K18" s="31" t="str">
        <f>"137,5"</f>
        <v>137,5</v>
      </c>
      <c r="L18" s="12" t="str">
        <f>"92,1113"</f>
        <v>92,1113</v>
      </c>
      <c r="M18" s="11"/>
    </row>
    <row r="19" spans="1:13">
      <c r="B19" s="5" t="s">
        <v>59</v>
      </c>
    </row>
    <row r="20" spans="1:13" ht="16">
      <c r="A20" s="46" t="s">
        <v>79</v>
      </c>
      <c r="B20" s="46"/>
      <c r="C20" s="47"/>
      <c r="D20" s="47"/>
      <c r="E20" s="47"/>
      <c r="F20" s="47"/>
      <c r="G20" s="47"/>
      <c r="H20" s="47"/>
      <c r="I20" s="47"/>
      <c r="J20" s="47"/>
    </row>
    <row r="21" spans="1:13">
      <c r="A21" s="25" t="s">
        <v>226</v>
      </c>
      <c r="B21" s="17" t="s">
        <v>342</v>
      </c>
      <c r="C21" s="17" t="s">
        <v>343</v>
      </c>
      <c r="D21" s="17" t="s">
        <v>82</v>
      </c>
      <c r="E21" s="17" t="s">
        <v>629</v>
      </c>
      <c r="F21" s="17" t="s">
        <v>598</v>
      </c>
      <c r="G21" s="27" t="s">
        <v>18</v>
      </c>
      <c r="H21" s="25"/>
      <c r="I21" s="25"/>
      <c r="J21" s="25"/>
      <c r="K21" s="29">
        <v>0</v>
      </c>
      <c r="L21" s="25" t="str">
        <f>"0,0000"</f>
        <v>0,0000</v>
      </c>
      <c r="M21" s="17"/>
    </row>
    <row r="22" spans="1:13">
      <c r="B22" s="5" t="s">
        <v>59</v>
      </c>
    </row>
    <row r="23" spans="1:13" ht="16">
      <c r="A23" s="46" t="s">
        <v>182</v>
      </c>
      <c r="B23" s="46"/>
      <c r="C23" s="47"/>
      <c r="D23" s="47"/>
      <c r="E23" s="47"/>
      <c r="F23" s="47"/>
      <c r="G23" s="47"/>
      <c r="H23" s="47"/>
      <c r="I23" s="47"/>
      <c r="J23" s="47"/>
    </row>
    <row r="24" spans="1:13">
      <c r="A24" s="8" t="s">
        <v>57</v>
      </c>
      <c r="B24" s="7" t="s">
        <v>344</v>
      </c>
      <c r="C24" s="7" t="s">
        <v>345</v>
      </c>
      <c r="D24" s="7" t="s">
        <v>346</v>
      </c>
      <c r="E24" s="7" t="s">
        <v>629</v>
      </c>
      <c r="F24" s="7" t="s">
        <v>618</v>
      </c>
      <c r="G24" s="19" t="s">
        <v>19</v>
      </c>
      <c r="H24" s="19" t="s">
        <v>43</v>
      </c>
      <c r="I24" s="20" t="s">
        <v>27</v>
      </c>
      <c r="J24" s="8"/>
      <c r="K24" s="30" t="str">
        <f>"200,0"</f>
        <v>200,0</v>
      </c>
      <c r="L24" s="8" t="str">
        <f>"124,5200"</f>
        <v>124,5200</v>
      </c>
      <c r="M24" s="7" t="s">
        <v>191</v>
      </c>
    </row>
    <row r="25" spans="1:13">
      <c r="A25" s="10" t="s">
        <v>58</v>
      </c>
      <c r="B25" s="9" t="s">
        <v>347</v>
      </c>
      <c r="C25" s="9" t="s">
        <v>348</v>
      </c>
      <c r="D25" s="9" t="s">
        <v>349</v>
      </c>
      <c r="E25" s="9" t="s">
        <v>629</v>
      </c>
      <c r="F25" s="9" t="s">
        <v>619</v>
      </c>
      <c r="G25" s="21" t="s">
        <v>17</v>
      </c>
      <c r="H25" s="21" t="s">
        <v>41</v>
      </c>
      <c r="I25" s="22" t="s">
        <v>42</v>
      </c>
      <c r="J25" s="10"/>
      <c r="K25" s="32" t="str">
        <f>"180,0"</f>
        <v>180,0</v>
      </c>
      <c r="L25" s="10" t="str">
        <f>"110,1240"</f>
        <v>110,1240</v>
      </c>
      <c r="M25" s="9" t="s">
        <v>350</v>
      </c>
    </row>
    <row r="26" spans="1:13">
      <c r="A26" s="10" t="s">
        <v>227</v>
      </c>
      <c r="B26" s="9" t="s">
        <v>187</v>
      </c>
      <c r="C26" s="9" t="s">
        <v>188</v>
      </c>
      <c r="D26" s="9" t="s">
        <v>189</v>
      </c>
      <c r="E26" s="9" t="s">
        <v>629</v>
      </c>
      <c r="F26" s="9" t="s">
        <v>597</v>
      </c>
      <c r="G26" s="21" t="s">
        <v>41</v>
      </c>
      <c r="H26" s="22" t="s">
        <v>18</v>
      </c>
      <c r="I26" s="22" t="s">
        <v>18</v>
      </c>
      <c r="J26" s="10"/>
      <c r="K26" s="32" t="str">
        <f>"180,0"</f>
        <v>180,0</v>
      </c>
      <c r="L26" s="10" t="str">
        <f>"109,9980"</f>
        <v>109,9980</v>
      </c>
      <c r="M26" s="9" t="s">
        <v>191</v>
      </c>
    </row>
    <row r="27" spans="1:13">
      <c r="A27" s="10" t="s">
        <v>228</v>
      </c>
      <c r="B27" s="9" t="s">
        <v>351</v>
      </c>
      <c r="C27" s="9" t="s">
        <v>352</v>
      </c>
      <c r="D27" s="9" t="s">
        <v>353</v>
      </c>
      <c r="E27" s="9" t="s">
        <v>629</v>
      </c>
      <c r="F27" s="9" t="s">
        <v>619</v>
      </c>
      <c r="G27" s="21" t="s">
        <v>30</v>
      </c>
      <c r="H27" s="21" t="s">
        <v>69</v>
      </c>
      <c r="I27" s="21" t="s">
        <v>276</v>
      </c>
      <c r="J27" s="10"/>
      <c r="K27" s="32" t="str">
        <f>"167,5"</f>
        <v>167,5</v>
      </c>
      <c r="L27" s="10" t="str">
        <f>"102,3090"</f>
        <v>102,3090</v>
      </c>
      <c r="M27" s="9" t="s">
        <v>592</v>
      </c>
    </row>
    <row r="28" spans="1:13">
      <c r="A28" s="12" t="s">
        <v>229</v>
      </c>
      <c r="B28" s="11" t="s">
        <v>354</v>
      </c>
      <c r="C28" s="11" t="s">
        <v>355</v>
      </c>
      <c r="D28" s="11" t="s">
        <v>356</v>
      </c>
      <c r="E28" s="11" t="s">
        <v>629</v>
      </c>
      <c r="F28" s="11" t="s">
        <v>614</v>
      </c>
      <c r="G28" s="23" t="s">
        <v>71</v>
      </c>
      <c r="H28" s="24" t="s">
        <v>236</v>
      </c>
      <c r="I28" s="24" t="s">
        <v>236</v>
      </c>
      <c r="J28" s="12"/>
      <c r="K28" s="31" t="str">
        <f>"132,5"</f>
        <v>132,5</v>
      </c>
      <c r="L28" s="12" t="str">
        <f>"80,7323"</f>
        <v>80,7323</v>
      </c>
      <c r="M28" s="11" t="s">
        <v>546</v>
      </c>
    </row>
    <row r="29" spans="1:13">
      <c r="B29" s="5" t="s">
        <v>59</v>
      </c>
    </row>
    <row r="30" spans="1:13" ht="16">
      <c r="A30" s="46" t="s">
        <v>10</v>
      </c>
      <c r="B30" s="46"/>
      <c r="C30" s="47"/>
      <c r="D30" s="47"/>
      <c r="E30" s="47"/>
      <c r="F30" s="47"/>
      <c r="G30" s="47"/>
      <c r="H30" s="47"/>
      <c r="I30" s="47"/>
      <c r="J30" s="47"/>
    </row>
    <row r="31" spans="1:13">
      <c r="A31" s="8" t="s">
        <v>57</v>
      </c>
      <c r="B31" s="7" t="s">
        <v>357</v>
      </c>
      <c r="C31" s="7" t="s">
        <v>358</v>
      </c>
      <c r="D31" s="7" t="s">
        <v>359</v>
      </c>
      <c r="E31" s="7" t="s">
        <v>629</v>
      </c>
      <c r="F31" s="7" t="s">
        <v>611</v>
      </c>
      <c r="G31" s="19" t="s">
        <v>83</v>
      </c>
      <c r="H31" s="19" t="s">
        <v>163</v>
      </c>
      <c r="I31" s="20" t="s">
        <v>360</v>
      </c>
      <c r="J31" s="8"/>
      <c r="K31" s="30" t="str">
        <f>"250,0"</f>
        <v>250,0</v>
      </c>
      <c r="L31" s="8" t="str">
        <f>"147,3750"</f>
        <v>147,3750</v>
      </c>
      <c r="M31" s="7"/>
    </row>
    <row r="32" spans="1:13">
      <c r="A32" s="10" t="s">
        <v>58</v>
      </c>
      <c r="B32" s="9" t="s">
        <v>202</v>
      </c>
      <c r="C32" s="9" t="s">
        <v>203</v>
      </c>
      <c r="D32" s="9" t="s">
        <v>204</v>
      </c>
      <c r="E32" s="9" t="s">
        <v>629</v>
      </c>
      <c r="F32" s="9" t="s">
        <v>609</v>
      </c>
      <c r="G32" s="21" t="s">
        <v>195</v>
      </c>
      <c r="H32" s="21" t="s">
        <v>205</v>
      </c>
      <c r="I32" s="22" t="s">
        <v>27</v>
      </c>
      <c r="J32" s="10"/>
      <c r="K32" s="32" t="str">
        <f>"207,5"</f>
        <v>207,5</v>
      </c>
      <c r="L32" s="10" t="str">
        <f>"123,2757"</f>
        <v>123,2757</v>
      </c>
      <c r="M32" s="9" t="s">
        <v>206</v>
      </c>
    </row>
    <row r="33" spans="1:13">
      <c r="A33" s="10" t="s">
        <v>227</v>
      </c>
      <c r="B33" s="9" t="s">
        <v>361</v>
      </c>
      <c r="C33" s="9" t="s">
        <v>362</v>
      </c>
      <c r="D33" s="9" t="s">
        <v>363</v>
      </c>
      <c r="E33" s="9" t="s">
        <v>629</v>
      </c>
      <c r="F33" s="9" t="s">
        <v>603</v>
      </c>
      <c r="G33" s="22" t="s">
        <v>42</v>
      </c>
      <c r="H33" s="21" t="s">
        <v>42</v>
      </c>
      <c r="I33" s="21" t="s">
        <v>43</v>
      </c>
      <c r="J33" s="10"/>
      <c r="K33" s="32" t="str">
        <f>"200,0"</f>
        <v>200,0</v>
      </c>
      <c r="L33" s="10" t="str">
        <f>"118,8600"</f>
        <v>118,8600</v>
      </c>
      <c r="M33" s="9" t="s">
        <v>154</v>
      </c>
    </row>
    <row r="34" spans="1:13">
      <c r="A34" s="10" t="s">
        <v>228</v>
      </c>
      <c r="B34" s="9" t="s">
        <v>364</v>
      </c>
      <c r="C34" s="9" t="s">
        <v>365</v>
      </c>
      <c r="D34" s="9" t="s">
        <v>366</v>
      </c>
      <c r="E34" s="9" t="s">
        <v>629</v>
      </c>
      <c r="F34" s="9" t="s">
        <v>619</v>
      </c>
      <c r="G34" s="21" t="s">
        <v>276</v>
      </c>
      <c r="H34" s="21" t="s">
        <v>162</v>
      </c>
      <c r="I34" s="21" t="s">
        <v>367</v>
      </c>
      <c r="J34" s="10"/>
      <c r="K34" s="32" t="str">
        <f>"177,5"</f>
        <v>177,5</v>
      </c>
      <c r="L34" s="10" t="str">
        <f>"105,0622"</f>
        <v>105,0622</v>
      </c>
      <c r="M34" s="9" t="s">
        <v>368</v>
      </c>
    </row>
    <row r="35" spans="1:13">
      <c r="A35" s="10" t="s">
        <v>57</v>
      </c>
      <c r="B35" s="9" t="s">
        <v>24</v>
      </c>
      <c r="C35" s="9" t="s">
        <v>34</v>
      </c>
      <c r="D35" s="9" t="s">
        <v>26</v>
      </c>
      <c r="E35" s="9" t="s">
        <v>632</v>
      </c>
      <c r="F35" s="9" t="s">
        <v>598</v>
      </c>
      <c r="G35" s="21" t="s">
        <v>30</v>
      </c>
      <c r="H35" s="21" t="s">
        <v>31</v>
      </c>
      <c r="I35" s="21" t="s">
        <v>17</v>
      </c>
      <c r="J35" s="10"/>
      <c r="K35" s="32" t="str">
        <f>"170,0"</f>
        <v>170,0</v>
      </c>
      <c r="L35" s="10" t="str">
        <f>"107,8485"</f>
        <v>107,8485</v>
      </c>
      <c r="M35" s="9"/>
    </row>
    <row r="36" spans="1:13">
      <c r="A36" s="12" t="s">
        <v>57</v>
      </c>
      <c r="B36" s="11" t="s">
        <v>369</v>
      </c>
      <c r="C36" s="11" t="s">
        <v>370</v>
      </c>
      <c r="D36" s="11" t="s">
        <v>371</v>
      </c>
      <c r="E36" s="11" t="s">
        <v>633</v>
      </c>
      <c r="F36" s="11" t="s">
        <v>597</v>
      </c>
      <c r="G36" s="23" t="s">
        <v>103</v>
      </c>
      <c r="H36" s="24" t="s">
        <v>116</v>
      </c>
      <c r="I36" s="24" t="s">
        <v>116</v>
      </c>
      <c r="J36" s="12"/>
      <c r="K36" s="31" t="str">
        <f>"120,0"</f>
        <v>120,0</v>
      </c>
      <c r="L36" s="12" t="str">
        <f>"83,3382"</f>
        <v>83,3382</v>
      </c>
      <c r="M36" s="11" t="s">
        <v>97</v>
      </c>
    </row>
    <row r="37" spans="1:13">
      <c r="B37" s="5" t="s">
        <v>59</v>
      </c>
    </row>
    <row r="38" spans="1:13" ht="16">
      <c r="A38" s="46" t="s">
        <v>35</v>
      </c>
      <c r="B38" s="46"/>
      <c r="C38" s="47"/>
      <c r="D38" s="47"/>
      <c r="E38" s="47"/>
      <c r="F38" s="47"/>
      <c r="G38" s="47"/>
      <c r="H38" s="47"/>
      <c r="I38" s="47"/>
      <c r="J38" s="47"/>
    </row>
    <row r="39" spans="1:13">
      <c r="A39" s="25" t="s">
        <v>57</v>
      </c>
      <c r="B39" s="17" t="s">
        <v>372</v>
      </c>
      <c r="C39" s="17" t="s">
        <v>373</v>
      </c>
      <c r="D39" s="17" t="s">
        <v>374</v>
      </c>
      <c r="E39" s="17" t="s">
        <v>629</v>
      </c>
      <c r="F39" s="17" t="s">
        <v>619</v>
      </c>
      <c r="G39" s="26" t="s">
        <v>145</v>
      </c>
      <c r="H39" s="26" t="s">
        <v>39</v>
      </c>
      <c r="I39" s="27" t="s">
        <v>44</v>
      </c>
      <c r="J39" s="25"/>
      <c r="K39" s="29" t="str">
        <f>"270,0"</f>
        <v>270,0</v>
      </c>
      <c r="L39" s="25" t="str">
        <f>"157,8690"</f>
        <v>157,8690</v>
      </c>
      <c r="M39" s="17"/>
    </row>
    <row r="40" spans="1:13">
      <c r="B40" s="5" t="s">
        <v>59</v>
      </c>
    </row>
    <row r="41" spans="1:13" ht="16">
      <c r="A41" s="46" t="s">
        <v>375</v>
      </c>
      <c r="B41" s="46"/>
      <c r="C41" s="47"/>
      <c r="D41" s="47"/>
      <c r="E41" s="47"/>
      <c r="F41" s="47"/>
      <c r="G41" s="47"/>
      <c r="H41" s="47"/>
      <c r="I41" s="47"/>
      <c r="J41" s="47"/>
    </row>
    <row r="42" spans="1:13">
      <c r="A42" s="8" t="s">
        <v>57</v>
      </c>
      <c r="B42" s="7" t="s">
        <v>376</v>
      </c>
      <c r="C42" s="7" t="s">
        <v>377</v>
      </c>
      <c r="D42" s="7" t="s">
        <v>378</v>
      </c>
      <c r="E42" s="7" t="s">
        <v>629</v>
      </c>
      <c r="F42" s="7" t="s">
        <v>620</v>
      </c>
      <c r="G42" s="19" t="s">
        <v>159</v>
      </c>
      <c r="H42" s="19" t="s">
        <v>32</v>
      </c>
      <c r="I42" s="19" t="s">
        <v>28</v>
      </c>
      <c r="J42" s="8"/>
      <c r="K42" s="30" t="str">
        <f>"225,0"</f>
        <v>225,0</v>
      </c>
      <c r="L42" s="8" t="str">
        <f>"126,6075"</f>
        <v>126,6075</v>
      </c>
      <c r="M42" s="7" t="s">
        <v>379</v>
      </c>
    </row>
    <row r="43" spans="1:13">
      <c r="A43" s="12" t="s">
        <v>58</v>
      </c>
      <c r="B43" s="11" t="s">
        <v>380</v>
      </c>
      <c r="C43" s="11" t="s">
        <v>381</v>
      </c>
      <c r="D43" s="11" t="s">
        <v>382</v>
      </c>
      <c r="E43" s="11" t="s">
        <v>629</v>
      </c>
      <c r="F43" s="11" t="s">
        <v>616</v>
      </c>
      <c r="G43" s="24" t="s">
        <v>27</v>
      </c>
      <c r="H43" s="23" t="s">
        <v>159</v>
      </c>
      <c r="I43" s="12"/>
      <c r="J43" s="12"/>
      <c r="K43" s="31" t="str">
        <f>"215,0"</f>
        <v>215,0</v>
      </c>
      <c r="L43" s="12" t="str">
        <f>"120,1420"</f>
        <v>120,1420</v>
      </c>
      <c r="M43" s="11" t="s">
        <v>191</v>
      </c>
    </row>
    <row r="44" spans="1:13">
      <c r="B44" s="5" t="s">
        <v>59</v>
      </c>
    </row>
    <row r="45" spans="1:13">
      <c r="B45" s="5" t="s">
        <v>59</v>
      </c>
    </row>
    <row r="46" spans="1:13">
      <c r="B46" s="5" t="s">
        <v>59</v>
      </c>
    </row>
    <row r="47" spans="1:13" ht="18">
      <c r="B47" s="13" t="s">
        <v>47</v>
      </c>
      <c r="C47" s="13"/>
      <c r="F47" s="3"/>
    </row>
    <row r="48" spans="1:13" ht="16">
      <c r="B48" s="14" t="s">
        <v>48</v>
      </c>
      <c r="C48" s="14"/>
      <c r="F48" s="3"/>
    </row>
    <row r="49" spans="2:6" ht="14">
      <c r="B49" s="15"/>
      <c r="C49" s="16" t="s">
        <v>49</v>
      </c>
      <c r="F49" s="3"/>
    </row>
    <row r="50" spans="2:6" ht="14">
      <c r="B50" s="18" t="s">
        <v>50</v>
      </c>
      <c r="C50" s="18" t="s">
        <v>51</v>
      </c>
      <c r="D50" s="18" t="s">
        <v>590</v>
      </c>
      <c r="E50" s="18" t="s">
        <v>319</v>
      </c>
      <c r="F50" s="18" t="s">
        <v>54</v>
      </c>
    </row>
    <row r="51" spans="2:6">
      <c r="B51" s="5" t="s">
        <v>372</v>
      </c>
      <c r="C51" s="5" t="s">
        <v>49</v>
      </c>
      <c r="D51" s="6" t="s">
        <v>55</v>
      </c>
      <c r="E51" s="6" t="s">
        <v>39</v>
      </c>
      <c r="F51" s="6" t="s">
        <v>383</v>
      </c>
    </row>
    <row r="52" spans="2:6">
      <c r="B52" s="5" t="s">
        <v>357</v>
      </c>
      <c r="C52" s="5" t="s">
        <v>49</v>
      </c>
      <c r="D52" s="6" t="s">
        <v>56</v>
      </c>
      <c r="E52" s="6" t="s">
        <v>163</v>
      </c>
      <c r="F52" s="6" t="s">
        <v>384</v>
      </c>
    </row>
    <row r="53" spans="2:6">
      <c r="B53" s="5" t="s">
        <v>330</v>
      </c>
      <c r="C53" s="5" t="s">
        <v>49</v>
      </c>
      <c r="D53" s="6" t="s">
        <v>85</v>
      </c>
      <c r="E53" s="6" t="s">
        <v>41</v>
      </c>
      <c r="F53" s="6" t="s">
        <v>385</v>
      </c>
    </row>
  </sheetData>
  <mergeCells count="20">
    <mergeCell ref="A38:J38"/>
    <mergeCell ref="A41:J41"/>
    <mergeCell ref="B3:B4"/>
    <mergeCell ref="A8:J8"/>
    <mergeCell ref="A12:J12"/>
    <mergeCell ref="A16:J16"/>
    <mergeCell ref="A20:J20"/>
    <mergeCell ref="A23:J23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1.1640625" style="5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33" t="s">
        <v>577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57</v>
      </c>
      <c r="B6" s="7" t="s">
        <v>24</v>
      </c>
      <c r="C6" s="7" t="s">
        <v>25</v>
      </c>
      <c r="D6" s="7" t="s">
        <v>26</v>
      </c>
      <c r="E6" s="7" t="s">
        <v>629</v>
      </c>
      <c r="F6" s="7" t="s">
        <v>598</v>
      </c>
      <c r="G6" s="19" t="s">
        <v>43</v>
      </c>
      <c r="H6" s="19" t="s">
        <v>32</v>
      </c>
      <c r="I6" s="20" t="s">
        <v>83</v>
      </c>
      <c r="J6" s="8"/>
      <c r="K6" s="8" t="str">
        <f>"220,0"</f>
        <v>220,0</v>
      </c>
      <c r="L6" s="8" t="str">
        <f>"123,7500"</f>
        <v>123,7500</v>
      </c>
      <c r="M6" s="7"/>
    </row>
    <row r="7" spans="1:13">
      <c r="A7" s="12" t="s">
        <v>57</v>
      </c>
      <c r="B7" s="11" t="s">
        <v>24</v>
      </c>
      <c r="C7" s="11" t="s">
        <v>34</v>
      </c>
      <c r="D7" s="11" t="s">
        <v>26</v>
      </c>
      <c r="E7" s="11" t="s">
        <v>632</v>
      </c>
      <c r="F7" s="11" t="s">
        <v>598</v>
      </c>
      <c r="G7" s="23" t="s">
        <v>43</v>
      </c>
      <c r="H7" s="23" t="s">
        <v>32</v>
      </c>
      <c r="I7" s="24" t="s">
        <v>83</v>
      </c>
      <c r="J7" s="12"/>
      <c r="K7" s="12" t="str">
        <f>"220,0"</f>
        <v>220,0</v>
      </c>
      <c r="L7" s="12" t="str">
        <f>"132,1650"</f>
        <v>132,1650</v>
      </c>
      <c r="M7" s="11"/>
    </row>
    <row r="8" spans="1:13">
      <c r="B8" s="5" t="s">
        <v>59</v>
      </c>
    </row>
    <row r="9" spans="1:13">
      <c r="B9" s="5" t="s">
        <v>59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6.6640625" style="5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2.6640625" style="5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23.33203125" style="5" customWidth="1"/>
    <col min="14" max="16384" width="9.1640625" style="3"/>
  </cols>
  <sheetData>
    <row r="1" spans="1:13" s="2" customFormat="1" ht="29" customHeight="1">
      <c r="A1" s="33" t="s">
        <v>580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57</v>
      </c>
      <c r="B6" s="7" t="s">
        <v>24</v>
      </c>
      <c r="C6" s="7" t="s">
        <v>25</v>
      </c>
      <c r="D6" s="7" t="s">
        <v>26</v>
      </c>
      <c r="E6" s="7" t="s">
        <v>629</v>
      </c>
      <c r="F6" s="7" t="s">
        <v>598</v>
      </c>
      <c r="G6" s="19" t="s">
        <v>43</v>
      </c>
      <c r="H6" s="19" t="s">
        <v>32</v>
      </c>
      <c r="I6" s="20" t="s">
        <v>83</v>
      </c>
      <c r="J6" s="8"/>
      <c r="K6" s="8" t="str">
        <f>"220,0"</f>
        <v>220,0</v>
      </c>
      <c r="L6" s="8" t="str">
        <f>"123,7500"</f>
        <v>123,7500</v>
      </c>
      <c r="M6" s="7"/>
    </row>
    <row r="7" spans="1:13">
      <c r="A7" s="10" t="s">
        <v>57</v>
      </c>
      <c r="B7" s="9" t="s">
        <v>317</v>
      </c>
      <c r="C7" s="9" t="s">
        <v>318</v>
      </c>
      <c r="D7" s="9" t="s">
        <v>26</v>
      </c>
      <c r="E7" s="9" t="s">
        <v>632</v>
      </c>
      <c r="F7" s="9" t="s">
        <v>597</v>
      </c>
      <c r="G7" s="21" t="s">
        <v>145</v>
      </c>
      <c r="H7" s="22" t="s">
        <v>39</v>
      </c>
      <c r="I7" s="21" t="s">
        <v>44</v>
      </c>
      <c r="J7" s="10"/>
      <c r="K7" s="10" t="str">
        <f>"280,0"</f>
        <v>280,0</v>
      </c>
      <c r="L7" s="10" t="str">
        <f>"159,0750"</f>
        <v>159,0750</v>
      </c>
      <c r="M7" s="9"/>
    </row>
    <row r="8" spans="1:13">
      <c r="A8" s="12" t="s">
        <v>58</v>
      </c>
      <c r="B8" s="11" t="s">
        <v>24</v>
      </c>
      <c r="C8" s="11" t="s">
        <v>34</v>
      </c>
      <c r="D8" s="11" t="s">
        <v>26</v>
      </c>
      <c r="E8" s="11" t="s">
        <v>632</v>
      </c>
      <c r="F8" s="11" t="s">
        <v>598</v>
      </c>
      <c r="G8" s="23" t="s">
        <v>43</v>
      </c>
      <c r="H8" s="23" t="s">
        <v>32</v>
      </c>
      <c r="I8" s="24" t="s">
        <v>83</v>
      </c>
      <c r="J8" s="12"/>
      <c r="K8" s="12" t="str">
        <f>"220,0"</f>
        <v>220,0</v>
      </c>
      <c r="L8" s="12" t="str">
        <f>"132,1650"</f>
        <v>132,1650</v>
      </c>
      <c r="M8" s="11"/>
    </row>
    <row r="9" spans="1:13">
      <c r="B9" s="5" t="s">
        <v>59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1.5" style="5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33" t="s">
        <v>575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57</v>
      </c>
      <c r="B6" s="7" t="s">
        <v>24</v>
      </c>
      <c r="C6" s="7" t="s">
        <v>25</v>
      </c>
      <c r="D6" s="7" t="s">
        <v>26</v>
      </c>
      <c r="E6" s="7" t="s">
        <v>629</v>
      </c>
      <c r="F6" s="7" t="s">
        <v>598</v>
      </c>
      <c r="G6" s="19" t="s">
        <v>163</v>
      </c>
      <c r="H6" s="19" t="s">
        <v>39</v>
      </c>
      <c r="I6" s="19" t="s">
        <v>40</v>
      </c>
      <c r="J6" s="8"/>
      <c r="K6" s="8" t="str">
        <f>"300,0"</f>
        <v>300,0</v>
      </c>
      <c r="L6" s="8" t="str">
        <f>"168,7500"</f>
        <v>168,7500</v>
      </c>
      <c r="M6" s="7"/>
    </row>
    <row r="7" spans="1:13">
      <c r="A7" s="12" t="s">
        <v>57</v>
      </c>
      <c r="B7" s="11" t="s">
        <v>24</v>
      </c>
      <c r="C7" s="11" t="s">
        <v>34</v>
      </c>
      <c r="D7" s="11" t="s">
        <v>26</v>
      </c>
      <c r="E7" s="11" t="s">
        <v>632</v>
      </c>
      <c r="F7" s="11" t="s">
        <v>598</v>
      </c>
      <c r="G7" s="23" t="s">
        <v>163</v>
      </c>
      <c r="H7" s="23" t="s">
        <v>39</v>
      </c>
      <c r="I7" s="23" t="s">
        <v>40</v>
      </c>
      <c r="J7" s="12"/>
      <c r="K7" s="12" t="str">
        <f>"300,0"</f>
        <v>300,0</v>
      </c>
      <c r="L7" s="12" t="str">
        <f>"180,2250"</f>
        <v>180,2250</v>
      </c>
      <c r="M7" s="11"/>
    </row>
    <row r="8" spans="1:13">
      <c r="B8" s="5" t="s">
        <v>59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2.1640625" style="5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3" t="s">
        <v>576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57</v>
      </c>
      <c r="B6" s="7" t="s">
        <v>24</v>
      </c>
      <c r="C6" s="7" t="s">
        <v>25</v>
      </c>
      <c r="D6" s="7" t="s">
        <v>26</v>
      </c>
      <c r="E6" s="7" t="s">
        <v>629</v>
      </c>
      <c r="F6" s="7" t="s">
        <v>598</v>
      </c>
      <c r="G6" s="19" t="s">
        <v>163</v>
      </c>
      <c r="H6" s="19" t="s">
        <v>39</v>
      </c>
      <c r="I6" s="19" t="s">
        <v>40</v>
      </c>
      <c r="J6" s="8"/>
      <c r="K6" s="8" t="str">
        <f>"300,0"</f>
        <v>300,0</v>
      </c>
      <c r="L6" s="8" t="str">
        <f>"168,7500"</f>
        <v>168,7500</v>
      </c>
      <c r="M6" s="7"/>
    </row>
    <row r="7" spans="1:13">
      <c r="A7" s="12" t="s">
        <v>57</v>
      </c>
      <c r="B7" s="11" t="s">
        <v>24</v>
      </c>
      <c r="C7" s="11" t="s">
        <v>34</v>
      </c>
      <c r="D7" s="11" t="s">
        <v>26</v>
      </c>
      <c r="E7" s="11" t="s">
        <v>632</v>
      </c>
      <c r="F7" s="11" t="s">
        <v>598</v>
      </c>
      <c r="G7" s="23" t="s">
        <v>163</v>
      </c>
      <c r="H7" s="23" t="s">
        <v>39</v>
      </c>
      <c r="I7" s="23" t="s">
        <v>40</v>
      </c>
      <c r="J7" s="12"/>
      <c r="K7" s="12" t="str">
        <f>"300,0"</f>
        <v>300,0</v>
      </c>
      <c r="L7" s="12" t="str">
        <f>"180,2250"</f>
        <v>180,2250</v>
      </c>
      <c r="M7" s="11"/>
    </row>
    <row r="8" spans="1:13">
      <c r="B8" s="5" t="s">
        <v>59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68"/>
  <sheetViews>
    <sheetView topLeftCell="A20" workbookViewId="0">
      <selection activeCell="E59" sqref="E59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3.1640625" style="5" bestFit="1" customWidth="1"/>
    <col min="7" max="10" width="5.33203125" style="6" customWidth="1"/>
    <col min="11" max="11" width="10.5" style="6" bestFit="1" customWidth="1"/>
    <col min="12" max="12" width="8.3320312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3" t="s">
        <v>573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9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230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5" t="s">
        <v>57</v>
      </c>
      <c r="B6" s="17" t="s">
        <v>231</v>
      </c>
      <c r="C6" s="17" t="s">
        <v>232</v>
      </c>
      <c r="D6" s="17" t="s">
        <v>233</v>
      </c>
      <c r="E6" s="17" t="s">
        <v>629</v>
      </c>
      <c r="F6" s="17" t="s">
        <v>594</v>
      </c>
      <c r="G6" s="26" t="s">
        <v>71</v>
      </c>
      <c r="H6" s="26" t="s">
        <v>236</v>
      </c>
      <c r="I6" s="27" t="s">
        <v>64</v>
      </c>
      <c r="J6" s="25"/>
      <c r="K6" s="25" t="str">
        <f>"137,5"</f>
        <v>137,5</v>
      </c>
      <c r="L6" s="25" t="str">
        <f>"186,0650"</f>
        <v>186,0650</v>
      </c>
      <c r="M6" s="17" t="s">
        <v>191</v>
      </c>
    </row>
    <row r="7" spans="1:13">
      <c r="B7" s="5" t="s">
        <v>59</v>
      </c>
    </row>
    <row r="8" spans="1:13" ht="16">
      <c r="A8" s="46" t="s">
        <v>87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5" t="s">
        <v>57</v>
      </c>
      <c r="B9" s="17" t="s">
        <v>239</v>
      </c>
      <c r="C9" s="17" t="s">
        <v>240</v>
      </c>
      <c r="D9" s="17" t="s">
        <v>241</v>
      </c>
      <c r="E9" s="17" t="s">
        <v>629</v>
      </c>
      <c r="F9" s="17" t="s">
        <v>596</v>
      </c>
      <c r="G9" s="26" t="s">
        <v>275</v>
      </c>
      <c r="H9" s="26" t="s">
        <v>95</v>
      </c>
      <c r="I9" s="26" t="s">
        <v>492</v>
      </c>
      <c r="J9" s="25"/>
      <c r="K9" s="25" t="str">
        <f>"105,0"</f>
        <v>105,0</v>
      </c>
      <c r="L9" s="25" t="str">
        <f>"134,0745"</f>
        <v>134,0745</v>
      </c>
      <c r="M9" s="17" t="s">
        <v>242</v>
      </c>
    </row>
    <row r="10" spans="1:13">
      <c r="B10" s="5" t="s">
        <v>59</v>
      </c>
    </row>
    <row r="11" spans="1:13" ht="16">
      <c r="A11" s="46" t="s">
        <v>118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57</v>
      </c>
      <c r="B12" s="7" t="s">
        <v>253</v>
      </c>
      <c r="C12" s="7" t="s">
        <v>258</v>
      </c>
      <c r="D12" s="7" t="s">
        <v>255</v>
      </c>
      <c r="E12" s="7" t="s">
        <v>629</v>
      </c>
      <c r="F12" s="7" t="s">
        <v>599</v>
      </c>
      <c r="G12" s="19" t="s">
        <v>64</v>
      </c>
      <c r="H12" s="20" t="s">
        <v>64</v>
      </c>
      <c r="I12" s="19" t="s">
        <v>64</v>
      </c>
      <c r="J12" s="20" t="s">
        <v>78</v>
      </c>
      <c r="K12" s="8" t="str">
        <f>"140,0"</f>
        <v>140,0</v>
      </c>
      <c r="L12" s="8" t="str">
        <f>"143,9620"</f>
        <v>143,9620</v>
      </c>
      <c r="M12" s="7" t="s">
        <v>257</v>
      </c>
    </row>
    <row r="13" spans="1:13">
      <c r="A13" s="12" t="s">
        <v>58</v>
      </c>
      <c r="B13" s="11" t="s">
        <v>391</v>
      </c>
      <c r="C13" s="11" t="s">
        <v>392</v>
      </c>
      <c r="D13" s="11" t="s">
        <v>393</v>
      </c>
      <c r="E13" s="11" t="s">
        <v>629</v>
      </c>
      <c r="F13" s="11" t="s">
        <v>612</v>
      </c>
      <c r="G13" s="23" t="s">
        <v>256</v>
      </c>
      <c r="H13" s="24" t="s">
        <v>64</v>
      </c>
      <c r="I13" s="24" t="s">
        <v>64</v>
      </c>
      <c r="J13" s="12"/>
      <c r="K13" s="12" t="str">
        <f>"122,5"</f>
        <v>122,5</v>
      </c>
      <c r="L13" s="12" t="str">
        <f>"125,0235"</f>
        <v>125,0235</v>
      </c>
      <c r="M13" s="11"/>
    </row>
    <row r="14" spans="1:13">
      <c r="B14" s="5" t="s">
        <v>59</v>
      </c>
    </row>
    <row r="15" spans="1:13" ht="16">
      <c r="A15" s="46" t="s">
        <v>87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25" t="s">
        <v>57</v>
      </c>
      <c r="B16" s="17" t="s">
        <v>493</v>
      </c>
      <c r="C16" s="17" t="s">
        <v>494</v>
      </c>
      <c r="D16" s="17" t="s">
        <v>495</v>
      </c>
      <c r="E16" s="17" t="s">
        <v>634</v>
      </c>
      <c r="F16" s="17" t="s">
        <v>599</v>
      </c>
      <c r="G16" s="26" t="s">
        <v>271</v>
      </c>
      <c r="H16" s="26" t="s">
        <v>251</v>
      </c>
      <c r="I16" s="27" t="s">
        <v>246</v>
      </c>
      <c r="J16" s="25"/>
      <c r="K16" s="25" t="str">
        <f>"100,0"</f>
        <v>100,0</v>
      </c>
      <c r="L16" s="25" t="str">
        <f>"104,8400"</f>
        <v>104,8400</v>
      </c>
      <c r="M16" s="17" t="s">
        <v>257</v>
      </c>
    </row>
    <row r="17" spans="1:13">
      <c r="B17" s="5" t="s">
        <v>59</v>
      </c>
    </row>
    <row r="18" spans="1:13" ht="16">
      <c r="A18" s="46" t="s">
        <v>123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25" t="s">
        <v>57</v>
      </c>
      <c r="B19" s="17" t="s">
        <v>496</v>
      </c>
      <c r="C19" s="17" t="s">
        <v>497</v>
      </c>
      <c r="D19" s="17" t="s">
        <v>498</v>
      </c>
      <c r="E19" s="17" t="s">
        <v>634</v>
      </c>
      <c r="F19" s="17" t="s">
        <v>616</v>
      </c>
      <c r="G19" s="26" t="s">
        <v>128</v>
      </c>
      <c r="H19" s="27" t="s">
        <v>270</v>
      </c>
      <c r="I19" s="26" t="s">
        <v>271</v>
      </c>
      <c r="J19" s="25"/>
      <c r="K19" s="25" t="str">
        <f>"92,5"</f>
        <v>92,5</v>
      </c>
      <c r="L19" s="25" t="str">
        <f>"87,4772"</f>
        <v>87,4772</v>
      </c>
      <c r="M19" s="17" t="s">
        <v>421</v>
      </c>
    </row>
    <row r="20" spans="1:13">
      <c r="B20" s="5" t="s">
        <v>59</v>
      </c>
    </row>
    <row r="21" spans="1:13" ht="16">
      <c r="A21" s="46" t="s">
        <v>118</v>
      </c>
      <c r="B21" s="46"/>
      <c r="C21" s="47"/>
      <c r="D21" s="47"/>
      <c r="E21" s="47"/>
      <c r="F21" s="47"/>
      <c r="G21" s="47"/>
      <c r="H21" s="47"/>
      <c r="I21" s="47"/>
      <c r="J21" s="47"/>
    </row>
    <row r="22" spans="1:13">
      <c r="A22" s="8" t="s">
        <v>57</v>
      </c>
      <c r="B22" s="7" t="s">
        <v>499</v>
      </c>
      <c r="C22" s="7" t="s">
        <v>500</v>
      </c>
      <c r="D22" s="7" t="s">
        <v>501</v>
      </c>
      <c r="E22" s="7" t="s">
        <v>634</v>
      </c>
      <c r="F22" s="7" t="s">
        <v>616</v>
      </c>
      <c r="G22" s="19" t="s">
        <v>65</v>
      </c>
      <c r="H22" s="19" t="s">
        <v>69</v>
      </c>
      <c r="I22" s="19" t="s">
        <v>17</v>
      </c>
      <c r="J22" s="8"/>
      <c r="K22" s="8" t="str">
        <f>"170,0"</f>
        <v>170,0</v>
      </c>
      <c r="L22" s="8" t="str">
        <f>"131,3930"</f>
        <v>131,3930</v>
      </c>
      <c r="M22" s="7" t="s">
        <v>417</v>
      </c>
    </row>
    <row r="23" spans="1:13">
      <c r="A23" s="10" t="s">
        <v>57</v>
      </c>
      <c r="B23" s="9" t="s">
        <v>277</v>
      </c>
      <c r="C23" s="9" t="s">
        <v>278</v>
      </c>
      <c r="D23" s="9" t="s">
        <v>279</v>
      </c>
      <c r="E23" s="9" t="s">
        <v>635</v>
      </c>
      <c r="F23" s="9" t="s">
        <v>602</v>
      </c>
      <c r="G23" s="21" t="s">
        <v>65</v>
      </c>
      <c r="H23" s="21" t="s">
        <v>69</v>
      </c>
      <c r="I23" s="21" t="s">
        <v>17</v>
      </c>
      <c r="J23" s="10"/>
      <c r="K23" s="10" t="str">
        <f>"170,0"</f>
        <v>170,0</v>
      </c>
      <c r="L23" s="10" t="str">
        <f>"131,8520"</f>
        <v>131,8520</v>
      </c>
      <c r="M23" s="9" t="s">
        <v>280</v>
      </c>
    </row>
    <row r="24" spans="1:13">
      <c r="A24" s="12" t="s">
        <v>57</v>
      </c>
      <c r="B24" s="11" t="s">
        <v>281</v>
      </c>
      <c r="C24" s="11" t="s">
        <v>282</v>
      </c>
      <c r="D24" s="11" t="s">
        <v>283</v>
      </c>
      <c r="E24" s="11" t="s">
        <v>629</v>
      </c>
      <c r="F24" s="11" t="s">
        <v>603</v>
      </c>
      <c r="G24" s="23" t="s">
        <v>64</v>
      </c>
      <c r="H24" s="23" t="s">
        <v>285</v>
      </c>
      <c r="I24" s="23" t="s">
        <v>30</v>
      </c>
      <c r="J24" s="12"/>
      <c r="K24" s="12" t="str">
        <f>"155,0"</f>
        <v>155,0</v>
      </c>
      <c r="L24" s="12" t="str">
        <f>"123,2560"</f>
        <v>123,2560</v>
      </c>
      <c r="M24" s="11" t="s">
        <v>286</v>
      </c>
    </row>
    <row r="25" spans="1:13">
      <c r="B25" s="5" t="s">
        <v>59</v>
      </c>
    </row>
    <row r="26" spans="1:13" ht="16">
      <c r="A26" s="46" t="s">
        <v>60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8" t="s">
        <v>57</v>
      </c>
      <c r="B27" s="7" t="s">
        <v>502</v>
      </c>
      <c r="C27" s="7" t="s">
        <v>503</v>
      </c>
      <c r="D27" s="7" t="s">
        <v>504</v>
      </c>
      <c r="E27" s="7" t="s">
        <v>629</v>
      </c>
      <c r="F27" s="7" t="s">
        <v>621</v>
      </c>
      <c r="G27" s="19" t="s">
        <v>43</v>
      </c>
      <c r="H27" s="20" t="s">
        <v>32</v>
      </c>
      <c r="I27" s="8"/>
      <c r="J27" s="8"/>
      <c r="K27" s="8" t="str">
        <f>"200,0"</f>
        <v>200,0</v>
      </c>
      <c r="L27" s="8" t="str">
        <f>"143,3200"</f>
        <v>143,3200</v>
      </c>
      <c r="M27" s="7"/>
    </row>
    <row r="28" spans="1:13">
      <c r="A28" s="10" t="s">
        <v>58</v>
      </c>
      <c r="B28" s="9" t="s">
        <v>61</v>
      </c>
      <c r="C28" s="9" t="s">
        <v>62</v>
      </c>
      <c r="D28" s="9" t="s">
        <v>63</v>
      </c>
      <c r="E28" s="9" t="s">
        <v>629</v>
      </c>
      <c r="F28" s="9" t="s">
        <v>610</v>
      </c>
      <c r="G28" s="21" t="s">
        <v>43</v>
      </c>
      <c r="H28" s="22" t="s">
        <v>27</v>
      </c>
      <c r="I28" s="22" t="s">
        <v>32</v>
      </c>
      <c r="J28" s="10"/>
      <c r="K28" s="10" t="str">
        <f>"200,0"</f>
        <v>200,0</v>
      </c>
      <c r="L28" s="10" t="str">
        <f>"142,5200"</f>
        <v>142,5200</v>
      </c>
      <c r="M28" s="9" t="s">
        <v>66</v>
      </c>
    </row>
    <row r="29" spans="1:13">
      <c r="A29" s="10" t="s">
        <v>227</v>
      </c>
      <c r="B29" s="9" t="s">
        <v>413</v>
      </c>
      <c r="C29" s="9" t="s">
        <v>414</v>
      </c>
      <c r="D29" s="9" t="s">
        <v>63</v>
      </c>
      <c r="E29" s="9" t="s">
        <v>629</v>
      </c>
      <c r="F29" s="9" t="s">
        <v>613</v>
      </c>
      <c r="G29" s="21" t="s">
        <v>31</v>
      </c>
      <c r="H29" s="21" t="s">
        <v>41</v>
      </c>
      <c r="I29" s="21" t="s">
        <v>170</v>
      </c>
      <c r="J29" s="10"/>
      <c r="K29" s="10" t="str">
        <f>"197,5"</f>
        <v>197,5</v>
      </c>
      <c r="L29" s="10" t="str">
        <f>"140,7385"</f>
        <v>140,7385</v>
      </c>
      <c r="M29" s="9" t="s">
        <v>242</v>
      </c>
    </row>
    <row r="30" spans="1:13">
      <c r="A30" s="10" t="s">
        <v>228</v>
      </c>
      <c r="B30" s="9" t="s">
        <v>413</v>
      </c>
      <c r="C30" s="9" t="s">
        <v>414</v>
      </c>
      <c r="D30" s="9" t="s">
        <v>63</v>
      </c>
      <c r="E30" s="9" t="s">
        <v>629</v>
      </c>
      <c r="F30" s="9" t="s">
        <v>613</v>
      </c>
      <c r="G30" s="21" t="s">
        <v>31</v>
      </c>
      <c r="H30" s="21" t="s">
        <v>41</v>
      </c>
      <c r="I30" s="21" t="s">
        <v>170</v>
      </c>
      <c r="J30" s="10"/>
      <c r="K30" s="10" t="str">
        <f>"197,5"</f>
        <v>197,5</v>
      </c>
      <c r="L30" s="10" t="str">
        <f>"140,7385"</f>
        <v>140,7385</v>
      </c>
      <c r="M30" s="9" t="s">
        <v>242</v>
      </c>
    </row>
    <row r="31" spans="1:13">
      <c r="A31" s="10" t="s">
        <v>229</v>
      </c>
      <c r="B31" s="9" t="s">
        <v>505</v>
      </c>
      <c r="C31" s="9" t="s">
        <v>506</v>
      </c>
      <c r="D31" s="9" t="s">
        <v>507</v>
      </c>
      <c r="E31" s="9" t="s">
        <v>629</v>
      </c>
      <c r="F31" s="9" t="s">
        <v>605</v>
      </c>
      <c r="G31" s="21" t="s">
        <v>162</v>
      </c>
      <c r="H31" s="21" t="s">
        <v>508</v>
      </c>
      <c r="I31" s="21" t="s">
        <v>42</v>
      </c>
      <c r="J31" s="10"/>
      <c r="K31" s="10" t="str">
        <f>"190,0"</f>
        <v>190,0</v>
      </c>
      <c r="L31" s="10" t="str">
        <f>"140,7140"</f>
        <v>140,7140</v>
      </c>
      <c r="M31" s="9" t="s">
        <v>401</v>
      </c>
    </row>
    <row r="32" spans="1:13">
      <c r="A32" s="10" t="s">
        <v>491</v>
      </c>
      <c r="B32" s="9" t="s">
        <v>509</v>
      </c>
      <c r="C32" s="9" t="s">
        <v>510</v>
      </c>
      <c r="D32" s="9" t="s">
        <v>63</v>
      </c>
      <c r="E32" s="9" t="s">
        <v>629</v>
      </c>
      <c r="F32" s="9" t="s">
        <v>616</v>
      </c>
      <c r="G32" s="21" t="s">
        <v>17</v>
      </c>
      <c r="H32" s="21" t="s">
        <v>41</v>
      </c>
      <c r="I32" s="22" t="s">
        <v>18</v>
      </c>
      <c r="J32" s="10"/>
      <c r="K32" s="10" t="str">
        <f>"180,0"</f>
        <v>180,0</v>
      </c>
      <c r="L32" s="10" t="str">
        <f>"128,2680"</f>
        <v>128,2680</v>
      </c>
      <c r="M32" s="9" t="s">
        <v>421</v>
      </c>
    </row>
    <row r="33" spans="1:13">
      <c r="A33" s="12" t="s">
        <v>532</v>
      </c>
      <c r="B33" s="11" t="s">
        <v>511</v>
      </c>
      <c r="C33" s="11" t="s">
        <v>512</v>
      </c>
      <c r="D33" s="11" t="s">
        <v>513</v>
      </c>
      <c r="E33" s="11" t="s">
        <v>629</v>
      </c>
      <c r="F33" s="11" t="s">
        <v>599</v>
      </c>
      <c r="G33" s="23" t="s">
        <v>31</v>
      </c>
      <c r="H33" s="23" t="s">
        <v>153</v>
      </c>
      <c r="I33" s="24" t="s">
        <v>508</v>
      </c>
      <c r="J33" s="12"/>
      <c r="K33" s="12" t="str">
        <f>"175,0"</f>
        <v>175,0</v>
      </c>
      <c r="L33" s="12" t="str">
        <f>"130,8650"</f>
        <v>130,8650</v>
      </c>
      <c r="M33" s="11" t="s">
        <v>257</v>
      </c>
    </row>
    <row r="34" spans="1:13">
      <c r="B34" s="5" t="s">
        <v>59</v>
      </c>
    </row>
    <row r="35" spans="1:13" ht="16">
      <c r="A35" s="46" t="s">
        <v>73</v>
      </c>
      <c r="B35" s="46"/>
      <c r="C35" s="47"/>
      <c r="D35" s="47"/>
      <c r="E35" s="47"/>
      <c r="F35" s="47"/>
      <c r="G35" s="47"/>
      <c r="H35" s="47"/>
      <c r="I35" s="47"/>
      <c r="J35" s="47"/>
    </row>
    <row r="36" spans="1:13">
      <c r="A36" s="8" t="s">
        <v>57</v>
      </c>
      <c r="B36" s="7" t="s">
        <v>287</v>
      </c>
      <c r="C36" s="7" t="s">
        <v>288</v>
      </c>
      <c r="D36" s="7" t="s">
        <v>289</v>
      </c>
      <c r="E36" s="7" t="s">
        <v>635</v>
      </c>
      <c r="F36" s="7" t="s">
        <v>597</v>
      </c>
      <c r="G36" s="19" t="s">
        <v>41</v>
      </c>
      <c r="H36" s="20" t="s">
        <v>32</v>
      </c>
      <c r="I36" s="20" t="s">
        <v>32</v>
      </c>
      <c r="J36" s="8"/>
      <c r="K36" s="8" t="str">
        <f>"180,0"</f>
        <v>180,0</v>
      </c>
      <c r="L36" s="8" t="str">
        <f>"121,6620"</f>
        <v>121,6620</v>
      </c>
      <c r="M36" s="7"/>
    </row>
    <row r="37" spans="1:13">
      <c r="A37" s="10" t="s">
        <v>57</v>
      </c>
      <c r="B37" s="9" t="s">
        <v>422</v>
      </c>
      <c r="C37" s="9" t="s">
        <v>423</v>
      </c>
      <c r="D37" s="9" t="s">
        <v>76</v>
      </c>
      <c r="E37" s="9" t="s">
        <v>629</v>
      </c>
      <c r="F37" s="9" t="s">
        <v>596</v>
      </c>
      <c r="G37" s="21" t="s">
        <v>20</v>
      </c>
      <c r="H37" s="22" t="s">
        <v>213</v>
      </c>
      <c r="I37" s="22" t="s">
        <v>213</v>
      </c>
      <c r="J37" s="10"/>
      <c r="K37" s="10" t="str">
        <f>"245,0"</f>
        <v>245,0</v>
      </c>
      <c r="L37" s="10" t="str">
        <f>"164,1255"</f>
        <v>164,1255</v>
      </c>
      <c r="M37" s="9" t="s">
        <v>242</v>
      </c>
    </row>
    <row r="38" spans="1:13">
      <c r="A38" s="10" t="s">
        <v>58</v>
      </c>
      <c r="B38" s="9" t="s">
        <v>514</v>
      </c>
      <c r="C38" s="9" t="s">
        <v>515</v>
      </c>
      <c r="D38" s="9" t="s">
        <v>420</v>
      </c>
      <c r="E38" s="9" t="s">
        <v>629</v>
      </c>
      <c r="F38" s="9" t="s">
        <v>610</v>
      </c>
      <c r="G38" s="21" t="s">
        <v>43</v>
      </c>
      <c r="H38" s="21" t="s">
        <v>28</v>
      </c>
      <c r="I38" s="22" t="s">
        <v>33</v>
      </c>
      <c r="J38" s="10"/>
      <c r="K38" s="10" t="str">
        <f>"225,0"</f>
        <v>225,0</v>
      </c>
      <c r="L38" s="10" t="str">
        <f>"153,6075"</f>
        <v>153,6075</v>
      </c>
      <c r="M38" s="9" t="s">
        <v>66</v>
      </c>
    </row>
    <row r="39" spans="1:13">
      <c r="A39" s="10" t="s">
        <v>227</v>
      </c>
      <c r="B39" s="9" t="s">
        <v>418</v>
      </c>
      <c r="C39" s="9" t="s">
        <v>419</v>
      </c>
      <c r="D39" s="9" t="s">
        <v>420</v>
      </c>
      <c r="E39" s="9" t="s">
        <v>629</v>
      </c>
      <c r="F39" s="9" t="s">
        <v>616</v>
      </c>
      <c r="G39" s="21" t="s">
        <v>41</v>
      </c>
      <c r="H39" s="21" t="s">
        <v>42</v>
      </c>
      <c r="I39" s="21" t="s">
        <v>19</v>
      </c>
      <c r="J39" s="10"/>
      <c r="K39" s="10" t="str">
        <f>"195,0"</f>
        <v>195,0</v>
      </c>
      <c r="L39" s="10" t="str">
        <f>"133,1265"</f>
        <v>133,1265</v>
      </c>
      <c r="M39" s="9" t="s">
        <v>421</v>
      </c>
    </row>
    <row r="40" spans="1:13">
      <c r="A40" s="10" t="s">
        <v>228</v>
      </c>
      <c r="B40" s="9" t="s">
        <v>516</v>
      </c>
      <c r="C40" s="9" t="s">
        <v>517</v>
      </c>
      <c r="D40" s="9" t="s">
        <v>518</v>
      </c>
      <c r="E40" s="9" t="s">
        <v>629</v>
      </c>
      <c r="F40" s="9" t="s">
        <v>597</v>
      </c>
      <c r="G40" s="22" t="s">
        <v>69</v>
      </c>
      <c r="H40" s="21" t="s">
        <v>69</v>
      </c>
      <c r="I40" s="22" t="s">
        <v>276</v>
      </c>
      <c r="J40" s="10"/>
      <c r="K40" s="10" t="str">
        <f>"160,0"</f>
        <v>160,0</v>
      </c>
      <c r="L40" s="10" t="str">
        <f>"108,4640"</f>
        <v>108,4640</v>
      </c>
      <c r="M40" s="9" t="s">
        <v>519</v>
      </c>
    </row>
    <row r="41" spans="1:13">
      <c r="A41" s="12" t="s">
        <v>57</v>
      </c>
      <c r="B41" s="11" t="s">
        <v>74</v>
      </c>
      <c r="C41" s="11" t="s">
        <v>75</v>
      </c>
      <c r="D41" s="11" t="s">
        <v>76</v>
      </c>
      <c r="E41" s="11" t="s">
        <v>632</v>
      </c>
      <c r="F41" s="11" t="s">
        <v>611</v>
      </c>
      <c r="G41" s="23" t="s">
        <v>27</v>
      </c>
      <c r="H41" s="24" t="s">
        <v>32</v>
      </c>
      <c r="I41" s="24" t="s">
        <v>32</v>
      </c>
      <c r="J41" s="12"/>
      <c r="K41" s="12" t="str">
        <f>"210,0"</f>
        <v>210,0</v>
      </c>
      <c r="L41" s="12" t="str">
        <f>"140,6790"</f>
        <v>140,6790</v>
      </c>
      <c r="M41" s="11" t="s">
        <v>66</v>
      </c>
    </row>
    <row r="42" spans="1:13">
      <c r="B42" s="5" t="s">
        <v>59</v>
      </c>
    </row>
    <row r="43" spans="1:13" ht="16">
      <c r="A43" s="46" t="s">
        <v>79</v>
      </c>
      <c r="B43" s="46"/>
      <c r="C43" s="47"/>
      <c r="D43" s="47"/>
      <c r="E43" s="47"/>
      <c r="F43" s="47"/>
      <c r="G43" s="47"/>
      <c r="H43" s="47"/>
      <c r="I43" s="47"/>
      <c r="J43" s="47"/>
    </row>
    <row r="44" spans="1:13">
      <c r="A44" s="25" t="s">
        <v>57</v>
      </c>
      <c r="B44" s="17" t="s">
        <v>431</v>
      </c>
      <c r="C44" s="17" t="s">
        <v>432</v>
      </c>
      <c r="D44" s="17" t="s">
        <v>82</v>
      </c>
      <c r="E44" s="17" t="s">
        <v>629</v>
      </c>
      <c r="F44" s="17" t="s">
        <v>598</v>
      </c>
      <c r="G44" s="26" t="s">
        <v>27</v>
      </c>
      <c r="H44" s="26" t="s">
        <v>32</v>
      </c>
      <c r="I44" s="27" t="s">
        <v>33</v>
      </c>
      <c r="J44" s="25"/>
      <c r="K44" s="25" t="str">
        <f>"220,0"</f>
        <v>220,0</v>
      </c>
      <c r="L44" s="25" t="str">
        <f>"140,4480"</f>
        <v>140,4480</v>
      </c>
      <c r="M44" s="17" t="s">
        <v>214</v>
      </c>
    </row>
    <row r="45" spans="1:13">
      <c r="B45" s="5" t="s">
        <v>59</v>
      </c>
    </row>
    <row r="46" spans="1:13" ht="16">
      <c r="A46" s="46" t="s">
        <v>182</v>
      </c>
      <c r="B46" s="46"/>
      <c r="C46" s="47"/>
      <c r="D46" s="47"/>
      <c r="E46" s="47"/>
      <c r="F46" s="47"/>
      <c r="G46" s="47"/>
      <c r="H46" s="47"/>
      <c r="I46" s="47"/>
      <c r="J46" s="47"/>
    </row>
    <row r="47" spans="1:13">
      <c r="A47" s="8" t="s">
        <v>57</v>
      </c>
      <c r="B47" s="7" t="s">
        <v>520</v>
      </c>
      <c r="C47" s="7" t="s">
        <v>521</v>
      </c>
      <c r="D47" s="7" t="s">
        <v>522</v>
      </c>
      <c r="E47" s="7" t="s">
        <v>629</v>
      </c>
      <c r="F47" s="7" t="s">
        <v>616</v>
      </c>
      <c r="G47" s="19" t="s">
        <v>20</v>
      </c>
      <c r="H47" s="19" t="s">
        <v>21</v>
      </c>
      <c r="I47" s="19" t="s">
        <v>190</v>
      </c>
      <c r="J47" s="8"/>
      <c r="K47" s="8" t="str">
        <f>"282,5"</f>
        <v>282,5</v>
      </c>
      <c r="L47" s="8" t="str">
        <f>"176,4778"</f>
        <v>176,4778</v>
      </c>
      <c r="M47" s="7" t="s">
        <v>421</v>
      </c>
    </row>
    <row r="48" spans="1:13">
      <c r="A48" s="10" t="s">
        <v>58</v>
      </c>
      <c r="B48" s="9" t="s">
        <v>523</v>
      </c>
      <c r="C48" s="9" t="s">
        <v>524</v>
      </c>
      <c r="D48" s="9" t="s">
        <v>525</v>
      </c>
      <c r="E48" s="9" t="s">
        <v>629</v>
      </c>
      <c r="F48" s="9" t="s">
        <v>616</v>
      </c>
      <c r="G48" s="21" t="s">
        <v>163</v>
      </c>
      <c r="H48" s="21" t="s">
        <v>21</v>
      </c>
      <c r="I48" s="21" t="s">
        <v>190</v>
      </c>
      <c r="J48" s="10"/>
      <c r="K48" s="10" t="str">
        <f>"282,5"</f>
        <v>282,5</v>
      </c>
      <c r="L48" s="10" t="str">
        <f>"174,0483"</f>
        <v>174,0483</v>
      </c>
      <c r="M48" s="9" t="s">
        <v>417</v>
      </c>
    </row>
    <row r="49" spans="1:13">
      <c r="A49" s="12" t="s">
        <v>227</v>
      </c>
      <c r="B49" s="11" t="s">
        <v>526</v>
      </c>
      <c r="C49" s="11" t="s">
        <v>527</v>
      </c>
      <c r="D49" s="11" t="s">
        <v>528</v>
      </c>
      <c r="E49" s="11" t="s">
        <v>629</v>
      </c>
      <c r="F49" s="11" t="s">
        <v>616</v>
      </c>
      <c r="G49" s="23" t="s">
        <v>163</v>
      </c>
      <c r="H49" s="23" t="s">
        <v>21</v>
      </c>
      <c r="I49" s="23" t="s">
        <v>44</v>
      </c>
      <c r="J49" s="12"/>
      <c r="K49" s="12" t="str">
        <f>"280,0"</f>
        <v>280,0</v>
      </c>
      <c r="L49" s="12" t="str">
        <f>"173,9920"</f>
        <v>173,9920</v>
      </c>
      <c r="M49" s="11" t="s">
        <v>417</v>
      </c>
    </row>
    <row r="50" spans="1:13">
      <c r="B50" s="5" t="s">
        <v>59</v>
      </c>
    </row>
    <row r="51" spans="1:13" ht="16">
      <c r="A51" s="46" t="s">
        <v>10</v>
      </c>
      <c r="B51" s="46"/>
      <c r="C51" s="47"/>
      <c r="D51" s="47"/>
      <c r="E51" s="47"/>
      <c r="F51" s="47"/>
      <c r="G51" s="47"/>
      <c r="H51" s="47"/>
      <c r="I51" s="47"/>
      <c r="J51" s="47"/>
    </row>
    <row r="52" spans="1:13">
      <c r="A52" s="8" t="s">
        <v>57</v>
      </c>
      <c r="B52" s="7" t="s">
        <v>24</v>
      </c>
      <c r="C52" s="7" t="s">
        <v>25</v>
      </c>
      <c r="D52" s="7" t="s">
        <v>26</v>
      </c>
      <c r="E52" s="7" t="s">
        <v>629</v>
      </c>
      <c r="F52" s="7" t="s">
        <v>598</v>
      </c>
      <c r="G52" s="19" t="s">
        <v>27</v>
      </c>
      <c r="H52" s="19" t="s">
        <v>32</v>
      </c>
      <c r="I52" s="20" t="s">
        <v>33</v>
      </c>
      <c r="J52" s="8"/>
      <c r="K52" s="8" t="str">
        <f>"220,0"</f>
        <v>220,0</v>
      </c>
      <c r="L52" s="8" t="str">
        <f>"129,4700"</f>
        <v>129,4700</v>
      </c>
      <c r="M52" s="7"/>
    </row>
    <row r="53" spans="1:13">
      <c r="A53" s="12" t="s">
        <v>57</v>
      </c>
      <c r="B53" s="11" t="s">
        <v>24</v>
      </c>
      <c r="C53" s="11" t="s">
        <v>34</v>
      </c>
      <c r="D53" s="11" t="s">
        <v>26</v>
      </c>
      <c r="E53" s="11" t="s">
        <v>632</v>
      </c>
      <c r="F53" s="11" t="s">
        <v>598</v>
      </c>
      <c r="G53" s="23" t="s">
        <v>27</v>
      </c>
      <c r="H53" s="23" t="s">
        <v>32</v>
      </c>
      <c r="I53" s="24" t="s">
        <v>33</v>
      </c>
      <c r="J53" s="12"/>
      <c r="K53" s="12" t="str">
        <f>"220,0"</f>
        <v>220,0</v>
      </c>
      <c r="L53" s="12" t="str">
        <f>"139,5687"</f>
        <v>139,5687</v>
      </c>
      <c r="M53" s="11"/>
    </row>
    <row r="54" spans="1:13">
      <c r="B54" s="5" t="s">
        <v>59</v>
      </c>
    </row>
    <row r="55" spans="1:13" ht="16">
      <c r="A55" s="46" t="s">
        <v>35</v>
      </c>
      <c r="B55" s="46"/>
      <c r="C55" s="47"/>
      <c r="D55" s="47"/>
      <c r="E55" s="47"/>
      <c r="F55" s="47"/>
      <c r="G55" s="47"/>
      <c r="H55" s="47"/>
      <c r="I55" s="47"/>
      <c r="J55" s="47"/>
    </row>
    <row r="56" spans="1:13">
      <c r="A56" s="8" t="s">
        <v>57</v>
      </c>
      <c r="B56" s="7" t="s">
        <v>300</v>
      </c>
      <c r="C56" s="7" t="s">
        <v>301</v>
      </c>
      <c r="D56" s="7" t="s">
        <v>302</v>
      </c>
      <c r="E56" s="7" t="s">
        <v>629</v>
      </c>
      <c r="F56" s="7" t="s">
        <v>605</v>
      </c>
      <c r="G56" s="19" t="s">
        <v>39</v>
      </c>
      <c r="H56" s="19" t="s">
        <v>14</v>
      </c>
      <c r="I56" s="20" t="s">
        <v>45</v>
      </c>
      <c r="J56" s="8"/>
      <c r="K56" s="8" t="str">
        <f>"285,0"</f>
        <v>285,0</v>
      </c>
      <c r="L56" s="8" t="str">
        <f>"163,1055"</f>
        <v>163,1055</v>
      </c>
      <c r="M56" s="7" t="s">
        <v>191</v>
      </c>
    </row>
    <row r="57" spans="1:13">
      <c r="A57" s="10" t="s">
        <v>58</v>
      </c>
      <c r="B57" s="9" t="s">
        <v>304</v>
      </c>
      <c r="C57" s="9" t="s">
        <v>305</v>
      </c>
      <c r="D57" s="9" t="s">
        <v>306</v>
      </c>
      <c r="E57" s="9" t="s">
        <v>629</v>
      </c>
      <c r="F57" s="9" t="s">
        <v>599</v>
      </c>
      <c r="G57" s="21" t="s">
        <v>27</v>
      </c>
      <c r="H57" s="22" t="s">
        <v>28</v>
      </c>
      <c r="I57" s="22" t="s">
        <v>28</v>
      </c>
      <c r="J57" s="10"/>
      <c r="K57" s="10" t="str">
        <f>"210,0"</f>
        <v>210,0</v>
      </c>
      <c r="L57" s="10" t="str">
        <f>"121,0860"</f>
        <v>121,0860</v>
      </c>
      <c r="M57" s="9" t="s">
        <v>257</v>
      </c>
    </row>
    <row r="58" spans="1:13">
      <c r="A58" s="12" t="s">
        <v>227</v>
      </c>
      <c r="B58" s="11" t="s">
        <v>451</v>
      </c>
      <c r="C58" s="11" t="s">
        <v>452</v>
      </c>
      <c r="D58" s="11" t="s">
        <v>453</v>
      </c>
      <c r="E58" s="11" t="s">
        <v>629</v>
      </c>
      <c r="F58" s="11" t="s">
        <v>616</v>
      </c>
      <c r="G58" s="23" t="s">
        <v>69</v>
      </c>
      <c r="H58" s="23" t="s">
        <v>17</v>
      </c>
      <c r="I58" s="23" t="s">
        <v>41</v>
      </c>
      <c r="J58" s="12"/>
      <c r="K58" s="12" t="str">
        <f>"180,0"</f>
        <v>180,0</v>
      </c>
      <c r="L58" s="12" t="str">
        <f>"105,3540"</f>
        <v>105,3540</v>
      </c>
      <c r="M58" s="11" t="s">
        <v>417</v>
      </c>
    </row>
    <row r="59" spans="1:13">
      <c r="B59" s="5" t="s">
        <v>59</v>
      </c>
    </row>
    <row r="60" spans="1:13">
      <c r="B60" s="5" t="s">
        <v>59</v>
      </c>
    </row>
    <row r="61" spans="1:13">
      <c r="B61" s="5" t="s">
        <v>59</v>
      </c>
    </row>
    <row r="62" spans="1:13" ht="18">
      <c r="B62" s="13" t="s">
        <v>47</v>
      </c>
      <c r="C62" s="13"/>
      <c r="F62" s="3"/>
    </row>
    <row r="63" spans="1:13" ht="16">
      <c r="B63" s="14" t="s">
        <v>48</v>
      </c>
      <c r="C63" s="14"/>
      <c r="F63" s="3"/>
    </row>
    <row r="64" spans="1:13" ht="14">
      <c r="B64" s="15"/>
      <c r="C64" s="16" t="s">
        <v>49</v>
      </c>
      <c r="F64" s="3"/>
    </row>
    <row r="65" spans="2:6" ht="14">
      <c r="B65" s="18" t="s">
        <v>50</v>
      </c>
      <c r="C65" s="18" t="s">
        <v>51</v>
      </c>
      <c r="D65" s="18" t="s">
        <v>590</v>
      </c>
      <c r="E65" s="18" t="s">
        <v>319</v>
      </c>
      <c r="F65" s="18" t="s">
        <v>54</v>
      </c>
    </row>
    <row r="66" spans="2:6">
      <c r="B66" s="5" t="s">
        <v>520</v>
      </c>
      <c r="C66" s="5" t="s">
        <v>49</v>
      </c>
      <c r="D66" s="6" t="s">
        <v>223</v>
      </c>
      <c r="E66" s="6" t="s">
        <v>190</v>
      </c>
      <c r="F66" s="6" t="s">
        <v>529</v>
      </c>
    </row>
    <row r="67" spans="2:6">
      <c r="B67" s="5" t="s">
        <v>523</v>
      </c>
      <c r="C67" s="5" t="s">
        <v>49</v>
      </c>
      <c r="D67" s="6" t="s">
        <v>223</v>
      </c>
      <c r="E67" s="6" t="s">
        <v>190</v>
      </c>
      <c r="F67" s="6" t="s">
        <v>530</v>
      </c>
    </row>
    <row r="68" spans="2:6">
      <c r="B68" s="5" t="s">
        <v>526</v>
      </c>
      <c r="C68" s="5" t="s">
        <v>49</v>
      </c>
      <c r="D68" s="6" t="s">
        <v>223</v>
      </c>
      <c r="E68" s="6" t="s">
        <v>44</v>
      </c>
      <c r="F68" s="6" t="s">
        <v>531</v>
      </c>
    </row>
  </sheetData>
  <mergeCells count="23">
    <mergeCell ref="A35:J35"/>
    <mergeCell ref="A43:J43"/>
    <mergeCell ref="A46:J46"/>
    <mergeCell ref="A51:J51"/>
    <mergeCell ref="A55:J55"/>
    <mergeCell ref="A21:J21"/>
    <mergeCell ref="A26:J26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5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1.83203125" style="5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3" t="s">
        <v>574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9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123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5" t="s">
        <v>57</v>
      </c>
      <c r="B6" s="17" t="s">
        <v>457</v>
      </c>
      <c r="C6" s="17" t="s">
        <v>458</v>
      </c>
      <c r="D6" s="17" t="s">
        <v>459</v>
      </c>
      <c r="E6" s="17" t="s">
        <v>629</v>
      </c>
      <c r="F6" s="17" t="s">
        <v>622</v>
      </c>
      <c r="G6" s="26" t="s">
        <v>234</v>
      </c>
      <c r="H6" s="26" t="s">
        <v>246</v>
      </c>
      <c r="I6" s="26" t="s">
        <v>262</v>
      </c>
      <c r="J6" s="25"/>
      <c r="K6" s="25" t="str">
        <f>"112,5"</f>
        <v>112,5</v>
      </c>
      <c r="L6" s="25" t="str">
        <f>"137,1825"</f>
        <v>137,1825</v>
      </c>
      <c r="M6" s="17" t="s">
        <v>117</v>
      </c>
    </row>
    <row r="7" spans="1:13">
      <c r="B7" s="5" t="s">
        <v>59</v>
      </c>
    </row>
    <row r="8" spans="1:13" ht="16">
      <c r="A8" s="46" t="s">
        <v>73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8" t="s">
        <v>57</v>
      </c>
      <c r="B9" s="7" t="s">
        <v>142</v>
      </c>
      <c r="C9" s="7" t="s">
        <v>143</v>
      </c>
      <c r="D9" s="7" t="s">
        <v>144</v>
      </c>
      <c r="E9" s="7" t="s">
        <v>629</v>
      </c>
      <c r="F9" s="7" t="s">
        <v>597</v>
      </c>
      <c r="G9" s="19" t="s">
        <v>147</v>
      </c>
      <c r="H9" s="19" t="s">
        <v>148</v>
      </c>
      <c r="I9" s="19" t="s">
        <v>149</v>
      </c>
      <c r="J9" s="8"/>
      <c r="K9" s="8" t="str">
        <f>"355,0"</f>
        <v>355,0</v>
      </c>
      <c r="L9" s="8" t="str">
        <f>"237,9920"</f>
        <v>237,9920</v>
      </c>
      <c r="M9" s="7"/>
    </row>
    <row r="10" spans="1:13">
      <c r="A10" s="12" t="s">
        <v>58</v>
      </c>
      <c r="B10" s="11" t="s">
        <v>150</v>
      </c>
      <c r="C10" s="11" t="s">
        <v>151</v>
      </c>
      <c r="D10" s="11" t="s">
        <v>152</v>
      </c>
      <c r="E10" s="11" t="s">
        <v>629</v>
      </c>
      <c r="F10" s="11" t="s">
        <v>603</v>
      </c>
      <c r="G10" s="23" t="s">
        <v>44</v>
      </c>
      <c r="H10" s="24" t="s">
        <v>45</v>
      </c>
      <c r="I10" s="24" t="s">
        <v>45</v>
      </c>
      <c r="J10" s="12"/>
      <c r="K10" s="12" t="str">
        <f>"280,0"</f>
        <v>280,0</v>
      </c>
      <c r="L10" s="12" t="str">
        <f>"188,5520"</f>
        <v>188,5520</v>
      </c>
      <c r="M10" s="11" t="s">
        <v>154</v>
      </c>
    </row>
    <row r="11" spans="1:13">
      <c r="B11" s="5" t="s">
        <v>59</v>
      </c>
    </row>
    <row r="12" spans="1:13" ht="16">
      <c r="A12" s="46" t="s">
        <v>79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8" t="s">
        <v>57</v>
      </c>
      <c r="B13" s="7" t="s">
        <v>460</v>
      </c>
      <c r="C13" s="7" t="s">
        <v>461</v>
      </c>
      <c r="D13" s="7" t="s">
        <v>462</v>
      </c>
      <c r="E13" s="7" t="s">
        <v>630</v>
      </c>
      <c r="F13" s="7" t="s">
        <v>597</v>
      </c>
      <c r="G13" s="19" t="s">
        <v>40</v>
      </c>
      <c r="H13" s="20" t="s">
        <v>217</v>
      </c>
      <c r="I13" s="20" t="s">
        <v>217</v>
      </c>
      <c r="J13" s="8"/>
      <c r="K13" s="8" t="str">
        <f>"300,0"</f>
        <v>300,0</v>
      </c>
      <c r="L13" s="8" t="str">
        <f>"197,1000"</f>
        <v>197,1000</v>
      </c>
      <c r="M13" s="7"/>
    </row>
    <row r="14" spans="1:13">
      <c r="A14" s="10" t="s">
        <v>57</v>
      </c>
      <c r="B14" s="9" t="s">
        <v>460</v>
      </c>
      <c r="C14" s="9" t="s">
        <v>463</v>
      </c>
      <c r="D14" s="9" t="s">
        <v>462</v>
      </c>
      <c r="E14" s="9" t="s">
        <v>629</v>
      </c>
      <c r="F14" s="9" t="s">
        <v>597</v>
      </c>
      <c r="G14" s="21" t="s">
        <v>40</v>
      </c>
      <c r="H14" s="22" t="s">
        <v>217</v>
      </c>
      <c r="I14" s="22" t="s">
        <v>217</v>
      </c>
      <c r="J14" s="10"/>
      <c r="K14" s="10" t="str">
        <f>"300,0"</f>
        <v>300,0</v>
      </c>
      <c r="L14" s="10" t="str">
        <f>"197,1000"</f>
        <v>197,1000</v>
      </c>
      <c r="M14" s="9"/>
    </row>
    <row r="15" spans="1:13">
      <c r="A15" s="12" t="s">
        <v>58</v>
      </c>
      <c r="B15" s="11" t="s">
        <v>175</v>
      </c>
      <c r="C15" s="11" t="s">
        <v>176</v>
      </c>
      <c r="D15" s="11" t="s">
        <v>177</v>
      </c>
      <c r="E15" s="11" t="s">
        <v>629</v>
      </c>
      <c r="F15" s="11" t="s">
        <v>597</v>
      </c>
      <c r="G15" s="23" t="s">
        <v>32</v>
      </c>
      <c r="H15" s="23" t="s">
        <v>83</v>
      </c>
      <c r="I15" s="23" t="s">
        <v>145</v>
      </c>
      <c r="J15" s="12"/>
      <c r="K15" s="12" t="str">
        <f>"260,0"</f>
        <v>260,0</v>
      </c>
      <c r="L15" s="12" t="str">
        <f>"166,5560"</f>
        <v>166,5560</v>
      </c>
      <c r="M15" s="11" t="s">
        <v>178</v>
      </c>
    </row>
    <row r="16" spans="1:13">
      <c r="B16" s="5" t="s">
        <v>59</v>
      </c>
    </row>
    <row r="17" spans="1:13" ht="16">
      <c r="A17" s="46" t="s">
        <v>182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8" t="s">
        <v>57</v>
      </c>
      <c r="B18" s="7" t="s">
        <v>464</v>
      </c>
      <c r="C18" s="7" t="s">
        <v>465</v>
      </c>
      <c r="D18" s="7" t="s">
        <v>438</v>
      </c>
      <c r="E18" s="7" t="s">
        <v>629</v>
      </c>
      <c r="F18" s="7" t="s">
        <v>615</v>
      </c>
      <c r="G18" s="19" t="s">
        <v>40</v>
      </c>
      <c r="H18" s="20" t="s">
        <v>199</v>
      </c>
      <c r="I18" s="8"/>
      <c r="J18" s="8"/>
      <c r="K18" s="8" t="str">
        <f>"300,0"</f>
        <v>300,0</v>
      </c>
      <c r="L18" s="8" t="str">
        <f>"182,9400"</f>
        <v>182,9400</v>
      </c>
      <c r="M18" s="7" t="s">
        <v>466</v>
      </c>
    </row>
    <row r="19" spans="1:13">
      <c r="A19" s="10" t="s">
        <v>58</v>
      </c>
      <c r="B19" s="9" t="s">
        <v>467</v>
      </c>
      <c r="C19" s="9" t="s">
        <v>468</v>
      </c>
      <c r="D19" s="9" t="s">
        <v>469</v>
      </c>
      <c r="E19" s="9" t="s">
        <v>629</v>
      </c>
      <c r="F19" s="9" t="s">
        <v>608</v>
      </c>
      <c r="G19" s="21" t="s">
        <v>44</v>
      </c>
      <c r="H19" s="21" t="s">
        <v>14</v>
      </c>
      <c r="I19" s="21" t="s">
        <v>45</v>
      </c>
      <c r="J19" s="10"/>
      <c r="K19" s="10" t="str">
        <f>"290,0"</f>
        <v>290,0</v>
      </c>
      <c r="L19" s="10" t="str">
        <f>"176,9870"</f>
        <v>176,9870</v>
      </c>
      <c r="M19" s="9"/>
    </row>
    <row r="20" spans="1:13">
      <c r="A20" s="10" t="s">
        <v>227</v>
      </c>
      <c r="B20" s="9" t="s">
        <v>187</v>
      </c>
      <c r="C20" s="9" t="s">
        <v>188</v>
      </c>
      <c r="D20" s="9" t="s">
        <v>189</v>
      </c>
      <c r="E20" s="9" t="s">
        <v>629</v>
      </c>
      <c r="F20" s="9" t="s">
        <v>597</v>
      </c>
      <c r="G20" s="21" t="s">
        <v>145</v>
      </c>
      <c r="H20" s="21" t="s">
        <v>39</v>
      </c>
      <c r="I20" s="22" t="s">
        <v>190</v>
      </c>
      <c r="J20" s="10"/>
      <c r="K20" s="10" t="str">
        <f>"270,0"</f>
        <v>270,0</v>
      </c>
      <c r="L20" s="10" t="str">
        <f>"164,9970"</f>
        <v>164,9970</v>
      </c>
      <c r="M20" s="9" t="s">
        <v>191</v>
      </c>
    </row>
    <row r="21" spans="1:13">
      <c r="A21" s="10" t="s">
        <v>228</v>
      </c>
      <c r="B21" s="9" t="s">
        <v>192</v>
      </c>
      <c r="C21" s="9" t="s">
        <v>193</v>
      </c>
      <c r="D21" s="9" t="s">
        <v>194</v>
      </c>
      <c r="E21" s="9" t="s">
        <v>629</v>
      </c>
      <c r="F21" s="9" t="s">
        <v>603</v>
      </c>
      <c r="G21" s="21" t="s">
        <v>83</v>
      </c>
      <c r="H21" s="21" t="s">
        <v>145</v>
      </c>
      <c r="I21" s="22" t="s">
        <v>22</v>
      </c>
      <c r="J21" s="10"/>
      <c r="K21" s="10" t="str">
        <f>"260,0"</f>
        <v>260,0</v>
      </c>
      <c r="L21" s="10" t="str">
        <f>"162,9940"</f>
        <v>162,9940</v>
      </c>
      <c r="M21" s="9" t="s">
        <v>178</v>
      </c>
    </row>
    <row r="22" spans="1:13">
      <c r="A22" s="10" t="s">
        <v>229</v>
      </c>
      <c r="B22" s="9" t="s">
        <v>470</v>
      </c>
      <c r="C22" s="9" t="s">
        <v>471</v>
      </c>
      <c r="D22" s="9" t="s">
        <v>472</v>
      </c>
      <c r="E22" s="9" t="s">
        <v>629</v>
      </c>
      <c r="F22" s="9" t="s">
        <v>619</v>
      </c>
      <c r="G22" s="21" t="s">
        <v>83</v>
      </c>
      <c r="H22" s="22" t="s">
        <v>163</v>
      </c>
      <c r="I22" s="22" t="s">
        <v>163</v>
      </c>
      <c r="J22" s="10"/>
      <c r="K22" s="10" t="str">
        <f>"240,0"</f>
        <v>240,0</v>
      </c>
      <c r="L22" s="10" t="str">
        <f>"146,0640"</f>
        <v>146,0640</v>
      </c>
      <c r="M22" s="9"/>
    </row>
    <row r="23" spans="1:13">
      <c r="A23" s="10" t="s">
        <v>491</v>
      </c>
      <c r="B23" s="9" t="s">
        <v>473</v>
      </c>
      <c r="C23" s="9" t="s">
        <v>474</v>
      </c>
      <c r="D23" s="9" t="s">
        <v>475</v>
      </c>
      <c r="E23" s="9" t="s">
        <v>629</v>
      </c>
      <c r="F23" s="9" t="s">
        <v>619</v>
      </c>
      <c r="G23" s="21" t="s">
        <v>27</v>
      </c>
      <c r="H23" s="21" t="s">
        <v>33</v>
      </c>
      <c r="I23" s="22" t="s">
        <v>20</v>
      </c>
      <c r="J23" s="10"/>
      <c r="K23" s="10" t="str">
        <f>"230,0"</f>
        <v>230,0</v>
      </c>
      <c r="L23" s="10" t="str">
        <f>"140,7830"</f>
        <v>140,7830</v>
      </c>
      <c r="M23" s="9" t="s">
        <v>476</v>
      </c>
    </row>
    <row r="24" spans="1:13">
      <c r="A24" s="12" t="s">
        <v>57</v>
      </c>
      <c r="B24" s="11" t="s">
        <v>467</v>
      </c>
      <c r="C24" s="11" t="s">
        <v>477</v>
      </c>
      <c r="D24" s="11" t="s">
        <v>469</v>
      </c>
      <c r="E24" s="11" t="s">
        <v>632</v>
      </c>
      <c r="F24" s="11" t="s">
        <v>608</v>
      </c>
      <c r="G24" s="23" t="s">
        <v>44</v>
      </c>
      <c r="H24" s="23" t="s">
        <v>14</v>
      </c>
      <c r="I24" s="23" t="s">
        <v>45</v>
      </c>
      <c r="J24" s="12"/>
      <c r="K24" s="12" t="str">
        <f>"290,0"</f>
        <v>290,0</v>
      </c>
      <c r="L24" s="12" t="str">
        <f>"179,4648"</f>
        <v>179,4648</v>
      </c>
      <c r="M24" s="11"/>
    </row>
    <row r="25" spans="1:13">
      <c r="B25" s="5" t="s">
        <v>59</v>
      </c>
    </row>
    <row r="26" spans="1:13" ht="16">
      <c r="A26" s="46" t="s">
        <v>10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8" t="s">
        <v>57</v>
      </c>
      <c r="B27" s="7" t="s">
        <v>196</v>
      </c>
      <c r="C27" s="7" t="s">
        <v>197</v>
      </c>
      <c r="D27" s="7" t="s">
        <v>198</v>
      </c>
      <c r="E27" s="7" t="s">
        <v>629</v>
      </c>
      <c r="F27" s="7" t="s">
        <v>597</v>
      </c>
      <c r="G27" s="19" t="s">
        <v>200</v>
      </c>
      <c r="H27" s="20" t="s">
        <v>201</v>
      </c>
      <c r="I27" s="20" t="s">
        <v>201</v>
      </c>
      <c r="J27" s="8"/>
      <c r="K27" s="8" t="str">
        <f>"330,0"</f>
        <v>330,0</v>
      </c>
      <c r="L27" s="8" t="str">
        <f>"195,3930"</f>
        <v>195,3930</v>
      </c>
      <c r="M27" s="7" t="s">
        <v>191</v>
      </c>
    </row>
    <row r="28" spans="1:13">
      <c r="A28" s="10" t="s">
        <v>58</v>
      </c>
      <c r="B28" s="9" t="s">
        <v>202</v>
      </c>
      <c r="C28" s="9" t="s">
        <v>203</v>
      </c>
      <c r="D28" s="9" t="s">
        <v>204</v>
      </c>
      <c r="E28" s="9" t="s">
        <v>629</v>
      </c>
      <c r="F28" s="9" t="s">
        <v>609</v>
      </c>
      <c r="G28" s="21" t="s">
        <v>39</v>
      </c>
      <c r="H28" s="22" t="s">
        <v>44</v>
      </c>
      <c r="I28" s="10"/>
      <c r="J28" s="10"/>
      <c r="K28" s="10" t="str">
        <f>"270,0"</f>
        <v>270,0</v>
      </c>
      <c r="L28" s="10" t="str">
        <f>"160,4070"</f>
        <v>160,4070</v>
      </c>
      <c r="M28" s="9" t="s">
        <v>206</v>
      </c>
    </row>
    <row r="29" spans="1:13">
      <c r="A29" s="12" t="s">
        <v>57</v>
      </c>
      <c r="B29" s="11" t="s">
        <v>478</v>
      </c>
      <c r="C29" s="11" t="s">
        <v>479</v>
      </c>
      <c r="D29" s="11" t="s">
        <v>480</v>
      </c>
      <c r="E29" s="11" t="s">
        <v>633</v>
      </c>
      <c r="F29" s="11" t="s">
        <v>597</v>
      </c>
      <c r="G29" s="23" t="s">
        <v>20</v>
      </c>
      <c r="H29" s="23" t="s">
        <v>213</v>
      </c>
      <c r="I29" s="23" t="s">
        <v>21</v>
      </c>
      <c r="J29" s="12"/>
      <c r="K29" s="12" t="str">
        <f>"265,0"</f>
        <v>265,0</v>
      </c>
      <c r="L29" s="12" t="str">
        <f>"192,5510"</f>
        <v>192,5510</v>
      </c>
      <c r="M29" s="11"/>
    </row>
    <row r="30" spans="1:13">
      <c r="B30" s="5" t="s">
        <v>59</v>
      </c>
    </row>
    <row r="31" spans="1:13" ht="16">
      <c r="A31" s="46" t="s">
        <v>375</v>
      </c>
      <c r="B31" s="46"/>
      <c r="C31" s="47"/>
      <c r="D31" s="47"/>
      <c r="E31" s="47"/>
      <c r="F31" s="47"/>
      <c r="G31" s="47"/>
      <c r="H31" s="47"/>
      <c r="I31" s="47"/>
      <c r="J31" s="47"/>
    </row>
    <row r="32" spans="1:13">
      <c r="A32" s="25" t="s">
        <v>57</v>
      </c>
      <c r="B32" s="17" t="s">
        <v>481</v>
      </c>
      <c r="C32" s="17" t="s">
        <v>482</v>
      </c>
      <c r="D32" s="17" t="s">
        <v>483</v>
      </c>
      <c r="E32" s="17" t="s">
        <v>629</v>
      </c>
      <c r="F32" s="17" t="s">
        <v>623</v>
      </c>
      <c r="G32" s="26" t="s">
        <v>22</v>
      </c>
      <c r="H32" s="25"/>
      <c r="I32" s="25"/>
      <c r="J32" s="25"/>
      <c r="K32" s="25" t="str">
        <f>"275,0"</f>
        <v>275,0</v>
      </c>
      <c r="L32" s="25" t="str">
        <f>"154,0550"</f>
        <v>154,0550</v>
      </c>
      <c r="M32" s="17"/>
    </row>
    <row r="33" spans="1:13">
      <c r="B33" s="5" t="s">
        <v>59</v>
      </c>
    </row>
    <row r="34" spans="1:13" ht="16">
      <c r="A34" s="46" t="s">
        <v>484</v>
      </c>
      <c r="B34" s="46"/>
      <c r="C34" s="47"/>
      <c r="D34" s="47"/>
      <c r="E34" s="47"/>
      <c r="F34" s="47"/>
      <c r="G34" s="47"/>
      <c r="H34" s="47"/>
      <c r="I34" s="47"/>
      <c r="J34" s="47"/>
    </row>
    <row r="35" spans="1:13">
      <c r="A35" s="25" t="s">
        <v>57</v>
      </c>
      <c r="B35" s="17" t="s">
        <v>485</v>
      </c>
      <c r="C35" s="17" t="s">
        <v>486</v>
      </c>
      <c r="D35" s="17" t="s">
        <v>487</v>
      </c>
      <c r="E35" s="17" t="s">
        <v>629</v>
      </c>
      <c r="F35" s="17" t="s">
        <v>611</v>
      </c>
      <c r="G35" s="26" t="s">
        <v>45</v>
      </c>
      <c r="H35" s="26" t="s">
        <v>16</v>
      </c>
      <c r="I35" s="26" t="s">
        <v>148</v>
      </c>
      <c r="J35" s="25"/>
      <c r="K35" s="25" t="str">
        <f>"340,0"</f>
        <v>340,0</v>
      </c>
      <c r="L35" s="25" t="str">
        <f>"187,5440"</f>
        <v>187,5440</v>
      </c>
      <c r="M35" s="17" t="s">
        <v>191</v>
      </c>
    </row>
    <row r="36" spans="1:13">
      <c r="B36" s="5" t="s">
        <v>59</v>
      </c>
    </row>
    <row r="37" spans="1:13">
      <c r="B37" s="5" t="s">
        <v>59</v>
      </c>
    </row>
    <row r="38" spans="1:13">
      <c r="B38" s="5" t="s">
        <v>59</v>
      </c>
    </row>
    <row r="39" spans="1:13" ht="18">
      <c r="B39" s="13" t="s">
        <v>47</v>
      </c>
      <c r="C39" s="13"/>
      <c r="F39" s="3"/>
    </row>
    <row r="40" spans="1:13" ht="16">
      <c r="B40" s="14" t="s">
        <v>48</v>
      </c>
      <c r="C40" s="14"/>
      <c r="F40" s="3"/>
    </row>
    <row r="41" spans="1:13" ht="14">
      <c r="B41" s="15"/>
      <c r="C41" s="16" t="s">
        <v>49</v>
      </c>
      <c r="F41" s="3"/>
    </row>
    <row r="42" spans="1:13" ht="14">
      <c r="B42" s="18" t="s">
        <v>50</v>
      </c>
      <c r="C42" s="18" t="s">
        <v>51</v>
      </c>
      <c r="D42" s="18" t="s">
        <v>52</v>
      </c>
      <c r="E42" s="18" t="s">
        <v>319</v>
      </c>
      <c r="F42" s="18" t="s">
        <v>54</v>
      </c>
    </row>
    <row r="43" spans="1:13">
      <c r="B43" s="5" t="s">
        <v>142</v>
      </c>
      <c r="C43" s="5" t="s">
        <v>49</v>
      </c>
      <c r="D43" s="6" t="s">
        <v>86</v>
      </c>
      <c r="E43" s="6" t="s">
        <v>149</v>
      </c>
      <c r="F43" s="6" t="s">
        <v>489</v>
      </c>
    </row>
    <row r="44" spans="1:13">
      <c r="B44" s="5" t="s">
        <v>460</v>
      </c>
      <c r="C44" s="5" t="s">
        <v>49</v>
      </c>
      <c r="D44" s="6" t="s">
        <v>84</v>
      </c>
      <c r="E44" s="6" t="s">
        <v>40</v>
      </c>
      <c r="F44" s="6" t="s">
        <v>488</v>
      </c>
    </row>
    <row r="45" spans="1:13">
      <c r="B45" s="5" t="s">
        <v>196</v>
      </c>
      <c r="C45" s="5" t="s">
        <v>49</v>
      </c>
      <c r="D45" s="6" t="s">
        <v>56</v>
      </c>
      <c r="E45" s="6" t="s">
        <v>200</v>
      </c>
      <c r="F45" s="6" t="s">
        <v>490</v>
      </c>
    </row>
  </sheetData>
  <mergeCells count="18">
    <mergeCell ref="A34:J34"/>
    <mergeCell ref="K3:K4"/>
    <mergeCell ref="L3:L4"/>
    <mergeCell ref="M3:M4"/>
    <mergeCell ref="A5:J5"/>
    <mergeCell ref="B3:B4"/>
    <mergeCell ref="A8:J8"/>
    <mergeCell ref="A12:J12"/>
    <mergeCell ref="A17:J17"/>
    <mergeCell ref="A26:J26"/>
    <mergeCell ref="A31:J3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1"/>
  <sheetViews>
    <sheetView workbookViewId="0">
      <selection activeCell="E31" sqref="E31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" style="5" bestFit="1" customWidth="1"/>
    <col min="4" max="4" width="21" style="5" bestFit="1" customWidth="1"/>
    <col min="5" max="5" width="10.1640625" style="5" bestFit="1" customWidth="1"/>
    <col min="6" max="6" width="18.6640625" style="5" bestFit="1" customWidth="1"/>
    <col min="7" max="10" width="5.5" style="6" customWidth="1"/>
    <col min="11" max="11" width="10.5" style="28" bestFit="1" customWidth="1"/>
    <col min="12" max="12" width="7.3320312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3" t="s">
        <v>570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593</v>
      </c>
      <c r="H3" s="45"/>
      <c r="I3" s="45"/>
      <c r="J3" s="45"/>
      <c r="K3" s="48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9"/>
      <c r="L4" s="44"/>
      <c r="M4" s="51"/>
    </row>
    <row r="5" spans="1:13" ht="16">
      <c r="A5" s="52" t="s">
        <v>106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5" t="s">
        <v>57</v>
      </c>
      <c r="B6" s="17" t="s">
        <v>398</v>
      </c>
      <c r="C6" s="17" t="s">
        <v>399</v>
      </c>
      <c r="D6" s="17" t="s">
        <v>400</v>
      </c>
      <c r="E6" s="17" t="s">
        <v>629</v>
      </c>
      <c r="F6" s="17" t="s">
        <v>611</v>
      </c>
      <c r="G6" s="27" t="s">
        <v>555</v>
      </c>
      <c r="H6" s="26" t="s">
        <v>93</v>
      </c>
      <c r="I6" s="26" t="s">
        <v>94</v>
      </c>
      <c r="J6" s="25"/>
      <c r="K6" s="29" t="str">
        <f>"45,0"</f>
        <v>45,0</v>
      </c>
      <c r="L6" s="25" t="str">
        <f>"37,7235"</f>
        <v>37,7235</v>
      </c>
      <c r="M6" s="17" t="s">
        <v>401</v>
      </c>
    </row>
    <row r="7" spans="1:13">
      <c r="B7" s="5" t="s">
        <v>59</v>
      </c>
    </row>
    <row r="8" spans="1:13" ht="16">
      <c r="A8" s="46" t="s">
        <v>118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5" t="s">
        <v>57</v>
      </c>
      <c r="B9" s="17" t="s">
        <v>556</v>
      </c>
      <c r="C9" s="17" t="s">
        <v>557</v>
      </c>
      <c r="D9" s="17" t="s">
        <v>558</v>
      </c>
      <c r="E9" s="17" t="s">
        <v>629</v>
      </c>
      <c r="F9" s="17" t="s">
        <v>624</v>
      </c>
      <c r="G9" s="27" t="s">
        <v>130</v>
      </c>
      <c r="H9" s="26" t="s">
        <v>130</v>
      </c>
      <c r="I9" s="27" t="s">
        <v>235</v>
      </c>
      <c r="J9" s="25"/>
      <c r="K9" s="29" t="str">
        <f>"50,0"</f>
        <v>50,0</v>
      </c>
      <c r="L9" s="25" t="str">
        <f>"39,2575"</f>
        <v>39,2575</v>
      </c>
      <c r="M9" s="17"/>
    </row>
    <row r="10" spans="1:13">
      <c r="B10" s="5" t="s">
        <v>59</v>
      </c>
    </row>
    <row r="11" spans="1:13" ht="16">
      <c r="A11" s="46" t="s">
        <v>60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8" t="s">
        <v>57</v>
      </c>
      <c r="B12" s="7" t="s">
        <v>410</v>
      </c>
      <c r="C12" s="7" t="s">
        <v>587</v>
      </c>
      <c r="D12" s="7" t="s">
        <v>412</v>
      </c>
      <c r="E12" s="7" t="s">
        <v>630</v>
      </c>
      <c r="F12" s="7" t="s">
        <v>611</v>
      </c>
      <c r="G12" s="19" t="s">
        <v>140</v>
      </c>
      <c r="H12" s="19" t="s">
        <v>130</v>
      </c>
      <c r="I12" s="19" t="s">
        <v>135</v>
      </c>
      <c r="J12" s="8"/>
      <c r="K12" s="30" t="str">
        <f>"55,0"</f>
        <v>55,0</v>
      </c>
      <c r="L12" s="8" t="str">
        <f>"38,2498"</f>
        <v>38,2498</v>
      </c>
      <c r="M12" s="7"/>
    </row>
    <row r="13" spans="1:13">
      <c r="A13" s="10" t="s">
        <v>57</v>
      </c>
      <c r="B13" s="9" t="s">
        <v>413</v>
      </c>
      <c r="C13" s="9" t="s">
        <v>414</v>
      </c>
      <c r="D13" s="9" t="s">
        <v>63</v>
      </c>
      <c r="E13" s="9" t="s">
        <v>629</v>
      </c>
      <c r="F13" s="9" t="s">
        <v>613</v>
      </c>
      <c r="G13" s="21" t="s">
        <v>130</v>
      </c>
      <c r="H13" s="21" t="s">
        <v>112</v>
      </c>
      <c r="I13" s="21" t="s">
        <v>113</v>
      </c>
      <c r="J13" s="10"/>
      <c r="K13" s="32" t="str">
        <f>"62,5"</f>
        <v>62,5</v>
      </c>
      <c r="L13" s="10" t="str">
        <f>"43,0344"</f>
        <v>43,0344</v>
      </c>
      <c r="M13" s="9" t="s">
        <v>242</v>
      </c>
    </row>
    <row r="14" spans="1:13">
      <c r="A14" s="10" t="s">
        <v>58</v>
      </c>
      <c r="B14" s="9" t="s">
        <v>509</v>
      </c>
      <c r="C14" s="9" t="s">
        <v>510</v>
      </c>
      <c r="D14" s="9" t="s">
        <v>63</v>
      </c>
      <c r="E14" s="9" t="s">
        <v>629</v>
      </c>
      <c r="F14" s="9" t="s">
        <v>616</v>
      </c>
      <c r="G14" s="22" t="s">
        <v>235</v>
      </c>
      <c r="H14" s="21" t="s">
        <v>135</v>
      </c>
      <c r="I14" s="21" t="s">
        <v>127</v>
      </c>
      <c r="J14" s="10"/>
      <c r="K14" s="32" t="str">
        <f>"60,0"</f>
        <v>60,0</v>
      </c>
      <c r="L14" s="10" t="str">
        <f>"41,3130"</f>
        <v>41,3130</v>
      </c>
      <c r="M14" s="9" t="s">
        <v>421</v>
      </c>
    </row>
    <row r="15" spans="1:13">
      <c r="A15" s="10" t="s">
        <v>227</v>
      </c>
      <c r="B15" s="9" t="s">
        <v>502</v>
      </c>
      <c r="C15" s="9" t="s">
        <v>503</v>
      </c>
      <c r="D15" s="9" t="s">
        <v>504</v>
      </c>
      <c r="E15" s="9" t="s">
        <v>629</v>
      </c>
      <c r="F15" s="9" t="s">
        <v>621</v>
      </c>
      <c r="G15" s="21" t="s">
        <v>135</v>
      </c>
      <c r="H15" s="21" t="s">
        <v>112</v>
      </c>
      <c r="I15" s="22" t="s">
        <v>113</v>
      </c>
      <c r="J15" s="10"/>
      <c r="K15" s="32" t="str">
        <f>"57,5"</f>
        <v>57,5</v>
      </c>
      <c r="L15" s="10" t="str">
        <f>"39,8274"</f>
        <v>39,8274</v>
      </c>
      <c r="M15" s="9"/>
    </row>
    <row r="16" spans="1:13">
      <c r="A16" s="12" t="s">
        <v>228</v>
      </c>
      <c r="B16" s="11" t="s">
        <v>67</v>
      </c>
      <c r="C16" s="11" t="s">
        <v>68</v>
      </c>
      <c r="D16" s="11" t="s">
        <v>63</v>
      </c>
      <c r="E16" s="11" t="s">
        <v>629</v>
      </c>
      <c r="F16" s="11" t="s">
        <v>611</v>
      </c>
      <c r="G16" s="23" t="s">
        <v>140</v>
      </c>
      <c r="H16" s="23" t="s">
        <v>130</v>
      </c>
      <c r="I16" s="23" t="s">
        <v>135</v>
      </c>
      <c r="J16" s="12"/>
      <c r="K16" s="31" t="str">
        <f>"55,0"</f>
        <v>55,0</v>
      </c>
      <c r="L16" s="12" t="str">
        <f>"37,8702"</f>
        <v>37,8702</v>
      </c>
      <c r="M16" s="11" t="s">
        <v>66</v>
      </c>
    </row>
    <row r="17" spans="1:13">
      <c r="B17" s="5" t="s">
        <v>59</v>
      </c>
    </row>
    <row r="18" spans="1:13" ht="16">
      <c r="A18" s="46" t="s">
        <v>73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25" t="s">
        <v>57</v>
      </c>
      <c r="B19" s="17" t="s">
        <v>422</v>
      </c>
      <c r="C19" s="17" t="s">
        <v>423</v>
      </c>
      <c r="D19" s="17" t="s">
        <v>76</v>
      </c>
      <c r="E19" s="17" t="s">
        <v>629</v>
      </c>
      <c r="F19" s="17" t="s">
        <v>596</v>
      </c>
      <c r="G19" s="26" t="s">
        <v>135</v>
      </c>
      <c r="H19" s="26" t="s">
        <v>127</v>
      </c>
      <c r="I19" s="27" t="s">
        <v>114</v>
      </c>
      <c r="J19" s="25"/>
      <c r="K19" s="29" t="str">
        <f>"60,0"</f>
        <v>60,0</v>
      </c>
      <c r="L19" s="25" t="str">
        <f>"38,6760"</f>
        <v>38,6760</v>
      </c>
      <c r="M19" s="17" t="s">
        <v>242</v>
      </c>
    </row>
    <row r="20" spans="1:13">
      <c r="B20" s="5" t="s">
        <v>59</v>
      </c>
    </row>
    <row r="21" spans="1:13" ht="16">
      <c r="A21" s="46" t="s">
        <v>79</v>
      </c>
      <c r="B21" s="46"/>
      <c r="C21" s="47"/>
      <c r="D21" s="47"/>
      <c r="E21" s="47"/>
      <c r="F21" s="47"/>
      <c r="G21" s="47"/>
      <c r="H21" s="47"/>
      <c r="I21" s="47"/>
      <c r="J21" s="47"/>
    </row>
    <row r="22" spans="1:13">
      <c r="A22" s="8" t="s">
        <v>57</v>
      </c>
      <c r="B22" s="7" t="s">
        <v>559</v>
      </c>
      <c r="C22" s="7" t="s">
        <v>560</v>
      </c>
      <c r="D22" s="7" t="s">
        <v>561</v>
      </c>
      <c r="E22" s="7" t="s">
        <v>629</v>
      </c>
      <c r="F22" s="7" t="s">
        <v>611</v>
      </c>
      <c r="G22" s="19" t="s">
        <v>91</v>
      </c>
      <c r="H22" s="19" t="s">
        <v>104</v>
      </c>
      <c r="I22" s="20" t="s">
        <v>92</v>
      </c>
      <c r="J22" s="8"/>
      <c r="K22" s="30" t="str">
        <f>"72,5"</f>
        <v>72,5</v>
      </c>
      <c r="L22" s="8" t="str">
        <f>"45,3814"</f>
        <v>45,3814</v>
      </c>
      <c r="M22" s="7"/>
    </row>
    <row r="23" spans="1:13">
      <c r="A23" s="12" t="s">
        <v>226</v>
      </c>
      <c r="B23" s="11" t="s">
        <v>562</v>
      </c>
      <c r="C23" s="11" t="s">
        <v>563</v>
      </c>
      <c r="D23" s="11" t="s">
        <v>564</v>
      </c>
      <c r="E23" s="11" t="s">
        <v>629</v>
      </c>
      <c r="F23" s="11" t="s">
        <v>625</v>
      </c>
      <c r="G23" s="24" t="s">
        <v>91</v>
      </c>
      <c r="H23" s="24" t="s">
        <v>91</v>
      </c>
      <c r="I23" s="24" t="s">
        <v>91</v>
      </c>
      <c r="J23" s="12"/>
      <c r="K23" s="31">
        <v>0</v>
      </c>
      <c r="L23" s="12" t="str">
        <f>"0,0000"</f>
        <v>0,0000</v>
      </c>
      <c r="M23" s="11"/>
    </row>
    <row r="24" spans="1:13">
      <c r="B24" s="5" t="s">
        <v>59</v>
      </c>
    </row>
    <row r="25" spans="1:13" ht="16">
      <c r="A25" s="46" t="s">
        <v>182</v>
      </c>
      <c r="B25" s="46"/>
      <c r="C25" s="47"/>
      <c r="D25" s="47"/>
      <c r="E25" s="47"/>
      <c r="F25" s="47"/>
      <c r="G25" s="47"/>
      <c r="H25" s="47"/>
      <c r="I25" s="47"/>
      <c r="J25" s="47"/>
    </row>
    <row r="26" spans="1:13">
      <c r="A26" s="8" t="s">
        <v>57</v>
      </c>
      <c r="B26" s="7" t="s">
        <v>565</v>
      </c>
      <c r="C26" s="7" t="s">
        <v>566</v>
      </c>
      <c r="D26" s="7" t="s">
        <v>472</v>
      </c>
      <c r="E26" s="7" t="s">
        <v>629</v>
      </c>
      <c r="F26" s="7" t="s">
        <v>611</v>
      </c>
      <c r="G26" s="19" t="s">
        <v>92</v>
      </c>
      <c r="H26" s="19" t="s">
        <v>128</v>
      </c>
      <c r="I26" s="20" t="s">
        <v>275</v>
      </c>
      <c r="J26" s="8"/>
      <c r="K26" s="30" t="str">
        <f>"80,0"</f>
        <v>80,0</v>
      </c>
      <c r="L26" s="8" t="str">
        <f>"46,5040"</f>
        <v>46,5040</v>
      </c>
      <c r="M26" s="7"/>
    </row>
    <row r="27" spans="1:13">
      <c r="A27" s="12" t="s">
        <v>58</v>
      </c>
      <c r="B27" s="11" t="s">
        <v>523</v>
      </c>
      <c r="C27" s="11" t="s">
        <v>524</v>
      </c>
      <c r="D27" s="11" t="s">
        <v>525</v>
      </c>
      <c r="E27" s="11" t="s">
        <v>629</v>
      </c>
      <c r="F27" s="11" t="s">
        <v>616</v>
      </c>
      <c r="G27" s="24" t="s">
        <v>91</v>
      </c>
      <c r="H27" s="24" t="s">
        <v>91</v>
      </c>
      <c r="I27" s="23" t="s">
        <v>91</v>
      </c>
      <c r="J27" s="12"/>
      <c r="K27" s="31" t="str">
        <f>"70,0"</f>
        <v>70,0</v>
      </c>
      <c r="L27" s="12" t="str">
        <f>"41,2195"</f>
        <v>41,2195</v>
      </c>
      <c r="M27" s="11" t="s">
        <v>417</v>
      </c>
    </row>
    <row r="28" spans="1:13">
      <c r="B28" s="5" t="s">
        <v>59</v>
      </c>
    </row>
    <row r="29" spans="1:13" ht="16">
      <c r="A29" s="46" t="s">
        <v>10</v>
      </c>
      <c r="B29" s="46"/>
      <c r="C29" s="47"/>
      <c r="D29" s="47"/>
      <c r="E29" s="47"/>
      <c r="F29" s="47"/>
      <c r="G29" s="47"/>
      <c r="H29" s="47"/>
      <c r="I29" s="47"/>
      <c r="J29" s="47"/>
    </row>
    <row r="30" spans="1:13">
      <c r="A30" s="25" t="s">
        <v>226</v>
      </c>
      <c r="B30" s="17" t="s">
        <v>439</v>
      </c>
      <c r="C30" s="17" t="s">
        <v>588</v>
      </c>
      <c r="D30" s="17" t="s">
        <v>441</v>
      </c>
      <c r="E30" s="17" t="s">
        <v>631</v>
      </c>
      <c r="F30" s="17" t="s">
        <v>611</v>
      </c>
      <c r="G30" s="27" t="s">
        <v>135</v>
      </c>
      <c r="H30" s="27" t="s">
        <v>114</v>
      </c>
      <c r="I30" s="27" t="s">
        <v>104</v>
      </c>
      <c r="J30" s="25"/>
      <c r="K30" s="29">
        <v>0</v>
      </c>
      <c r="L30" s="25" t="str">
        <f>"0,0000"</f>
        <v>0,0000</v>
      </c>
      <c r="M30" s="17"/>
    </row>
    <row r="31" spans="1:13">
      <c r="B31" s="5" t="s">
        <v>59</v>
      </c>
    </row>
    <row r="32" spans="1:13">
      <c r="B32" s="5" t="s">
        <v>59</v>
      </c>
    </row>
    <row r="33" spans="2:6">
      <c r="B33" s="5" t="s">
        <v>59</v>
      </c>
    </row>
    <row r="34" spans="2:6" ht="18">
      <c r="B34" s="13" t="s">
        <v>47</v>
      </c>
      <c r="C34" s="13"/>
      <c r="F34" s="3"/>
    </row>
    <row r="35" spans="2:6" ht="16">
      <c r="B35" s="14" t="s">
        <v>48</v>
      </c>
      <c r="C35" s="14"/>
      <c r="F35" s="3"/>
    </row>
    <row r="36" spans="2:6" ht="14">
      <c r="B36" s="15"/>
      <c r="C36" s="16" t="s">
        <v>49</v>
      </c>
      <c r="F36" s="3"/>
    </row>
    <row r="37" spans="2:6" ht="14">
      <c r="B37" s="18" t="s">
        <v>50</v>
      </c>
      <c r="C37" s="18" t="s">
        <v>51</v>
      </c>
      <c r="D37" s="18" t="s">
        <v>590</v>
      </c>
      <c r="E37" s="18" t="s">
        <v>319</v>
      </c>
      <c r="F37" s="18" t="s">
        <v>320</v>
      </c>
    </row>
    <row r="38" spans="2:6">
      <c r="B38" s="5" t="s">
        <v>565</v>
      </c>
      <c r="C38" s="5" t="s">
        <v>49</v>
      </c>
      <c r="D38" s="6" t="s">
        <v>223</v>
      </c>
      <c r="E38" s="6" t="s">
        <v>128</v>
      </c>
      <c r="F38" s="6" t="s">
        <v>567</v>
      </c>
    </row>
    <row r="39" spans="2:6">
      <c r="B39" s="5" t="s">
        <v>559</v>
      </c>
      <c r="C39" s="5" t="s">
        <v>49</v>
      </c>
      <c r="D39" s="6" t="s">
        <v>84</v>
      </c>
      <c r="E39" s="6" t="s">
        <v>104</v>
      </c>
      <c r="F39" s="6" t="s">
        <v>568</v>
      </c>
    </row>
    <row r="40" spans="2:6">
      <c r="B40" s="5" t="s">
        <v>413</v>
      </c>
      <c r="C40" s="5" t="s">
        <v>49</v>
      </c>
      <c r="D40" s="6" t="s">
        <v>85</v>
      </c>
      <c r="E40" s="6" t="s">
        <v>113</v>
      </c>
      <c r="F40" s="6" t="s">
        <v>569</v>
      </c>
    </row>
    <row r="41" spans="2:6">
      <c r="F41" s="3"/>
    </row>
  </sheetData>
  <mergeCells count="18">
    <mergeCell ref="A29:J29"/>
    <mergeCell ref="K3:K4"/>
    <mergeCell ref="L3:L4"/>
    <mergeCell ref="M3:M4"/>
    <mergeCell ref="A5:J5"/>
    <mergeCell ref="B3:B4"/>
    <mergeCell ref="A8:J8"/>
    <mergeCell ref="A11:J11"/>
    <mergeCell ref="A18:J18"/>
    <mergeCell ref="A21:J21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U57"/>
  <sheetViews>
    <sheetView workbookViewId="0">
      <selection activeCell="E48" sqref="E48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2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28" bestFit="1" customWidth="1"/>
    <col min="20" max="20" width="8.33203125" style="6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33" t="s">
        <v>583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8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4"/>
      <c r="U4" s="51"/>
    </row>
    <row r="5" spans="1:21" ht="16">
      <c r="A5" s="52" t="s">
        <v>87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57</v>
      </c>
      <c r="B6" s="7" t="s">
        <v>88</v>
      </c>
      <c r="C6" s="7" t="s">
        <v>89</v>
      </c>
      <c r="D6" s="7" t="s">
        <v>90</v>
      </c>
      <c r="E6" s="7" t="s">
        <v>629</v>
      </c>
      <c r="F6" s="7" t="s">
        <v>597</v>
      </c>
      <c r="G6" s="19" t="s">
        <v>91</v>
      </c>
      <c r="H6" s="20" t="s">
        <v>92</v>
      </c>
      <c r="I6" s="20" t="s">
        <v>92</v>
      </c>
      <c r="J6" s="8"/>
      <c r="K6" s="19" t="s">
        <v>93</v>
      </c>
      <c r="L6" s="20" t="s">
        <v>94</v>
      </c>
      <c r="M6" s="20" t="s">
        <v>94</v>
      </c>
      <c r="N6" s="8"/>
      <c r="O6" s="20" t="s">
        <v>95</v>
      </c>
      <c r="P6" s="19" t="s">
        <v>95</v>
      </c>
      <c r="Q6" s="19" t="s">
        <v>96</v>
      </c>
      <c r="R6" s="8"/>
      <c r="S6" s="30" t="str">
        <f>"212,5"</f>
        <v>212,5</v>
      </c>
      <c r="T6" s="8" t="str">
        <f>"268,8975"</f>
        <v>268,8975</v>
      </c>
      <c r="U6" s="7" t="s">
        <v>97</v>
      </c>
    </row>
    <row r="7" spans="1:21">
      <c r="A7" s="12" t="s">
        <v>226</v>
      </c>
      <c r="B7" s="11" t="s">
        <v>98</v>
      </c>
      <c r="C7" s="11" t="s">
        <v>99</v>
      </c>
      <c r="D7" s="11" t="s">
        <v>100</v>
      </c>
      <c r="E7" s="11" t="s">
        <v>632</v>
      </c>
      <c r="F7" s="11" t="s">
        <v>606</v>
      </c>
      <c r="G7" s="23" t="s">
        <v>101</v>
      </c>
      <c r="H7" s="24" t="s">
        <v>102</v>
      </c>
      <c r="I7" s="24" t="s">
        <v>103</v>
      </c>
      <c r="J7" s="12"/>
      <c r="K7" s="24" t="s">
        <v>91</v>
      </c>
      <c r="L7" s="24" t="s">
        <v>104</v>
      </c>
      <c r="M7" s="24" t="s">
        <v>104</v>
      </c>
      <c r="N7" s="12"/>
      <c r="O7" s="24"/>
      <c r="P7" s="12"/>
      <c r="Q7" s="12"/>
      <c r="R7" s="12"/>
      <c r="S7" s="31">
        <v>0</v>
      </c>
      <c r="T7" s="12" t="str">
        <f>"0,0000"</f>
        <v>0,0000</v>
      </c>
      <c r="U7" s="11" t="s">
        <v>105</v>
      </c>
    </row>
    <row r="8" spans="1:21">
      <c r="B8" s="5" t="s">
        <v>59</v>
      </c>
    </row>
    <row r="9" spans="1:21" ht="16">
      <c r="A9" s="46" t="s">
        <v>106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1">
      <c r="A10" s="25" t="s">
        <v>57</v>
      </c>
      <c r="B10" s="17" t="s">
        <v>107</v>
      </c>
      <c r="C10" s="17" t="s">
        <v>108</v>
      </c>
      <c r="D10" s="17" t="s">
        <v>109</v>
      </c>
      <c r="E10" s="17" t="s">
        <v>629</v>
      </c>
      <c r="F10" s="17" t="s">
        <v>597</v>
      </c>
      <c r="G10" s="26" t="s">
        <v>110</v>
      </c>
      <c r="H10" s="27" t="s">
        <v>111</v>
      </c>
      <c r="I10" s="26" t="s">
        <v>111</v>
      </c>
      <c r="J10" s="25"/>
      <c r="K10" s="26" t="s">
        <v>112</v>
      </c>
      <c r="L10" s="26" t="s">
        <v>113</v>
      </c>
      <c r="M10" s="26" t="s">
        <v>114</v>
      </c>
      <c r="N10" s="25"/>
      <c r="O10" s="26" t="s">
        <v>115</v>
      </c>
      <c r="P10" s="26" t="s">
        <v>103</v>
      </c>
      <c r="Q10" s="26" t="s">
        <v>116</v>
      </c>
      <c r="R10" s="25"/>
      <c r="S10" s="29" t="str">
        <f>"280,0"</f>
        <v>280,0</v>
      </c>
      <c r="T10" s="25" t="str">
        <f>"318,8080"</f>
        <v>318,8080</v>
      </c>
      <c r="U10" s="17" t="s">
        <v>117</v>
      </c>
    </row>
    <row r="11" spans="1:21">
      <c r="B11" s="5" t="s">
        <v>59</v>
      </c>
    </row>
    <row r="12" spans="1:21" ht="16">
      <c r="A12" s="46" t="s">
        <v>118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1">
      <c r="A13" s="25" t="s">
        <v>57</v>
      </c>
      <c r="B13" s="17" t="s">
        <v>119</v>
      </c>
      <c r="C13" s="17" t="s">
        <v>120</v>
      </c>
      <c r="D13" s="17" t="s">
        <v>121</v>
      </c>
      <c r="E13" s="17" t="s">
        <v>629</v>
      </c>
      <c r="F13" s="17" t="s">
        <v>598</v>
      </c>
      <c r="G13" s="26" t="s">
        <v>103</v>
      </c>
      <c r="H13" s="27" t="s">
        <v>77</v>
      </c>
      <c r="I13" s="27" t="s">
        <v>64</v>
      </c>
      <c r="J13" s="25"/>
      <c r="K13" s="27" t="s">
        <v>91</v>
      </c>
      <c r="L13" s="26" t="s">
        <v>91</v>
      </c>
      <c r="M13" s="27" t="s">
        <v>92</v>
      </c>
      <c r="N13" s="25"/>
      <c r="O13" s="26" t="s">
        <v>101</v>
      </c>
      <c r="P13" s="26" t="s">
        <v>103</v>
      </c>
      <c r="Q13" s="26" t="s">
        <v>70</v>
      </c>
      <c r="R13" s="25"/>
      <c r="S13" s="29" t="str">
        <f>"320,0"</f>
        <v>320,0</v>
      </c>
      <c r="T13" s="25" t="str">
        <f>"347,8720"</f>
        <v>347,8720</v>
      </c>
      <c r="U13" s="17" t="s">
        <v>122</v>
      </c>
    </row>
    <row r="14" spans="1:21">
      <c r="B14" s="5" t="s">
        <v>59</v>
      </c>
    </row>
    <row r="15" spans="1:21" ht="16">
      <c r="A15" s="46" t="s">
        <v>123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8" t="s">
        <v>57</v>
      </c>
      <c r="B16" s="7" t="s">
        <v>124</v>
      </c>
      <c r="C16" s="7" t="s">
        <v>125</v>
      </c>
      <c r="D16" s="7" t="s">
        <v>126</v>
      </c>
      <c r="E16" s="7" t="s">
        <v>634</v>
      </c>
      <c r="F16" s="7" t="s">
        <v>607</v>
      </c>
      <c r="G16" s="19" t="s">
        <v>127</v>
      </c>
      <c r="H16" s="19" t="s">
        <v>91</v>
      </c>
      <c r="I16" s="19" t="s">
        <v>128</v>
      </c>
      <c r="J16" s="8"/>
      <c r="K16" s="19" t="s">
        <v>129</v>
      </c>
      <c r="L16" s="19" t="s">
        <v>94</v>
      </c>
      <c r="M16" s="20" t="s">
        <v>130</v>
      </c>
      <c r="N16" s="8"/>
      <c r="O16" s="19" t="s">
        <v>114</v>
      </c>
      <c r="P16" s="19" t="s">
        <v>128</v>
      </c>
      <c r="Q16" s="20" t="s">
        <v>95</v>
      </c>
      <c r="R16" s="8"/>
      <c r="S16" s="30" t="str">
        <f>"205,0"</f>
        <v>205,0</v>
      </c>
      <c r="T16" s="8" t="str">
        <f>"187,6160"</f>
        <v>187,6160</v>
      </c>
      <c r="U16" s="7" t="s">
        <v>136</v>
      </c>
    </row>
    <row r="17" spans="1:21">
      <c r="A17" s="12" t="s">
        <v>58</v>
      </c>
      <c r="B17" s="11" t="s">
        <v>131</v>
      </c>
      <c r="C17" s="11" t="s">
        <v>132</v>
      </c>
      <c r="D17" s="11" t="s">
        <v>133</v>
      </c>
      <c r="E17" s="11" t="s">
        <v>634</v>
      </c>
      <c r="F17" s="11" t="s">
        <v>607</v>
      </c>
      <c r="G17" s="23" t="s">
        <v>130</v>
      </c>
      <c r="H17" s="23" t="s">
        <v>127</v>
      </c>
      <c r="I17" s="24" t="s">
        <v>91</v>
      </c>
      <c r="J17" s="12"/>
      <c r="K17" s="23" t="s">
        <v>134</v>
      </c>
      <c r="L17" s="24" t="s">
        <v>129</v>
      </c>
      <c r="M17" s="24" t="s">
        <v>129</v>
      </c>
      <c r="N17" s="12"/>
      <c r="O17" s="23" t="s">
        <v>135</v>
      </c>
      <c r="P17" s="23" t="s">
        <v>127</v>
      </c>
      <c r="Q17" s="23" t="s">
        <v>114</v>
      </c>
      <c r="R17" s="12"/>
      <c r="S17" s="31" t="str">
        <f>"150,0"</f>
        <v>150,0</v>
      </c>
      <c r="T17" s="12" t="str">
        <f>"141,3150"</f>
        <v>141,3150</v>
      </c>
      <c r="U17" s="11" t="s">
        <v>136</v>
      </c>
    </row>
    <row r="18" spans="1:21">
      <c r="B18" s="5" t="s">
        <v>59</v>
      </c>
    </row>
    <row r="19" spans="1:21" ht="16">
      <c r="A19" s="46" t="s">
        <v>106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21">
      <c r="A20" s="25" t="s">
        <v>57</v>
      </c>
      <c r="B20" s="17" t="s">
        <v>137</v>
      </c>
      <c r="C20" s="17" t="s">
        <v>138</v>
      </c>
      <c r="D20" s="17" t="s">
        <v>139</v>
      </c>
      <c r="E20" s="17" t="s">
        <v>634</v>
      </c>
      <c r="F20" s="17" t="s">
        <v>597</v>
      </c>
      <c r="G20" s="26" t="s">
        <v>127</v>
      </c>
      <c r="H20" s="26" t="s">
        <v>114</v>
      </c>
      <c r="I20" s="26" t="s">
        <v>91</v>
      </c>
      <c r="J20" s="25"/>
      <c r="K20" s="26" t="s">
        <v>93</v>
      </c>
      <c r="L20" s="26" t="s">
        <v>94</v>
      </c>
      <c r="M20" s="27" t="s">
        <v>140</v>
      </c>
      <c r="N20" s="25"/>
      <c r="O20" s="26" t="s">
        <v>114</v>
      </c>
      <c r="P20" s="26" t="s">
        <v>91</v>
      </c>
      <c r="Q20" s="26" t="s">
        <v>128</v>
      </c>
      <c r="R20" s="25"/>
      <c r="S20" s="29" t="str">
        <f>"195,0"</f>
        <v>195,0</v>
      </c>
      <c r="T20" s="25" t="str">
        <f>"171,6390"</f>
        <v>171,6390</v>
      </c>
      <c r="U20" s="17" t="s">
        <v>141</v>
      </c>
    </row>
    <row r="21" spans="1:21">
      <c r="B21" s="5" t="s">
        <v>59</v>
      </c>
    </row>
    <row r="22" spans="1:21" ht="16">
      <c r="A22" s="46" t="s">
        <v>73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21">
      <c r="A23" s="8" t="s">
        <v>57</v>
      </c>
      <c r="B23" s="7" t="s">
        <v>142</v>
      </c>
      <c r="C23" s="7" t="s">
        <v>143</v>
      </c>
      <c r="D23" s="7" t="s">
        <v>144</v>
      </c>
      <c r="E23" s="7" t="s">
        <v>629</v>
      </c>
      <c r="F23" s="7" t="s">
        <v>597</v>
      </c>
      <c r="G23" s="19" t="s">
        <v>145</v>
      </c>
      <c r="H23" s="19" t="s">
        <v>39</v>
      </c>
      <c r="I23" s="20" t="s">
        <v>146</v>
      </c>
      <c r="J23" s="8"/>
      <c r="K23" s="19" t="s">
        <v>18</v>
      </c>
      <c r="L23" s="20" t="s">
        <v>42</v>
      </c>
      <c r="M23" s="20" t="s">
        <v>42</v>
      </c>
      <c r="N23" s="8"/>
      <c r="O23" s="19" t="s">
        <v>147</v>
      </c>
      <c r="P23" s="19" t="s">
        <v>148</v>
      </c>
      <c r="Q23" s="19" t="s">
        <v>149</v>
      </c>
      <c r="R23" s="8"/>
      <c r="S23" s="30" t="str">
        <f>"810,0"</f>
        <v>810,0</v>
      </c>
      <c r="T23" s="8" t="str">
        <f>"543,0240"</f>
        <v>543,0240</v>
      </c>
      <c r="U23" s="7"/>
    </row>
    <row r="24" spans="1:21">
      <c r="A24" s="10" t="s">
        <v>58</v>
      </c>
      <c r="B24" s="9" t="s">
        <v>150</v>
      </c>
      <c r="C24" s="9" t="s">
        <v>151</v>
      </c>
      <c r="D24" s="9" t="s">
        <v>152</v>
      </c>
      <c r="E24" s="9" t="s">
        <v>629</v>
      </c>
      <c r="F24" s="9" t="s">
        <v>603</v>
      </c>
      <c r="G24" s="22" t="s">
        <v>29</v>
      </c>
      <c r="H24" s="21" t="s">
        <v>29</v>
      </c>
      <c r="I24" s="22" t="s">
        <v>20</v>
      </c>
      <c r="J24" s="10"/>
      <c r="K24" s="21" t="s">
        <v>17</v>
      </c>
      <c r="L24" s="22" t="s">
        <v>153</v>
      </c>
      <c r="M24" s="21" t="s">
        <v>153</v>
      </c>
      <c r="N24" s="10"/>
      <c r="O24" s="21" t="s">
        <v>44</v>
      </c>
      <c r="P24" s="22" t="s">
        <v>45</v>
      </c>
      <c r="Q24" s="22" t="s">
        <v>45</v>
      </c>
      <c r="R24" s="10"/>
      <c r="S24" s="32" t="str">
        <f>"690,0"</f>
        <v>690,0</v>
      </c>
      <c r="T24" s="10" t="str">
        <f>"464,6460"</f>
        <v>464,6460</v>
      </c>
      <c r="U24" s="9" t="s">
        <v>154</v>
      </c>
    </row>
    <row r="25" spans="1:21">
      <c r="A25" s="12" t="s">
        <v>57</v>
      </c>
      <c r="B25" s="11" t="s">
        <v>155</v>
      </c>
      <c r="C25" s="11" t="s">
        <v>156</v>
      </c>
      <c r="D25" s="11" t="s">
        <v>76</v>
      </c>
      <c r="E25" s="11" t="s">
        <v>632</v>
      </c>
      <c r="F25" s="11" t="s">
        <v>608</v>
      </c>
      <c r="G25" s="23" t="s">
        <v>64</v>
      </c>
      <c r="H25" s="23" t="s">
        <v>30</v>
      </c>
      <c r="I25" s="23" t="s">
        <v>31</v>
      </c>
      <c r="J25" s="12"/>
      <c r="K25" s="23" t="s">
        <v>103</v>
      </c>
      <c r="L25" s="24" t="s">
        <v>70</v>
      </c>
      <c r="M25" s="23" t="s">
        <v>70</v>
      </c>
      <c r="N25" s="12"/>
      <c r="O25" s="24" t="s">
        <v>41</v>
      </c>
      <c r="P25" s="23" t="s">
        <v>41</v>
      </c>
      <c r="Q25" s="23" t="s">
        <v>19</v>
      </c>
      <c r="R25" s="12"/>
      <c r="S25" s="31" t="str">
        <f>"490,0"</f>
        <v>490,0</v>
      </c>
      <c r="T25" s="12" t="str">
        <f>"371,5801"</f>
        <v>371,5801</v>
      </c>
      <c r="U25" s="11"/>
    </row>
    <row r="26" spans="1:21">
      <c r="B26" s="5" t="s">
        <v>59</v>
      </c>
    </row>
    <row r="27" spans="1:21" ht="16">
      <c r="A27" s="46" t="s">
        <v>79</v>
      </c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21">
      <c r="A28" s="8" t="s">
        <v>57</v>
      </c>
      <c r="B28" s="7" t="s">
        <v>157</v>
      </c>
      <c r="C28" s="7" t="s">
        <v>158</v>
      </c>
      <c r="D28" s="7" t="s">
        <v>82</v>
      </c>
      <c r="E28" s="7" t="s">
        <v>629</v>
      </c>
      <c r="F28" s="7" t="s">
        <v>609</v>
      </c>
      <c r="G28" s="19" t="s">
        <v>159</v>
      </c>
      <c r="H28" s="19" t="s">
        <v>160</v>
      </c>
      <c r="I28" s="19" t="s">
        <v>161</v>
      </c>
      <c r="J28" s="8"/>
      <c r="K28" s="19" t="s">
        <v>69</v>
      </c>
      <c r="L28" s="19" t="s">
        <v>17</v>
      </c>
      <c r="M28" s="20" t="s">
        <v>162</v>
      </c>
      <c r="N28" s="8"/>
      <c r="O28" s="19" t="s">
        <v>163</v>
      </c>
      <c r="P28" s="19" t="s">
        <v>145</v>
      </c>
      <c r="Q28" s="19" t="s">
        <v>39</v>
      </c>
      <c r="R28" s="8"/>
      <c r="S28" s="30" t="str">
        <f>"667,5"</f>
        <v>667,5</v>
      </c>
      <c r="T28" s="8" t="str">
        <f>"426,1320"</f>
        <v>426,1320</v>
      </c>
      <c r="U28" s="7" t="s">
        <v>206</v>
      </c>
    </row>
    <row r="29" spans="1:21">
      <c r="A29" s="10" t="s">
        <v>58</v>
      </c>
      <c r="B29" s="9" t="s">
        <v>164</v>
      </c>
      <c r="C29" s="9" t="s">
        <v>165</v>
      </c>
      <c r="D29" s="9" t="s">
        <v>166</v>
      </c>
      <c r="E29" s="9" t="s">
        <v>629</v>
      </c>
      <c r="F29" s="9" t="s">
        <v>608</v>
      </c>
      <c r="G29" s="21" t="s">
        <v>27</v>
      </c>
      <c r="H29" s="21" t="s">
        <v>32</v>
      </c>
      <c r="I29" s="22" t="s">
        <v>28</v>
      </c>
      <c r="J29" s="10"/>
      <c r="K29" s="21" t="s">
        <v>65</v>
      </c>
      <c r="L29" s="21" t="s">
        <v>30</v>
      </c>
      <c r="M29" s="22" t="s">
        <v>69</v>
      </c>
      <c r="N29" s="10"/>
      <c r="O29" s="21" t="s">
        <v>163</v>
      </c>
      <c r="P29" s="22" t="s">
        <v>145</v>
      </c>
      <c r="Q29" s="22" t="s">
        <v>145</v>
      </c>
      <c r="R29" s="10"/>
      <c r="S29" s="32" t="str">
        <f>"625,0"</f>
        <v>625,0</v>
      </c>
      <c r="T29" s="10" t="str">
        <f>"400,6250"</f>
        <v>400,6250</v>
      </c>
      <c r="U29" s="9" t="s">
        <v>167</v>
      </c>
    </row>
    <row r="30" spans="1:21">
      <c r="A30" s="10" t="s">
        <v>227</v>
      </c>
      <c r="B30" s="9" t="s">
        <v>168</v>
      </c>
      <c r="C30" s="9" t="s">
        <v>169</v>
      </c>
      <c r="D30" s="9" t="s">
        <v>82</v>
      </c>
      <c r="E30" s="9" t="s">
        <v>629</v>
      </c>
      <c r="F30" s="9" t="s">
        <v>597</v>
      </c>
      <c r="G30" s="21" t="s">
        <v>170</v>
      </c>
      <c r="H30" s="21" t="s">
        <v>27</v>
      </c>
      <c r="I30" s="22" t="s">
        <v>159</v>
      </c>
      <c r="J30" s="10"/>
      <c r="K30" s="21" t="s">
        <v>171</v>
      </c>
      <c r="L30" s="21" t="s">
        <v>172</v>
      </c>
      <c r="M30" s="22" t="s">
        <v>30</v>
      </c>
      <c r="N30" s="10"/>
      <c r="O30" s="21" t="s">
        <v>28</v>
      </c>
      <c r="P30" s="21" t="s">
        <v>20</v>
      </c>
      <c r="Q30" s="22" t="s">
        <v>173</v>
      </c>
      <c r="R30" s="10"/>
      <c r="S30" s="32" t="str">
        <f>"607,5"</f>
        <v>607,5</v>
      </c>
      <c r="T30" s="10" t="str">
        <f>"387,8280"</f>
        <v>387,8280</v>
      </c>
      <c r="U30" s="9" t="s">
        <v>174</v>
      </c>
    </row>
    <row r="31" spans="1:21">
      <c r="A31" s="10" t="s">
        <v>228</v>
      </c>
      <c r="B31" s="9" t="s">
        <v>175</v>
      </c>
      <c r="C31" s="9" t="s">
        <v>176</v>
      </c>
      <c r="D31" s="9" t="s">
        <v>177</v>
      </c>
      <c r="E31" s="9" t="s">
        <v>629</v>
      </c>
      <c r="F31" s="9" t="s">
        <v>597</v>
      </c>
      <c r="G31" s="21" t="s">
        <v>41</v>
      </c>
      <c r="H31" s="21" t="s">
        <v>43</v>
      </c>
      <c r="I31" s="21" t="s">
        <v>27</v>
      </c>
      <c r="J31" s="10"/>
      <c r="K31" s="21" t="s">
        <v>116</v>
      </c>
      <c r="L31" s="21" t="s">
        <v>71</v>
      </c>
      <c r="M31" s="21" t="s">
        <v>77</v>
      </c>
      <c r="N31" s="10"/>
      <c r="O31" s="21" t="s">
        <v>32</v>
      </c>
      <c r="P31" s="21" t="s">
        <v>83</v>
      </c>
      <c r="Q31" s="21" t="s">
        <v>145</v>
      </c>
      <c r="R31" s="10"/>
      <c r="S31" s="32" t="str">
        <f>"605,0"</f>
        <v>605,0</v>
      </c>
      <c r="T31" s="10" t="str">
        <f>"387,5630"</f>
        <v>387,5630</v>
      </c>
      <c r="U31" s="9" t="s">
        <v>178</v>
      </c>
    </row>
    <row r="32" spans="1:21">
      <c r="A32" s="12" t="s">
        <v>229</v>
      </c>
      <c r="B32" s="11" t="s">
        <v>179</v>
      </c>
      <c r="C32" s="11" t="s">
        <v>180</v>
      </c>
      <c r="D32" s="11" t="s">
        <v>181</v>
      </c>
      <c r="E32" s="11" t="s">
        <v>629</v>
      </c>
      <c r="F32" s="11" t="s">
        <v>597</v>
      </c>
      <c r="G32" s="23" t="s">
        <v>69</v>
      </c>
      <c r="H32" s="23" t="s">
        <v>17</v>
      </c>
      <c r="I32" s="23" t="s">
        <v>41</v>
      </c>
      <c r="J32" s="12"/>
      <c r="K32" s="24" t="s">
        <v>70</v>
      </c>
      <c r="L32" s="23" t="s">
        <v>64</v>
      </c>
      <c r="M32" s="24" t="s">
        <v>30</v>
      </c>
      <c r="N32" s="12"/>
      <c r="O32" s="23" t="s">
        <v>65</v>
      </c>
      <c r="P32" s="23" t="s">
        <v>41</v>
      </c>
      <c r="Q32" s="23" t="s">
        <v>43</v>
      </c>
      <c r="R32" s="12"/>
      <c r="S32" s="31" t="str">
        <f>"520,0"</f>
        <v>520,0</v>
      </c>
      <c r="T32" s="12" t="str">
        <f>"340,0800"</f>
        <v>340,0800</v>
      </c>
      <c r="U32" s="11" t="s">
        <v>141</v>
      </c>
    </row>
    <row r="33" spans="1:21">
      <c r="B33" s="5" t="s">
        <v>59</v>
      </c>
    </row>
    <row r="34" spans="1:21" ht="16">
      <c r="A34" s="46" t="s">
        <v>182</v>
      </c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21">
      <c r="A35" s="8" t="s">
        <v>57</v>
      </c>
      <c r="B35" s="7" t="s">
        <v>183</v>
      </c>
      <c r="C35" s="7" t="s">
        <v>184</v>
      </c>
      <c r="D35" s="7" t="s">
        <v>185</v>
      </c>
      <c r="E35" s="7" t="s">
        <v>629</v>
      </c>
      <c r="F35" s="7" t="s">
        <v>601</v>
      </c>
      <c r="G35" s="20" t="s">
        <v>145</v>
      </c>
      <c r="H35" s="19" t="s">
        <v>21</v>
      </c>
      <c r="I35" s="20" t="s">
        <v>22</v>
      </c>
      <c r="J35" s="8"/>
      <c r="K35" s="19" t="s">
        <v>43</v>
      </c>
      <c r="L35" s="20" t="s">
        <v>27</v>
      </c>
      <c r="M35" s="20" t="s">
        <v>27</v>
      </c>
      <c r="N35" s="8"/>
      <c r="O35" s="19" t="s">
        <v>45</v>
      </c>
      <c r="P35" s="19" t="s">
        <v>40</v>
      </c>
      <c r="Q35" s="20" t="s">
        <v>16</v>
      </c>
      <c r="R35" s="8"/>
      <c r="S35" s="30" t="str">
        <f>"765,0"</f>
        <v>765,0</v>
      </c>
      <c r="T35" s="8" t="str">
        <f>"470,8575"</f>
        <v>470,8575</v>
      </c>
      <c r="U35" s="7" t="s">
        <v>186</v>
      </c>
    </row>
    <row r="36" spans="1:21">
      <c r="A36" s="10" t="s">
        <v>58</v>
      </c>
      <c r="B36" s="9" t="s">
        <v>187</v>
      </c>
      <c r="C36" s="9" t="s">
        <v>188</v>
      </c>
      <c r="D36" s="9" t="s">
        <v>189</v>
      </c>
      <c r="E36" s="9" t="s">
        <v>629</v>
      </c>
      <c r="F36" s="9" t="s">
        <v>597</v>
      </c>
      <c r="G36" s="21" t="s">
        <v>72</v>
      </c>
      <c r="H36" s="21" t="s">
        <v>32</v>
      </c>
      <c r="I36" s="22" t="s">
        <v>33</v>
      </c>
      <c r="J36" s="10"/>
      <c r="K36" s="21" t="s">
        <v>41</v>
      </c>
      <c r="L36" s="22" t="s">
        <v>18</v>
      </c>
      <c r="M36" s="22" t="s">
        <v>18</v>
      </c>
      <c r="N36" s="10"/>
      <c r="O36" s="21" t="s">
        <v>145</v>
      </c>
      <c r="P36" s="21" t="s">
        <v>39</v>
      </c>
      <c r="Q36" s="22" t="s">
        <v>190</v>
      </c>
      <c r="R36" s="10"/>
      <c r="S36" s="32" t="str">
        <f>"670,0"</f>
        <v>670,0</v>
      </c>
      <c r="T36" s="10" t="str">
        <f>"409,4370"</f>
        <v>409,4370</v>
      </c>
      <c r="U36" s="9" t="s">
        <v>191</v>
      </c>
    </row>
    <row r="37" spans="1:21">
      <c r="A37" s="12" t="s">
        <v>227</v>
      </c>
      <c r="B37" s="11" t="s">
        <v>192</v>
      </c>
      <c r="C37" s="11" t="s">
        <v>193</v>
      </c>
      <c r="D37" s="11" t="s">
        <v>194</v>
      </c>
      <c r="E37" s="11" t="s">
        <v>629</v>
      </c>
      <c r="F37" s="11" t="s">
        <v>603</v>
      </c>
      <c r="G37" s="23" t="s">
        <v>18</v>
      </c>
      <c r="H37" s="23" t="s">
        <v>195</v>
      </c>
      <c r="I37" s="24" t="s">
        <v>27</v>
      </c>
      <c r="J37" s="12"/>
      <c r="K37" s="24" t="s">
        <v>171</v>
      </c>
      <c r="L37" s="23" t="s">
        <v>171</v>
      </c>
      <c r="M37" s="23" t="s">
        <v>65</v>
      </c>
      <c r="N37" s="12"/>
      <c r="O37" s="23" t="s">
        <v>83</v>
      </c>
      <c r="P37" s="23" t="s">
        <v>145</v>
      </c>
      <c r="Q37" s="24" t="s">
        <v>22</v>
      </c>
      <c r="R37" s="12"/>
      <c r="S37" s="31" t="str">
        <f>"612,5"</f>
        <v>612,5</v>
      </c>
      <c r="T37" s="12" t="str">
        <f>"383,9763"</f>
        <v>383,9763</v>
      </c>
      <c r="U37" s="11" t="s">
        <v>178</v>
      </c>
    </row>
    <row r="38" spans="1:21">
      <c r="B38" s="5" t="s">
        <v>59</v>
      </c>
    </row>
    <row r="39" spans="1:21" ht="16">
      <c r="A39" s="46" t="s">
        <v>10</v>
      </c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21">
      <c r="A40" s="8" t="s">
        <v>57</v>
      </c>
      <c r="B40" s="7" t="s">
        <v>196</v>
      </c>
      <c r="C40" s="7" t="s">
        <v>197</v>
      </c>
      <c r="D40" s="7" t="s">
        <v>198</v>
      </c>
      <c r="E40" s="7" t="s">
        <v>629</v>
      </c>
      <c r="F40" s="7" t="s">
        <v>597</v>
      </c>
      <c r="G40" s="19" t="s">
        <v>40</v>
      </c>
      <c r="H40" s="19" t="s">
        <v>199</v>
      </c>
      <c r="I40" s="8"/>
      <c r="J40" s="8"/>
      <c r="K40" s="19" t="s">
        <v>27</v>
      </c>
      <c r="L40" s="19" t="s">
        <v>32</v>
      </c>
      <c r="M40" s="20" t="s">
        <v>28</v>
      </c>
      <c r="N40" s="8"/>
      <c r="O40" s="19" t="s">
        <v>200</v>
      </c>
      <c r="P40" s="20" t="s">
        <v>201</v>
      </c>
      <c r="Q40" s="20" t="s">
        <v>201</v>
      </c>
      <c r="R40" s="8"/>
      <c r="S40" s="30" t="str">
        <f>"865,0"</f>
        <v>865,0</v>
      </c>
      <c r="T40" s="8" t="str">
        <f>"512,1665"</f>
        <v>512,1665</v>
      </c>
      <c r="U40" s="7" t="s">
        <v>191</v>
      </c>
    </row>
    <row r="41" spans="1:21">
      <c r="A41" s="10" t="s">
        <v>58</v>
      </c>
      <c r="B41" s="9" t="s">
        <v>202</v>
      </c>
      <c r="C41" s="9" t="s">
        <v>203</v>
      </c>
      <c r="D41" s="9" t="s">
        <v>204</v>
      </c>
      <c r="E41" s="9" t="s">
        <v>629</v>
      </c>
      <c r="F41" s="9" t="s">
        <v>609</v>
      </c>
      <c r="G41" s="21" t="s">
        <v>28</v>
      </c>
      <c r="H41" s="21" t="s">
        <v>29</v>
      </c>
      <c r="I41" s="22" t="s">
        <v>83</v>
      </c>
      <c r="J41" s="10"/>
      <c r="K41" s="21" t="s">
        <v>195</v>
      </c>
      <c r="L41" s="21" t="s">
        <v>205</v>
      </c>
      <c r="M41" s="22" t="s">
        <v>27</v>
      </c>
      <c r="N41" s="10"/>
      <c r="O41" s="21" t="s">
        <v>39</v>
      </c>
      <c r="P41" s="22" t="s">
        <v>44</v>
      </c>
      <c r="Q41" s="10"/>
      <c r="R41" s="10"/>
      <c r="S41" s="32" t="str">
        <f>"712,5"</f>
        <v>712,5</v>
      </c>
      <c r="T41" s="10" t="str">
        <f>"423,2962"</f>
        <v>423,2962</v>
      </c>
      <c r="U41" s="9" t="s">
        <v>206</v>
      </c>
    </row>
    <row r="42" spans="1:21">
      <c r="A42" s="10" t="s">
        <v>227</v>
      </c>
      <c r="B42" s="9" t="s">
        <v>24</v>
      </c>
      <c r="C42" s="9" t="s">
        <v>25</v>
      </c>
      <c r="D42" s="9" t="s">
        <v>26</v>
      </c>
      <c r="E42" s="9" t="s">
        <v>629</v>
      </c>
      <c r="F42" s="9" t="s">
        <v>598</v>
      </c>
      <c r="G42" s="21" t="s">
        <v>27</v>
      </c>
      <c r="H42" s="21" t="s">
        <v>28</v>
      </c>
      <c r="I42" s="21" t="s">
        <v>29</v>
      </c>
      <c r="J42" s="10"/>
      <c r="K42" s="21" t="s">
        <v>30</v>
      </c>
      <c r="L42" s="21" t="s">
        <v>31</v>
      </c>
      <c r="M42" s="21" t="s">
        <v>17</v>
      </c>
      <c r="N42" s="10"/>
      <c r="O42" s="21" t="s">
        <v>27</v>
      </c>
      <c r="P42" s="21" t="s">
        <v>32</v>
      </c>
      <c r="Q42" s="22" t="s">
        <v>33</v>
      </c>
      <c r="R42" s="10"/>
      <c r="S42" s="32" t="str">
        <f>"625,0"</f>
        <v>625,0</v>
      </c>
      <c r="T42" s="10" t="str">
        <f>"367,8125"</f>
        <v>367,8125</v>
      </c>
      <c r="U42" s="9"/>
    </row>
    <row r="43" spans="1:21">
      <c r="A43" s="12" t="s">
        <v>57</v>
      </c>
      <c r="B43" s="11" t="s">
        <v>24</v>
      </c>
      <c r="C43" s="11" t="s">
        <v>34</v>
      </c>
      <c r="D43" s="11" t="s">
        <v>26</v>
      </c>
      <c r="E43" s="11" t="s">
        <v>632</v>
      </c>
      <c r="F43" s="11" t="s">
        <v>598</v>
      </c>
      <c r="G43" s="23" t="s">
        <v>27</v>
      </c>
      <c r="H43" s="23" t="s">
        <v>28</v>
      </c>
      <c r="I43" s="23" t="s">
        <v>29</v>
      </c>
      <c r="J43" s="12"/>
      <c r="K43" s="23" t="s">
        <v>30</v>
      </c>
      <c r="L43" s="23" t="s">
        <v>31</v>
      </c>
      <c r="M43" s="23" t="s">
        <v>17</v>
      </c>
      <c r="N43" s="12"/>
      <c r="O43" s="23" t="s">
        <v>27</v>
      </c>
      <c r="P43" s="23" t="s">
        <v>32</v>
      </c>
      <c r="Q43" s="24" t="s">
        <v>33</v>
      </c>
      <c r="R43" s="12"/>
      <c r="S43" s="31" t="str">
        <f>"625,0"</f>
        <v>625,0</v>
      </c>
      <c r="T43" s="12" t="str">
        <f>"396,5019"</f>
        <v>396,5019</v>
      </c>
      <c r="U43" s="11"/>
    </row>
    <row r="44" spans="1:21">
      <c r="B44" s="5" t="s">
        <v>59</v>
      </c>
    </row>
    <row r="45" spans="1:21" ht="16">
      <c r="A45" s="46" t="s">
        <v>35</v>
      </c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21">
      <c r="A46" s="8" t="s">
        <v>57</v>
      </c>
      <c r="B46" s="7" t="s">
        <v>207</v>
      </c>
      <c r="C46" s="7" t="s">
        <v>208</v>
      </c>
      <c r="D46" s="7" t="s">
        <v>38</v>
      </c>
      <c r="E46" s="7" t="s">
        <v>629</v>
      </c>
      <c r="F46" s="7" t="s">
        <v>597</v>
      </c>
      <c r="G46" s="19" t="s">
        <v>39</v>
      </c>
      <c r="H46" s="19" t="s">
        <v>45</v>
      </c>
      <c r="I46" s="20" t="s">
        <v>40</v>
      </c>
      <c r="J46" s="8"/>
      <c r="K46" s="19" t="s">
        <v>43</v>
      </c>
      <c r="L46" s="20" t="s">
        <v>27</v>
      </c>
      <c r="M46" s="20" t="s">
        <v>27</v>
      </c>
      <c r="N46" s="8"/>
      <c r="O46" s="19" t="s">
        <v>163</v>
      </c>
      <c r="P46" s="19" t="s">
        <v>145</v>
      </c>
      <c r="Q46" s="19" t="s">
        <v>39</v>
      </c>
      <c r="R46" s="8"/>
      <c r="S46" s="30" t="str">
        <f>"760,0"</f>
        <v>760,0</v>
      </c>
      <c r="T46" s="8" t="str">
        <f>"433,0480"</f>
        <v>433,0480</v>
      </c>
      <c r="U46" s="7" t="s">
        <v>191</v>
      </c>
    </row>
    <row r="47" spans="1:21">
      <c r="A47" s="12" t="s">
        <v>57</v>
      </c>
      <c r="B47" s="11" t="s">
        <v>209</v>
      </c>
      <c r="C47" s="11" t="s">
        <v>210</v>
      </c>
      <c r="D47" s="11" t="s">
        <v>211</v>
      </c>
      <c r="E47" s="11" t="s">
        <v>632</v>
      </c>
      <c r="F47" s="11" t="s">
        <v>598</v>
      </c>
      <c r="G47" s="23" t="s">
        <v>43</v>
      </c>
      <c r="H47" s="24" t="s">
        <v>27</v>
      </c>
      <c r="I47" s="23" t="s">
        <v>27</v>
      </c>
      <c r="J47" s="12"/>
      <c r="K47" s="23" t="s">
        <v>70</v>
      </c>
      <c r="L47" s="23" t="s">
        <v>64</v>
      </c>
      <c r="M47" s="24" t="s">
        <v>65</v>
      </c>
      <c r="N47" s="12"/>
      <c r="O47" s="23" t="s">
        <v>33</v>
      </c>
      <c r="P47" s="23" t="s">
        <v>212</v>
      </c>
      <c r="Q47" s="24" t="s">
        <v>213</v>
      </c>
      <c r="R47" s="12"/>
      <c r="S47" s="31" t="str">
        <f>"597,5"</f>
        <v>597,5</v>
      </c>
      <c r="T47" s="12" t="str">
        <f>"364,8729"</f>
        <v>364,8729</v>
      </c>
      <c r="U47" s="11" t="s">
        <v>214</v>
      </c>
    </row>
    <row r="48" spans="1:21">
      <c r="B48" s="5" t="s">
        <v>59</v>
      </c>
    </row>
    <row r="49" spans="2:6">
      <c r="B49" s="5" t="s">
        <v>59</v>
      </c>
    </row>
    <row r="50" spans="2:6">
      <c r="B50" s="5" t="s">
        <v>59</v>
      </c>
    </row>
    <row r="51" spans="2:6" ht="18">
      <c r="B51" s="13" t="s">
        <v>47</v>
      </c>
      <c r="C51" s="13"/>
      <c r="F51" s="3"/>
    </row>
    <row r="52" spans="2:6" ht="16">
      <c r="B52" s="14" t="s">
        <v>48</v>
      </c>
      <c r="C52" s="14"/>
      <c r="F52" s="3"/>
    </row>
    <row r="53" spans="2:6" ht="14">
      <c r="B53" s="15"/>
      <c r="C53" s="16" t="s">
        <v>49</v>
      </c>
      <c r="F53" s="3"/>
    </row>
    <row r="54" spans="2:6" ht="14">
      <c r="B54" s="18" t="s">
        <v>50</v>
      </c>
      <c r="C54" s="18" t="s">
        <v>51</v>
      </c>
      <c r="D54" s="18" t="s">
        <v>590</v>
      </c>
      <c r="E54" s="18" t="s">
        <v>53</v>
      </c>
      <c r="F54" s="18" t="s">
        <v>54</v>
      </c>
    </row>
    <row r="55" spans="2:6">
      <c r="B55" s="5" t="s">
        <v>142</v>
      </c>
      <c r="C55" s="5" t="s">
        <v>49</v>
      </c>
      <c r="D55" s="6" t="s">
        <v>86</v>
      </c>
      <c r="E55" s="6" t="s">
        <v>219</v>
      </c>
      <c r="F55" s="6" t="s">
        <v>220</v>
      </c>
    </row>
    <row r="56" spans="2:6">
      <c r="B56" s="5" t="s">
        <v>196</v>
      </c>
      <c r="C56" s="5" t="s">
        <v>49</v>
      </c>
      <c r="D56" s="6" t="s">
        <v>56</v>
      </c>
      <c r="E56" s="6" t="s">
        <v>221</v>
      </c>
      <c r="F56" s="6" t="s">
        <v>222</v>
      </c>
    </row>
    <row r="57" spans="2:6">
      <c r="B57" s="5" t="s">
        <v>183</v>
      </c>
      <c r="C57" s="5" t="s">
        <v>49</v>
      </c>
      <c r="D57" s="6" t="s">
        <v>223</v>
      </c>
      <c r="E57" s="6" t="s">
        <v>224</v>
      </c>
      <c r="F57" s="6" t="s">
        <v>225</v>
      </c>
    </row>
  </sheetData>
  <mergeCells count="23">
    <mergeCell ref="A34:R34"/>
    <mergeCell ref="A39:R39"/>
    <mergeCell ref="A45:R45"/>
    <mergeCell ref="B3:B4"/>
    <mergeCell ref="A9:R9"/>
    <mergeCell ref="A12:R12"/>
    <mergeCell ref="A15:R15"/>
    <mergeCell ref="A19:R19"/>
    <mergeCell ref="A22:R22"/>
    <mergeCell ref="A27:R27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18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2.5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6" bestFit="1" customWidth="1"/>
    <col min="20" max="20" width="8.33203125" style="6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33" t="s">
        <v>585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60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57</v>
      </c>
      <c r="B6" s="7" t="s">
        <v>61</v>
      </c>
      <c r="C6" s="7" t="s">
        <v>62</v>
      </c>
      <c r="D6" s="7" t="s">
        <v>63</v>
      </c>
      <c r="E6" s="7" t="s">
        <v>629</v>
      </c>
      <c r="F6" s="7" t="s">
        <v>610</v>
      </c>
      <c r="G6" s="19" t="s">
        <v>17</v>
      </c>
      <c r="H6" s="19" t="s">
        <v>41</v>
      </c>
      <c r="I6" s="20" t="s">
        <v>42</v>
      </c>
      <c r="J6" s="8"/>
      <c r="K6" s="19" t="s">
        <v>64</v>
      </c>
      <c r="L6" s="19" t="s">
        <v>65</v>
      </c>
      <c r="M6" s="20" t="s">
        <v>30</v>
      </c>
      <c r="N6" s="8"/>
      <c r="O6" s="19" t="s">
        <v>43</v>
      </c>
      <c r="P6" s="20" t="s">
        <v>27</v>
      </c>
      <c r="Q6" s="20" t="s">
        <v>32</v>
      </c>
      <c r="R6" s="8"/>
      <c r="S6" s="8" t="str">
        <f>"530,0"</f>
        <v>530,0</v>
      </c>
      <c r="T6" s="8" t="str">
        <f>"377,6780"</f>
        <v>377,6780</v>
      </c>
      <c r="U6" s="7" t="s">
        <v>66</v>
      </c>
    </row>
    <row r="7" spans="1:21">
      <c r="A7" s="12" t="s">
        <v>58</v>
      </c>
      <c r="B7" s="11" t="s">
        <v>67</v>
      </c>
      <c r="C7" s="11" t="s">
        <v>68</v>
      </c>
      <c r="D7" s="11" t="s">
        <v>63</v>
      </c>
      <c r="E7" s="11" t="s">
        <v>629</v>
      </c>
      <c r="F7" s="11" t="s">
        <v>611</v>
      </c>
      <c r="G7" s="24" t="s">
        <v>69</v>
      </c>
      <c r="H7" s="24" t="s">
        <v>69</v>
      </c>
      <c r="I7" s="23" t="s">
        <v>69</v>
      </c>
      <c r="J7" s="12"/>
      <c r="K7" s="24" t="s">
        <v>70</v>
      </c>
      <c r="L7" s="23" t="s">
        <v>70</v>
      </c>
      <c r="M7" s="24" t="s">
        <v>71</v>
      </c>
      <c r="N7" s="12"/>
      <c r="O7" s="23" t="s">
        <v>42</v>
      </c>
      <c r="P7" s="23" t="s">
        <v>72</v>
      </c>
      <c r="Q7" s="24" t="s">
        <v>27</v>
      </c>
      <c r="R7" s="12"/>
      <c r="S7" s="12" t="str">
        <f>"495,0"</f>
        <v>495,0</v>
      </c>
      <c r="T7" s="12" t="str">
        <f>"352,7370"</f>
        <v>352,7370</v>
      </c>
      <c r="U7" s="11" t="s">
        <v>66</v>
      </c>
    </row>
    <row r="8" spans="1:21">
      <c r="B8" s="5" t="s">
        <v>59</v>
      </c>
    </row>
    <row r="9" spans="1:21" ht="16">
      <c r="A9" s="46" t="s">
        <v>73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1">
      <c r="A10" s="25" t="s">
        <v>57</v>
      </c>
      <c r="B10" s="17" t="s">
        <v>74</v>
      </c>
      <c r="C10" s="17" t="s">
        <v>75</v>
      </c>
      <c r="D10" s="17" t="s">
        <v>76</v>
      </c>
      <c r="E10" s="17" t="s">
        <v>632</v>
      </c>
      <c r="F10" s="17" t="s">
        <v>611</v>
      </c>
      <c r="G10" s="26" t="s">
        <v>41</v>
      </c>
      <c r="H10" s="27" t="s">
        <v>42</v>
      </c>
      <c r="I10" s="26" t="s">
        <v>42</v>
      </c>
      <c r="J10" s="25"/>
      <c r="K10" s="26" t="s">
        <v>77</v>
      </c>
      <c r="L10" s="26" t="s">
        <v>78</v>
      </c>
      <c r="M10" s="27" t="s">
        <v>65</v>
      </c>
      <c r="N10" s="25"/>
      <c r="O10" s="26" t="s">
        <v>27</v>
      </c>
      <c r="P10" s="27" t="s">
        <v>32</v>
      </c>
      <c r="Q10" s="27" t="s">
        <v>32</v>
      </c>
      <c r="R10" s="25"/>
      <c r="S10" s="25" t="str">
        <f>"542,5"</f>
        <v>542,5</v>
      </c>
      <c r="T10" s="25" t="str">
        <f>"363,4208"</f>
        <v>363,4208</v>
      </c>
      <c r="U10" s="17" t="s">
        <v>66</v>
      </c>
    </row>
    <row r="11" spans="1:21">
      <c r="B11" s="5" t="s">
        <v>59</v>
      </c>
    </row>
    <row r="12" spans="1:21" ht="16">
      <c r="A12" s="46" t="s">
        <v>79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21">
      <c r="A13" s="25" t="s">
        <v>57</v>
      </c>
      <c r="B13" s="17" t="s">
        <v>80</v>
      </c>
      <c r="C13" s="17" t="s">
        <v>81</v>
      </c>
      <c r="D13" s="17" t="s">
        <v>82</v>
      </c>
      <c r="E13" s="17" t="s">
        <v>629</v>
      </c>
      <c r="F13" s="17" t="s">
        <v>611</v>
      </c>
      <c r="G13" s="27" t="s">
        <v>42</v>
      </c>
      <c r="H13" s="26" t="s">
        <v>42</v>
      </c>
      <c r="I13" s="27" t="s">
        <v>43</v>
      </c>
      <c r="J13" s="25"/>
      <c r="K13" s="26" t="s">
        <v>65</v>
      </c>
      <c r="L13" s="26" t="s">
        <v>69</v>
      </c>
      <c r="M13" s="27" t="s">
        <v>17</v>
      </c>
      <c r="N13" s="25"/>
      <c r="O13" s="26" t="s">
        <v>32</v>
      </c>
      <c r="P13" s="27" t="s">
        <v>83</v>
      </c>
      <c r="Q13" s="26" t="s">
        <v>20</v>
      </c>
      <c r="R13" s="25"/>
      <c r="S13" s="25" t="str">
        <f>"595,0"</f>
        <v>595,0</v>
      </c>
      <c r="T13" s="25" t="str">
        <f>"379,8480"</f>
        <v>379,8480</v>
      </c>
      <c r="U13" s="17" t="s">
        <v>66</v>
      </c>
    </row>
    <row r="14" spans="1:21">
      <c r="B14" s="5" t="s">
        <v>59</v>
      </c>
    </row>
    <row r="15" spans="1:21" ht="16">
      <c r="A15" s="46" t="s">
        <v>10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1">
      <c r="A16" s="8" t="s">
        <v>57</v>
      </c>
      <c r="B16" s="7" t="s">
        <v>24</v>
      </c>
      <c r="C16" s="7" t="s">
        <v>25</v>
      </c>
      <c r="D16" s="7" t="s">
        <v>26</v>
      </c>
      <c r="E16" s="7" t="s">
        <v>629</v>
      </c>
      <c r="F16" s="7" t="s">
        <v>598</v>
      </c>
      <c r="G16" s="19" t="s">
        <v>27</v>
      </c>
      <c r="H16" s="19" t="s">
        <v>28</v>
      </c>
      <c r="I16" s="19" t="s">
        <v>29</v>
      </c>
      <c r="J16" s="8"/>
      <c r="K16" s="19" t="s">
        <v>30</v>
      </c>
      <c r="L16" s="19" t="s">
        <v>31</v>
      </c>
      <c r="M16" s="19" t="s">
        <v>17</v>
      </c>
      <c r="N16" s="8"/>
      <c r="O16" s="19" t="s">
        <v>27</v>
      </c>
      <c r="P16" s="19" t="s">
        <v>32</v>
      </c>
      <c r="Q16" s="20" t="s">
        <v>33</v>
      </c>
      <c r="R16" s="8"/>
      <c r="S16" s="8" t="str">
        <f>"625,0"</f>
        <v>625,0</v>
      </c>
      <c r="T16" s="8" t="str">
        <f>"367,8125"</f>
        <v>367,8125</v>
      </c>
      <c r="U16" s="7"/>
    </row>
    <row r="17" spans="1:21">
      <c r="A17" s="12" t="s">
        <v>57</v>
      </c>
      <c r="B17" s="11" t="s">
        <v>24</v>
      </c>
      <c r="C17" s="11" t="s">
        <v>34</v>
      </c>
      <c r="D17" s="11" t="s">
        <v>26</v>
      </c>
      <c r="E17" s="11" t="s">
        <v>632</v>
      </c>
      <c r="F17" s="11" t="s">
        <v>598</v>
      </c>
      <c r="G17" s="23" t="s">
        <v>27</v>
      </c>
      <c r="H17" s="23" t="s">
        <v>28</v>
      </c>
      <c r="I17" s="23" t="s">
        <v>29</v>
      </c>
      <c r="J17" s="12"/>
      <c r="K17" s="23" t="s">
        <v>30</v>
      </c>
      <c r="L17" s="23" t="s">
        <v>31</v>
      </c>
      <c r="M17" s="23" t="s">
        <v>17</v>
      </c>
      <c r="N17" s="12"/>
      <c r="O17" s="23" t="s">
        <v>27</v>
      </c>
      <c r="P17" s="23" t="s">
        <v>32</v>
      </c>
      <c r="Q17" s="24" t="s">
        <v>33</v>
      </c>
      <c r="R17" s="12"/>
      <c r="S17" s="12" t="str">
        <f>"625,0"</f>
        <v>625,0</v>
      </c>
      <c r="T17" s="12" t="str">
        <f>"396,5019"</f>
        <v>396,5019</v>
      </c>
      <c r="U17" s="11"/>
    </row>
    <row r="18" spans="1:21">
      <c r="B18" s="5" t="s">
        <v>59</v>
      </c>
    </row>
  </sheetData>
  <mergeCells count="17">
    <mergeCell ref="A9:R9"/>
    <mergeCell ref="A12:R12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5">
    <pageSetUpPr fitToPage="1"/>
  </sheetPr>
  <dimension ref="A1:U13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3.1640625" style="5" bestFit="1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6" bestFit="1" customWidth="1"/>
    <col min="20" max="20" width="8.33203125" style="6" bestFit="1" customWidth="1"/>
    <col min="21" max="21" width="22.33203125" style="5" customWidth="1"/>
    <col min="22" max="16384" width="9.1640625" style="3"/>
  </cols>
  <sheetData>
    <row r="1" spans="1:21" s="2" customFormat="1" ht="29" customHeight="1">
      <c r="A1" s="33" t="s">
        <v>586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57</v>
      </c>
      <c r="B6" s="7" t="s">
        <v>11</v>
      </c>
      <c r="C6" s="7" t="s">
        <v>12</v>
      </c>
      <c r="D6" s="7" t="s">
        <v>13</v>
      </c>
      <c r="E6" s="7" t="s">
        <v>629</v>
      </c>
      <c r="F6" s="7" t="s">
        <v>612</v>
      </c>
      <c r="G6" s="19" t="s">
        <v>14</v>
      </c>
      <c r="H6" s="20" t="s">
        <v>15</v>
      </c>
      <c r="I6" s="20" t="s">
        <v>16</v>
      </c>
      <c r="J6" s="8"/>
      <c r="K6" s="19" t="s">
        <v>17</v>
      </c>
      <c r="L6" s="19" t="s">
        <v>18</v>
      </c>
      <c r="M6" s="20" t="s">
        <v>19</v>
      </c>
      <c r="N6" s="8"/>
      <c r="O6" s="19" t="s">
        <v>20</v>
      </c>
      <c r="P6" s="19" t="s">
        <v>21</v>
      </c>
      <c r="Q6" s="20" t="s">
        <v>22</v>
      </c>
      <c r="R6" s="8"/>
      <c r="S6" s="8" t="str">
        <f>"735,0"</f>
        <v>735,0</v>
      </c>
      <c r="T6" s="8" t="str">
        <f>"437,0310"</f>
        <v>437,0310</v>
      </c>
      <c r="U6" s="7" t="s">
        <v>23</v>
      </c>
    </row>
    <row r="7" spans="1:21">
      <c r="A7" s="10" t="s">
        <v>58</v>
      </c>
      <c r="B7" s="9" t="s">
        <v>24</v>
      </c>
      <c r="C7" s="9" t="s">
        <v>25</v>
      </c>
      <c r="D7" s="9" t="s">
        <v>26</v>
      </c>
      <c r="E7" s="9" t="s">
        <v>629</v>
      </c>
      <c r="F7" s="9" t="s">
        <v>598</v>
      </c>
      <c r="G7" s="21" t="s">
        <v>27</v>
      </c>
      <c r="H7" s="21" t="s">
        <v>28</v>
      </c>
      <c r="I7" s="21" t="s">
        <v>29</v>
      </c>
      <c r="J7" s="10"/>
      <c r="K7" s="21" t="s">
        <v>30</v>
      </c>
      <c r="L7" s="21" t="s">
        <v>31</v>
      </c>
      <c r="M7" s="21" t="s">
        <v>17</v>
      </c>
      <c r="N7" s="10"/>
      <c r="O7" s="21" t="s">
        <v>27</v>
      </c>
      <c r="P7" s="21" t="s">
        <v>32</v>
      </c>
      <c r="Q7" s="22" t="s">
        <v>33</v>
      </c>
      <c r="R7" s="10"/>
      <c r="S7" s="10" t="str">
        <f>"625,0"</f>
        <v>625,0</v>
      </c>
      <c r="T7" s="10" t="str">
        <f>"367,8125"</f>
        <v>367,8125</v>
      </c>
      <c r="U7" s="9"/>
    </row>
    <row r="8" spans="1:21">
      <c r="A8" s="12" t="s">
        <v>57</v>
      </c>
      <c r="B8" s="11" t="s">
        <v>24</v>
      </c>
      <c r="C8" s="11" t="s">
        <v>34</v>
      </c>
      <c r="D8" s="11" t="s">
        <v>26</v>
      </c>
      <c r="E8" s="11" t="s">
        <v>632</v>
      </c>
      <c r="F8" s="11" t="s">
        <v>598</v>
      </c>
      <c r="G8" s="23" t="s">
        <v>27</v>
      </c>
      <c r="H8" s="23" t="s">
        <v>28</v>
      </c>
      <c r="I8" s="23" t="s">
        <v>29</v>
      </c>
      <c r="J8" s="12"/>
      <c r="K8" s="23" t="s">
        <v>30</v>
      </c>
      <c r="L8" s="23" t="s">
        <v>31</v>
      </c>
      <c r="M8" s="23" t="s">
        <v>17</v>
      </c>
      <c r="N8" s="12"/>
      <c r="O8" s="23" t="s">
        <v>27</v>
      </c>
      <c r="P8" s="23" t="s">
        <v>32</v>
      </c>
      <c r="Q8" s="24" t="s">
        <v>33</v>
      </c>
      <c r="R8" s="12"/>
      <c r="S8" s="12" t="str">
        <f>"625,0"</f>
        <v>625,0</v>
      </c>
      <c r="T8" s="12" t="str">
        <f>"396,5019"</f>
        <v>396,5019</v>
      </c>
      <c r="U8" s="11"/>
    </row>
    <row r="9" spans="1:21">
      <c r="B9" s="5" t="s">
        <v>59</v>
      </c>
    </row>
    <row r="10" spans="1:21" ht="16">
      <c r="A10" s="46" t="s">
        <v>35</v>
      </c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21">
      <c r="A11" s="8" t="s">
        <v>57</v>
      </c>
      <c r="B11" s="7" t="s">
        <v>36</v>
      </c>
      <c r="C11" s="7" t="s">
        <v>37</v>
      </c>
      <c r="D11" s="7" t="s">
        <v>38</v>
      </c>
      <c r="E11" s="7" t="s">
        <v>629</v>
      </c>
      <c r="F11" s="7" t="s">
        <v>610</v>
      </c>
      <c r="G11" s="19" t="s">
        <v>39</v>
      </c>
      <c r="H11" s="19" t="s">
        <v>14</v>
      </c>
      <c r="I11" s="19" t="s">
        <v>40</v>
      </c>
      <c r="J11" s="8"/>
      <c r="K11" s="19" t="s">
        <v>41</v>
      </c>
      <c r="L11" s="19" t="s">
        <v>42</v>
      </c>
      <c r="M11" s="19" t="s">
        <v>43</v>
      </c>
      <c r="N11" s="8"/>
      <c r="O11" s="19" t="s">
        <v>44</v>
      </c>
      <c r="P11" s="19" t="s">
        <v>45</v>
      </c>
      <c r="Q11" s="19" t="s">
        <v>40</v>
      </c>
      <c r="R11" s="8"/>
      <c r="S11" s="8" t="str">
        <f>"800,0"</f>
        <v>800,0</v>
      </c>
      <c r="T11" s="8" t="str">
        <f>"455,8400"</f>
        <v>455,8400</v>
      </c>
      <c r="U11" s="7"/>
    </row>
    <row r="12" spans="1:21">
      <c r="A12" s="12" t="s">
        <v>57</v>
      </c>
      <c r="B12" s="11" t="s">
        <v>36</v>
      </c>
      <c r="C12" s="11" t="s">
        <v>46</v>
      </c>
      <c r="D12" s="11" t="s">
        <v>38</v>
      </c>
      <c r="E12" s="11" t="s">
        <v>632</v>
      </c>
      <c r="F12" s="11" t="s">
        <v>610</v>
      </c>
      <c r="G12" s="23" t="s">
        <v>39</v>
      </c>
      <c r="H12" s="23" t="s">
        <v>14</v>
      </c>
      <c r="I12" s="23" t="s">
        <v>40</v>
      </c>
      <c r="J12" s="12"/>
      <c r="K12" s="23" t="s">
        <v>41</v>
      </c>
      <c r="L12" s="23" t="s">
        <v>42</v>
      </c>
      <c r="M12" s="23" t="s">
        <v>43</v>
      </c>
      <c r="N12" s="12"/>
      <c r="O12" s="23" t="s">
        <v>44</v>
      </c>
      <c r="P12" s="23" t="s">
        <v>45</v>
      </c>
      <c r="Q12" s="23" t="s">
        <v>40</v>
      </c>
      <c r="R12" s="12"/>
      <c r="S12" s="12" t="str">
        <f>"800,0"</f>
        <v>800,0</v>
      </c>
      <c r="T12" s="12" t="str">
        <f>"468,6035"</f>
        <v>468,6035</v>
      </c>
      <c r="U12" s="11"/>
    </row>
    <row r="13" spans="1:21">
      <c r="B13" s="5" t="s">
        <v>59</v>
      </c>
    </row>
  </sheetData>
  <mergeCells count="15">
    <mergeCell ref="A5:R5"/>
    <mergeCell ref="A10:R10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8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2.5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7" width="5.33203125" style="6" customWidth="1"/>
    <col min="18" max="18" width="4.6640625" style="6" customWidth="1"/>
    <col min="19" max="19" width="7.6640625" style="6" bestFit="1" customWidth="1"/>
    <col min="20" max="20" width="8.3320312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3" t="s">
        <v>584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57</v>
      </c>
      <c r="B6" s="7" t="s">
        <v>24</v>
      </c>
      <c r="C6" s="7" t="s">
        <v>25</v>
      </c>
      <c r="D6" s="7" t="s">
        <v>26</v>
      </c>
      <c r="E6" s="7" t="s">
        <v>629</v>
      </c>
      <c r="F6" s="7" t="s">
        <v>598</v>
      </c>
      <c r="G6" s="19" t="s">
        <v>27</v>
      </c>
      <c r="H6" s="19" t="s">
        <v>28</v>
      </c>
      <c r="I6" s="19" t="s">
        <v>29</v>
      </c>
      <c r="J6" s="8"/>
      <c r="K6" s="19" t="s">
        <v>30</v>
      </c>
      <c r="L6" s="19" t="s">
        <v>31</v>
      </c>
      <c r="M6" s="19" t="s">
        <v>17</v>
      </c>
      <c r="N6" s="8"/>
      <c r="O6" s="19" t="s">
        <v>27</v>
      </c>
      <c r="P6" s="19" t="s">
        <v>32</v>
      </c>
      <c r="Q6" s="20" t="s">
        <v>33</v>
      </c>
      <c r="R6" s="8"/>
      <c r="S6" s="8" t="str">
        <f>"625,0"</f>
        <v>625,0</v>
      </c>
      <c r="T6" s="8" t="str">
        <f>"367,8125"</f>
        <v>367,8125</v>
      </c>
      <c r="U6" s="7"/>
    </row>
    <row r="7" spans="1:21">
      <c r="A7" s="12" t="s">
        <v>57</v>
      </c>
      <c r="B7" s="11" t="s">
        <v>24</v>
      </c>
      <c r="C7" s="11" t="s">
        <v>34</v>
      </c>
      <c r="D7" s="11" t="s">
        <v>26</v>
      </c>
      <c r="E7" s="11" t="s">
        <v>632</v>
      </c>
      <c r="F7" s="11" t="s">
        <v>598</v>
      </c>
      <c r="G7" s="23" t="s">
        <v>27</v>
      </c>
      <c r="H7" s="23" t="s">
        <v>28</v>
      </c>
      <c r="I7" s="23" t="s">
        <v>29</v>
      </c>
      <c r="J7" s="12"/>
      <c r="K7" s="23" t="s">
        <v>30</v>
      </c>
      <c r="L7" s="23" t="s">
        <v>31</v>
      </c>
      <c r="M7" s="23" t="s">
        <v>17</v>
      </c>
      <c r="N7" s="12"/>
      <c r="O7" s="23" t="s">
        <v>27</v>
      </c>
      <c r="P7" s="23" t="s">
        <v>32</v>
      </c>
      <c r="Q7" s="24" t="s">
        <v>33</v>
      </c>
      <c r="R7" s="12"/>
      <c r="S7" s="12" t="str">
        <f>"625,0"</f>
        <v>625,0</v>
      </c>
      <c r="T7" s="12" t="str">
        <f>"396,5019"</f>
        <v>396,5019</v>
      </c>
      <c r="U7" s="11"/>
    </row>
    <row r="8" spans="1:21">
      <c r="B8" s="5" t="s">
        <v>59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5.33203125" style="5" bestFit="1" customWidth="1"/>
    <col min="4" max="4" width="21" style="5" bestFit="1" customWidth="1"/>
    <col min="5" max="5" width="10.1640625" style="5" bestFit="1" customWidth="1"/>
    <col min="6" max="6" width="18.33203125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6" width="5.33203125" style="6" customWidth="1"/>
    <col min="17" max="17" width="5.5" style="6" customWidth="1"/>
    <col min="18" max="18" width="4.6640625" style="6" customWidth="1"/>
    <col min="19" max="19" width="7.6640625" style="6" bestFit="1" customWidth="1"/>
    <col min="20" max="20" width="8.3320312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3" t="s">
        <v>581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7</v>
      </c>
      <c r="H3" s="45"/>
      <c r="I3" s="45"/>
      <c r="J3" s="45"/>
      <c r="K3" s="45" t="s">
        <v>8</v>
      </c>
      <c r="L3" s="45"/>
      <c r="M3" s="45"/>
      <c r="N3" s="45"/>
      <c r="O3" s="45" t="s">
        <v>9</v>
      </c>
      <c r="P3" s="45"/>
      <c r="Q3" s="45"/>
      <c r="R3" s="45"/>
      <c r="S3" s="45" t="s">
        <v>1</v>
      </c>
      <c r="T3" s="45" t="s">
        <v>3</v>
      </c>
      <c r="U3" s="50" t="s">
        <v>2</v>
      </c>
    </row>
    <row r="4" spans="1:21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4"/>
      <c r="T4" s="44"/>
      <c r="U4" s="51"/>
    </row>
    <row r="5" spans="1:21" ht="16">
      <c r="A5" s="52" t="s">
        <v>182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25" t="s">
        <v>57</v>
      </c>
      <c r="B6" s="17" t="s">
        <v>314</v>
      </c>
      <c r="C6" s="17" t="s">
        <v>315</v>
      </c>
      <c r="D6" s="17" t="s">
        <v>316</v>
      </c>
      <c r="E6" s="17" t="s">
        <v>629</v>
      </c>
      <c r="F6" s="17" t="s">
        <v>607</v>
      </c>
      <c r="G6" s="26" t="s">
        <v>33</v>
      </c>
      <c r="H6" s="27" t="s">
        <v>45</v>
      </c>
      <c r="I6" s="27" t="s">
        <v>15</v>
      </c>
      <c r="J6" s="25"/>
      <c r="K6" s="26" t="s">
        <v>70</v>
      </c>
      <c r="L6" s="27" t="s">
        <v>18</v>
      </c>
      <c r="M6" s="27" t="s">
        <v>18</v>
      </c>
      <c r="N6" s="25"/>
      <c r="O6" s="26" t="s">
        <v>32</v>
      </c>
      <c r="P6" s="27" t="s">
        <v>39</v>
      </c>
      <c r="Q6" s="25"/>
      <c r="R6" s="25"/>
      <c r="S6" s="25" t="str">
        <f>"580,0"</f>
        <v>580,0</v>
      </c>
      <c r="T6" s="25" t="str">
        <f>"354,1480"</f>
        <v>354,1480</v>
      </c>
      <c r="U6" s="17"/>
    </row>
    <row r="7" spans="1:21">
      <c r="B7" s="5" t="s">
        <v>59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46"/>
  <sheetViews>
    <sheetView workbookViewId="0">
      <selection activeCell="E37" sqref="E37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1.83203125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5" width="7.6640625" style="28" bestFit="1" customWidth="1"/>
    <col min="16" max="16" width="8.3320312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33" t="s">
        <v>571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8" t="s">
        <v>1</v>
      </c>
      <c r="P3" s="45" t="s">
        <v>3</v>
      </c>
      <c r="Q3" s="50" t="s">
        <v>2</v>
      </c>
    </row>
    <row r="4" spans="1:17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44"/>
      <c r="Q4" s="51"/>
    </row>
    <row r="5" spans="1:17" ht="16">
      <c r="A5" s="52" t="s">
        <v>230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25" t="s">
        <v>57</v>
      </c>
      <c r="B6" s="17" t="s">
        <v>231</v>
      </c>
      <c r="C6" s="17" t="s">
        <v>232</v>
      </c>
      <c r="D6" s="17" t="s">
        <v>233</v>
      </c>
      <c r="E6" s="17" t="s">
        <v>629</v>
      </c>
      <c r="F6" s="17" t="s">
        <v>594</v>
      </c>
      <c r="G6" s="26" t="s">
        <v>235</v>
      </c>
      <c r="H6" s="27" t="s">
        <v>135</v>
      </c>
      <c r="I6" s="27" t="s">
        <v>135</v>
      </c>
      <c r="J6" s="25"/>
      <c r="K6" s="26" t="s">
        <v>71</v>
      </c>
      <c r="L6" s="26" t="s">
        <v>236</v>
      </c>
      <c r="M6" s="27" t="s">
        <v>64</v>
      </c>
      <c r="N6" s="25"/>
      <c r="O6" s="29" t="str">
        <f>"190,0"</f>
        <v>190,0</v>
      </c>
      <c r="P6" s="25" t="str">
        <f>"257,1080"</f>
        <v>257,1080</v>
      </c>
      <c r="Q6" s="17" t="s">
        <v>191</v>
      </c>
    </row>
    <row r="7" spans="1:17">
      <c r="B7" s="5" t="s">
        <v>59</v>
      </c>
    </row>
    <row r="8" spans="1:17" ht="16">
      <c r="A8" s="46" t="s">
        <v>106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7">
      <c r="A9" s="25" t="s">
        <v>57</v>
      </c>
      <c r="B9" s="17" t="s">
        <v>248</v>
      </c>
      <c r="C9" s="17" t="s">
        <v>249</v>
      </c>
      <c r="D9" s="17" t="s">
        <v>250</v>
      </c>
      <c r="E9" s="17" t="s">
        <v>629</v>
      </c>
      <c r="F9" s="17" t="s">
        <v>598</v>
      </c>
      <c r="G9" s="26" t="s">
        <v>94</v>
      </c>
      <c r="H9" s="27" t="s">
        <v>135</v>
      </c>
      <c r="I9" s="27" t="s">
        <v>135</v>
      </c>
      <c r="J9" s="25"/>
      <c r="K9" s="27" t="s">
        <v>111</v>
      </c>
      <c r="L9" s="26" t="s">
        <v>111</v>
      </c>
      <c r="M9" s="27" t="s">
        <v>251</v>
      </c>
      <c r="N9" s="25"/>
      <c r="O9" s="29" t="str">
        <f>"135,0"</f>
        <v>135,0</v>
      </c>
      <c r="P9" s="25" t="str">
        <f>"150,5115"</f>
        <v>150,5115</v>
      </c>
      <c r="Q9" s="17"/>
    </row>
    <row r="10" spans="1:17">
      <c r="B10" s="5" t="s">
        <v>59</v>
      </c>
    </row>
    <row r="11" spans="1:17" ht="16">
      <c r="A11" s="46" t="s">
        <v>106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7">
      <c r="A12" s="25" t="s">
        <v>57</v>
      </c>
      <c r="B12" s="17" t="s">
        <v>267</v>
      </c>
      <c r="C12" s="17" t="s">
        <v>268</v>
      </c>
      <c r="D12" s="17" t="s">
        <v>269</v>
      </c>
      <c r="E12" s="17" t="s">
        <v>634</v>
      </c>
      <c r="F12" s="17" t="s">
        <v>597</v>
      </c>
      <c r="G12" s="26" t="s">
        <v>91</v>
      </c>
      <c r="H12" s="26" t="s">
        <v>92</v>
      </c>
      <c r="I12" s="26" t="s">
        <v>272</v>
      </c>
      <c r="J12" s="25"/>
      <c r="K12" s="26" t="s">
        <v>101</v>
      </c>
      <c r="L12" s="26" t="s">
        <v>102</v>
      </c>
      <c r="M12" s="26" t="s">
        <v>256</v>
      </c>
      <c r="N12" s="25"/>
      <c r="O12" s="29" t="str">
        <f>"200,0"</f>
        <v>200,0</v>
      </c>
      <c r="P12" s="25" t="str">
        <f>"174,6200"</f>
        <v>174,6200</v>
      </c>
      <c r="Q12" s="17" t="s">
        <v>191</v>
      </c>
    </row>
    <row r="13" spans="1:17">
      <c r="B13" s="5" t="s">
        <v>59</v>
      </c>
    </row>
    <row r="14" spans="1:17" ht="16">
      <c r="A14" s="46" t="s">
        <v>60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7">
      <c r="A15" s="8" t="s">
        <v>57</v>
      </c>
      <c r="B15" s="7" t="s">
        <v>61</v>
      </c>
      <c r="C15" s="7" t="s">
        <v>62</v>
      </c>
      <c r="D15" s="7" t="s">
        <v>63</v>
      </c>
      <c r="E15" s="7" t="s">
        <v>629</v>
      </c>
      <c r="F15" s="7" t="s">
        <v>610</v>
      </c>
      <c r="G15" s="19" t="s">
        <v>64</v>
      </c>
      <c r="H15" s="19" t="s">
        <v>65</v>
      </c>
      <c r="I15" s="20" t="s">
        <v>30</v>
      </c>
      <c r="J15" s="8"/>
      <c r="K15" s="19" t="s">
        <v>43</v>
      </c>
      <c r="L15" s="20" t="s">
        <v>27</v>
      </c>
      <c r="M15" s="20" t="s">
        <v>32</v>
      </c>
      <c r="N15" s="8"/>
      <c r="O15" s="30" t="str">
        <f>"350,0"</f>
        <v>350,0</v>
      </c>
      <c r="P15" s="8" t="str">
        <f>"249,4100"</f>
        <v>249,4100</v>
      </c>
      <c r="Q15" s="7" t="s">
        <v>66</v>
      </c>
    </row>
    <row r="16" spans="1:17">
      <c r="A16" s="12" t="s">
        <v>58</v>
      </c>
      <c r="B16" s="11" t="s">
        <v>413</v>
      </c>
      <c r="C16" s="11" t="s">
        <v>414</v>
      </c>
      <c r="D16" s="11" t="s">
        <v>63</v>
      </c>
      <c r="E16" s="11" t="s">
        <v>629</v>
      </c>
      <c r="F16" s="11" t="s">
        <v>613</v>
      </c>
      <c r="G16" s="23" t="s">
        <v>103</v>
      </c>
      <c r="H16" s="23" t="s">
        <v>77</v>
      </c>
      <c r="I16" s="24" t="s">
        <v>78</v>
      </c>
      <c r="J16" s="12"/>
      <c r="K16" s="23" t="s">
        <v>31</v>
      </c>
      <c r="L16" s="23" t="s">
        <v>41</v>
      </c>
      <c r="M16" s="23" t="s">
        <v>170</v>
      </c>
      <c r="N16" s="12"/>
      <c r="O16" s="31" t="str">
        <f>"332,5"</f>
        <v>332,5</v>
      </c>
      <c r="P16" s="12" t="str">
        <f>"236,9395"</f>
        <v>236,9395</v>
      </c>
      <c r="Q16" s="11" t="s">
        <v>242</v>
      </c>
    </row>
    <row r="17" spans="1:17">
      <c r="B17" s="5" t="s">
        <v>59</v>
      </c>
    </row>
    <row r="18" spans="1:17" ht="16">
      <c r="A18" s="46" t="s">
        <v>73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7">
      <c r="A19" s="8" t="s">
        <v>57</v>
      </c>
      <c r="B19" s="7" t="s">
        <v>287</v>
      </c>
      <c r="C19" s="7" t="s">
        <v>288</v>
      </c>
      <c r="D19" s="7" t="s">
        <v>289</v>
      </c>
      <c r="E19" s="7" t="s">
        <v>635</v>
      </c>
      <c r="F19" s="7" t="s">
        <v>597</v>
      </c>
      <c r="G19" s="19" t="s">
        <v>251</v>
      </c>
      <c r="H19" s="19" t="s">
        <v>101</v>
      </c>
      <c r="I19" s="20" t="s">
        <v>115</v>
      </c>
      <c r="J19" s="8"/>
      <c r="K19" s="19" t="s">
        <v>43</v>
      </c>
      <c r="L19" s="20" t="s">
        <v>32</v>
      </c>
      <c r="M19" s="20" t="s">
        <v>32</v>
      </c>
      <c r="N19" s="8"/>
      <c r="O19" s="30" t="str">
        <f>"310,0"</f>
        <v>310,0</v>
      </c>
      <c r="P19" s="8" t="str">
        <f>"209,5290"</f>
        <v>209,5290</v>
      </c>
      <c r="Q19" s="7"/>
    </row>
    <row r="20" spans="1:17">
      <c r="A20" s="10" t="s">
        <v>57</v>
      </c>
      <c r="B20" s="9" t="s">
        <v>422</v>
      </c>
      <c r="C20" s="9" t="s">
        <v>423</v>
      </c>
      <c r="D20" s="9" t="s">
        <v>76</v>
      </c>
      <c r="E20" s="9" t="s">
        <v>629</v>
      </c>
      <c r="F20" s="9" t="s">
        <v>596</v>
      </c>
      <c r="G20" s="21" t="s">
        <v>77</v>
      </c>
      <c r="H20" s="22" t="s">
        <v>64</v>
      </c>
      <c r="I20" s="22" t="s">
        <v>64</v>
      </c>
      <c r="J20" s="10"/>
      <c r="K20" s="21" t="s">
        <v>20</v>
      </c>
      <c r="L20" s="22" t="s">
        <v>213</v>
      </c>
      <c r="M20" s="22" t="s">
        <v>213</v>
      </c>
      <c r="N20" s="10"/>
      <c r="O20" s="32" t="str">
        <f>"380,0"</f>
        <v>380,0</v>
      </c>
      <c r="P20" s="10" t="str">
        <f>"254,5620"</f>
        <v>254,5620</v>
      </c>
      <c r="Q20" s="9" t="s">
        <v>242</v>
      </c>
    </row>
    <row r="21" spans="1:17">
      <c r="A21" s="12" t="s">
        <v>57</v>
      </c>
      <c r="B21" s="11" t="s">
        <v>74</v>
      </c>
      <c r="C21" s="11" t="s">
        <v>75</v>
      </c>
      <c r="D21" s="11" t="s">
        <v>76</v>
      </c>
      <c r="E21" s="11" t="s">
        <v>632</v>
      </c>
      <c r="F21" s="11" t="s">
        <v>611</v>
      </c>
      <c r="G21" s="23" t="s">
        <v>77</v>
      </c>
      <c r="H21" s="23" t="s">
        <v>78</v>
      </c>
      <c r="I21" s="24" t="s">
        <v>65</v>
      </c>
      <c r="J21" s="12"/>
      <c r="K21" s="23" t="s">
        <v>27</v>
      </c>
      <c r="L21" s="24" t="s">
        <v>32</v>
      </c>
      <c r="M21" s="24" t="s">
        <v>32</v>
      </c>
      <c r="N21" s="12"/>
      <c r="O21" s="31" t="str">
        <f>"352,5"</f>
        <v>352,5</v>
      </c>
      <c r="P21" s="12" t="str">
        <f>"236,1398"</f>
        <v>236,1398</v>
      </c>
      <c r="Q21" s="11" t="s">
        <v>66</v>
      </c>
    </row>
    <row r="22" spans="1:17">
      <c r="B22" s="5" t="s">
        <v>59</v>
      </c>
    </row>
    <row r="23" spans="1:17" ht="16">
      <c r="A23" s="46" t="s">
        <v>79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7">
      <c r="A24" s="25" t="s">
        <v>57</v>
      </c>
      <c r="B24" s="17" t="s">
        <v>431</v>
      </c>
      <c r="C24" s="17" t="s">
        <v>432</v>
      </c>
      <c r="D24" s="17" t="s">
        <v>82</v>
      </c>
      <c r="E24" s="17" t="s">
        <v>629</v>
      </c>
      <c r="F24" s="17" t="s">
        <v>598</v>
      </c>
      <c r="G24" s="26" t="s">
        <v>77</v>
      </c>
      <c r="H24" s="27" t="s">
        <v>64</v>
      </c>
      <c r="I24" s="27" t="s">
        <v>64</v>
      </c>
      <c r="J24" s="25"/>
      <c r="K24" s="26" t="s">
        <v>27</v>
      </c>
      <c r="L24" s="26" t="s">
        <v>32</v>
      </c>
      <c r="M24" s="27" t="s">
        <v>33</v>
      </c>
      <c r="N24" s="25"/>
      <c r="O24" s="29" t="str">
        <f>"355,0"</f>
        <v>355,0</v>
      </c>
      <c r="P24" s="25" t="str">
        <f>"226,6320"</f>
        <v>226,6320</v>
      </c>
      <c r="Q24" s="17" t="s">
        <v>214</v>
      </c>
    </row>
    <row r="25" spans="1:17">
      <c r="B25" s="5" t="s">
        <v>59</v>
      </c>
    </row>
    <row r="26" spans="1:17" ht="16">
      <c r="A26" s="46" t="s">
        <v>182</v>
      </c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1:17">
      <c r="A27" s="8" t="s">
        <v>226</v>
      </c>
      <c r="B27" s="7" t="s">
        <v>542</v>
      </c>
      <c r="C27" s="7" t="s">
        <v>543</v>
      </c>
      <c r="D27" s="7" t="s">
        <v>544</v>
      </c>
      <c r="E27" s="7" t="s">
        <v>632</v>
      </c>
      <c r="F27" s="7" t="s">
        <v>614</v>
      </c>
      <c r="G27" s="20" t="s">
        <v>545</v>
      </c>
      <c r="H27" s="20" t="s">
        <v>545</v>
      </c>
      <c r="I27" s="20" t="s">
        <v>545</v>
      </c>
      <c r="J27" s="8"/>
      <c r="K27" s="20"/>
      <c r="L27" s="8"/>
      <c r="M27" s="8"/>
      <c r="N27" s="8"/>
      <c r="O27" s="30">
        <v>0</v>
      </c>
      <c r="P27" s="8" t="str">
        <f>"0,0000"</f>
        <v>0,0000</v>
      </c>
      <c r="Q27" s="7" t="s">
        <v>546</v>
      </c>
    </row>
    <row r="28" spans="1:17">
      <c r="A28" s="12" t="s">
        <v>57</v>
      </c>
      <c r="B28" s="11" t="s">
        <v>547</v>
      </c>
      <c r="C28" s="11" t="s">
        <v>548</v>
      </c>
      <c r="D28" s="11" t="s">
        <v>549</v>
      </c>
      <c r="E28" s="11" t="s">
        <v>633</v>
      </c>
      <c r="F28" s="11" t="s">
        <v>598</v>
      </c>
      <c r="G28" s="23" t="s">
        <v>171</v>
      </c>
      <c r="H28" s="24" t="s">
        <v>30</v>
      </c>
      <c r="I28" s="24" t="s">
        <v>30</v>
      </c>
      <c r="J28" s="12"/>
      <c r="K28" s="23" t="s">
        <v>42</v>
      </c>
      <c r="L28" s="23" t="s">
        <v>43</v>
      </c>
      <c r="M28" s="23" t="s">
        <v>27</v>
      </c>
      <c r="N28" s="12"/>
      <c r="O28" s="31" t="str">
        <f>"355,0"</f>
        <v>355,0</v>
      </c>
      <c r="P28" s="12" t="str">
        <f>"272,5512"</f>
        <v>272,5512</v>
      </c>
      <c r="Q28" s="11"/>
    </row>
    <row r="29" spans="1:17">
      <c r="B29" s="5" t="s">
        <v>59</v>
      </c>
    </row>
    <row r="30" spans="1:17" ht="16">
      <c r="A30" s="46" t="s">
        <v>10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7">
      <c r="A31" s="8" t="s">
        <v>57</v>
      </c>
      <c r="B31" s="7" t="s">
        <v>24</v>
      </c>
      <c r="C31" s="7" t="s">
        <v>25</v>
      </c>
      <c r="D31" s="7" t="s">
        <v>26</v>
      </c>
      <c r="E31" s="7" t="s">
        <v>629</v>
      </c>
      <c r="F31" s="7" t="s">
        <v>598</v>
      </c>
      <c r="G31" s="19" t="s">
        <v>30</v>
      </c>
      <c r="H31" s="19" t="s">
        <v>31</v>
      </c>
      <c r="I31" s="19" t="s">
        <v>17</v>
      </c>
      <c r="J31" s="8"/>
      <c r="K31" s="19" t="s">
        <v>27</v>
      </c>
      <c r="L31" s="19" t="s">
        <v>32</v>
      </c>
      <c r="M31" s="20" t="s">
        <v>33</v>
      </c>
      <c r="N31" s="8"/>
      <c r="O31" s="30" t="str">
        <f>"390,0"</f>
        <v>390,0</v>
      </c>
      <c r="P31" s="8" t="str">
        <f>"229,5150"</f>
        <v>229,5150</v>
      </c>
      <c r="Q31" s="7"/>
    </row>
    <row r="32" spans="1:17">
      <c r="A32" s="12" t="s">
        <v>57</v>
      </c>
      <c r="B32" s="11" t="s">
        <v>24</v>
      </c>
      <c r="C32" s="11" t="s">
        <v>34</v>
      </c>
      <c r="D32" s="11" t="s">
        <v>26</v>
      </c>
      <c r="E32" s="11" t="s">
        <v>632</v>
      </c>
      <c r="F32" s="11" t="s">
        <v>598</v>
      </c>
      <c r="G32" s="23" t="s">
        <v>30</v>
      </c>
      <c r="H32" s="23" t="s">
        <v>31</v>
      </c>
      <c r="I32" s="23" t="s">
        <v>17</v>
      </c>
      <c r="J32" s="12"/>
      <c r="K32" s="23" t="s">
        <v>27</v>
      </c>
      <c r="L32" s="23" t="s">
        <v>32</v>
      </c>
      <c r="M32" s="24" t="s">
        <v>33</v>
      </c>
      <c r="N32" s="12"/>
      <c r="O32" s="31" t="str">
        <f>"390,0"</f>
        <v>390,0</v>
      </c>
      <c r="P32" s="12" t="str">
        <f>"247,4172"</f>
        <v>247,4172</v>
      </c>
      <c r="Q32" s="11"/>
    </row>
    <row r="33" spans="1:17">
      <c r="B33" s="5" t="s">
        <v>59</v>
      </c>
    </row>
    <row r="34" spans="1:17" ht="16">
      <c r="A34" s="46" t="s">
        <v>35</v>
      </c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7">
      <c r="A35" s="8" t="s">
        <v>57</v>
      </c>
      <c r="B35" s="7" t="s">
        <v>300</v>
      </c>
      <c r="C35" s="7" t="s">
        <v>301</v>
      </c>
      <c r="D35" s="7" t="s">
        <v>302</v>
      </c>
      <c r="E35" s="7" t="s">
        <v>629</v>
      </c>
      <c r="F35" s="7" t="s">
        <v>605</v>
      </c>
      <c r="G35" s="19" t="s">
        <v>17</v>
      </c>
      <c r="H35" s="19" t="s">
        <v>41</v>
      </c>
      <c r="I35" s="19" t="s">
        <v>18</v>
      </c>
      <c r="J35" s="8"/>
      <c r="K35" s="19" t="s">
        <v>39</v>
      </c>
      <c r="L35" s="19" t="s">
        <v>14</v>
      </c>
      <c r="M35" s="20" t="s">
        <v>45</v>
      </c>
      <c r="N35" s="8"/>
      <c r="O35" s="30" t="str">
        <f>"470,0"</f>
        <v>470,0</v>
      </c>
      <c r="P35" s="8" t="str">
        <f>"268,9810"</f>
        <v>268,9810</v>
      </c>
      <c r="Q35" s="7" t="s">
        <v>303</v>
      </c>
    </row>
    <row r="36" spans="1:17">
      <c r="A36" s="12" t="s">
        <v>58</v>
      </c>
      <c r="B36" s="11" t="s">
        <v>304</v>
      </c>
      <c r="C36" s="11" t="s">
        <v>305</v>
      </c>
      <c r="D36" s="11" t="s">
        <v>306</v>
      </c>
      <c r="E36" s="11" t="s">
        <v>629</v>
      </c>
      <c r="F36" s="11" t="s">
        <v>599</v>
      </c>
      <c r="G36" s="23" t="s">
        <v>77</v>
      </c>
      <c r="H36" s="24" t="s">
        <v>171</v>
      </c>
      <c r="I36" s="24" t="s">
        <v>171</v>
      </c>
      <c r="J36" s="12"/>
      <c r="K36" s="23" t="s">
        <v>27</v>
      </c>
      <c r="L36" s="24" t="s">
        <v>28</v>
      </c>
      <c r="M36" s="24" t="s">
        <v>28</v>
      </c>
      <c r="N36" s="12"/>
      <c r="O36" s="31" t="str">
        <f>"345,0"</f>
        <v>345,0</v>
      </c>
      <c r="P36" s="12" t="str">
        <f>"198,9270"</f>
        <v>198,9270</v>
      </c>
      <c r="Q36" s="11" t="s">
        <v>257</v>
      </c>
    </row>
    <row r="37" spans="1:17">
      <c r="B37" s="5" t="s">
        <v>59</v>
      </c>
    </row>
    <row r="38" spans="1:17">
      <c r="B38" s="5" t="s">
        <v>59</v>
      </c>
    </row>
    <row r="39" spans="1:17">
      <c r="B39" s="5" t="s">
        <v>59</v>
      </c>
    </row>
    <row r="40" spans="1:17" ht="18">
      <c r="B40" s="13" t="s">
        <v>47</v>
      </c>
      <c r="C40" s="13"/>
      <c r="F40" s="3"/>
    </row>
    <row r="41" spans="1:17" ht="16">
      <c r="B41" s="14" t="s">
        <v>48</v>
      </c>
      <c r="C41" s="14"/>
      <c r="F41" s="3"/>
    </row>
    <row r="42" spans="1:17" ht="14">
      <c r="B42" s="15"/>
      <c r="C42" s="16" t="s">
        <v>49</v>
      </c>
      <c r="F42" s="3"/>
    </row>
    <row r="43" spans="1:17" ht="14">
      <c r="B43" s="18" t="s">
        <v>50</v>
      </c>
      <c r="C43" s="18" t="s">
        <v>51</v>
      </c>
      <c r="D43" s="18" t="s">
        <v>590</v>
      </c>
      <c r="E43" s="18" t="s">
        <v>53</v>
      </c>
      <c r="F43" s="18" t="s">
        <v>54</v>
      </c>
    </row>
    <row r="44" spans="1:17">
      <c r="B44" s="5" t="s">
        <v>300</v>
      </c>
      <c r="C44" s="5" t="s">
        <v>49</v>
      </c>
      <c r="D44" s="6" t="s">
        <v>55</v>
      </c>
      <c r="E44" s="6" t="s">
        <v>550</v>
      </c>
      <c r="F44" s="6" t="s">
        <v>551</v>
      </c>
    </row>
    <row r="45" spans="1:17">
      <c r="B45" s="5" t="s">
        <v>422</v>
      </c>
      <c r="C45" s="5" t="s">
        <v>49</v>
      </c>
      <c r="D45" s="6" t="s">
        <v>86</v>
      </c>
      <c r="E45" s="6" t="s">
        <v>552</v>
      </c>
      <c r="F45" s="6" t="s">
        <v>553</v>
      </c>
    </row>
    <row r="46" spans="1:17">
      <c r="B46" s="5" t="s">
        <v>61</v>
      </c>
      <c r="C46" s="5" t="s">
        <v>49</v>
      </c>
      <c r="D46" s="6" t="s">
        <v>85</v>
      </c>
      <c r="E46" s="6" t="s">
        <v>201</v>
      </c>
      <c r="F46" s="6" t="s">
        <v>554</v>
      </c>
    </row>
  </sheetData>
  <mergeCells count="21">
    <mergeCell ref="A30:N30"/>
    <mergeCell ref="A34:N34"/>
    <mergeCell ref="B3:B4"/>
    <mergeCell ref="A8:N8"/>
    <mergeCell ref="A11:N11"/>
    <mergeCell ref="A14:N14"/>
    <mergeCell ref="A18:N18"/>
    <mergeCell ref="A23:N23"/>
    <mergeCell ref="A26:N26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30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5.33203125" style="5" bestFit="1" customWidth="1"/>
    <col min="4" max="4" width="21" style="5" bestFit="1" customWidth="1"/>
    <col min="5" max="5" width="10.1640625" style="5" bestFit="1" customWidth="1"/>
    <col min="6" max="6" width="21.6640625" style="5" customWidth="1"/>
    <col min="7" max="9" width="5.33203125" style="6" customWidth="1"/>
    <col min="10" max="10" width="4.6640625" style="6" customWidth="1"/>
    <col min="11" max="13" width="5.33203125" style="6" customWidth="1"/>
    <col min="14" max="14" width="4.6640625" style="6" customWidth="1"/>
    <col min="15" max="15" width="7.6640625" style="6" bestFit="1" customWidth="1"/>
    <col min="16" max="16" width="8.3320312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33" t="s">
        <v>572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</v>
      </c>
      <c r="P3" s="45" t="s">
        <v>3</v>
      </c>
      <c r="Q3" s="50" t="s">
        <v>2</v>
      </c>
    </row>
    <row r="4" spans="1:17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51"/>
    </row>
    <row r="5" spans="1:17" ht="16">
      <c r="A5" s="52" t="s">
        <v>73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8" t="s">
        <v>57</v>
      </c>
      <c r="B6" s="7" t="s">
        <v>142</v>
      </c>
      <c r="C6" s="7" t="s">
        <v>143</v>
      </c>
      <c r="D6" s="7" t="s">
        <v>144</v>
      </c>
      <c r="E6" s="7" t="s">
        <v>629</v>
      </c>
      <c r="F6" s="7" t="s">
        <v>597</v>
      </c>
      <c r="G6" s="19" t="s">
        <v>18</v>
      </c>
      <c r="H6" s="20" t="s">
        <v>42</v>
      </c>
      <c r="I6" s="20" t="s">
        <v>42</v>
      </c>
      <c r="J6" s="8"/>
      <c r="K6" s="19" t="s">
        <v>147</v>
      </c>
      <c r="L6" s="19" t="s">
        <v>148</v>
      </c>
      <c r="M6" s="19" t="s">
        <v>149</v>
      </c>
      <c r="N6" s="8"/>
      <c r="O6" s="8" t="str">
        <f>"540,0"</f>
        <v>540,0</v>
      </c>
      <c r="P6" s="8" t="str">
        <f>"362,0160"</f>
        <v>362,0160</v>
      </c>
      <c r="Q6" s="7"/>
    </row>
    <row r="7" spans="1:17">
      <c r="A7" s="10" t="s">
        <v>58</v>
      </c>
      <c r="B7" s="9" t="s">
        <v>150</v>
      </c>
      <c r="C7" s="9" t="s">
        <v>151</v>
      </c>
      <c r="D7" s="9" t="s">
        <v>152</v>
      </c>
      <c r="E7" s="9" t="s">
        <v>629</v>
      </c>
      <c r="F7" s="9" t="s">
        <v>603</v>
      </c>
      <c r="G7" s="21" t="s">
        <v>17</v>
      </c>
      <c r="H7" s="22" t="s">
        <v>153</v>
      </c>
      <c r="I7" s="21" t="s">
        <v>153</v>
      </c>
      <c r="J7" s="10"/>
      <c r="K7" s="21" t="s">
        <v>44</v>
      </c>
      <c r="L7" s="22" t="s">
        <v>45</v>
      </c>
      <c r="M7" s="22" t="s">
        <v>45</v>
      </c>
      <c r="N7" s="10"/>
      <c r="O7" s="10" t="str">
        <f>"455,0"</f>
        <v>455,0</v>
      </c>
      <c r="P7" s="10" t="str">
        <f>"306,3970"</f>
        <v>306,3970</v>
      </c>
      <c r="Q7" s="9" t="s">
        <v>154</v>
      </c>
    </row>
    <row r="8" spans="1:17">
      <c r="A8" s="12" t="s">
        <v>227</v>
      </c>
      <c r="B8" s="11" t="s">
        <v>533</v>
      </c>
      <c r="C8" s="11" t="s">
        <v>534</v>
      </c>
      <c r="D8" s="11" t="s">
        <v>535</v>
      </c>
      <c r="E8" s="11" t="s">
        <v>629</v>
      </c>
      <c r="F8" s="11" t="s">
        <v>608</v>
      </c>
      <c r="G8" s="24" t="s">
        <v>103</v>
      </c>
      <c r="H8" s="24" t="s">
        <v>103</v>
      </c>
      <c r="I8" s="23" t="s">
        <v>103</v>
      </c>
      <c r="J8" s="12"/>
      <c r="K8" s="23" t="s">
        <v>171</v>
      </c>
      <c r="L8" s="24" t="s">
        <v>31</v>
      </c>
      <c r="M8" s="23" t="s">
        <v>41</v>
      </c>
      <c r="N8" s="12"/>
      <c r="O8" s="12" t="str">
        <f>"300,0"</f>
        <v>300,0</v>
      </c>
      <c r="P8" s="12" t="str">
        <f>"208,3500"</f>
        <v>208,3500</v>
      </c>
      <c r="Q8" s="11"/>
    </row>
    <row r="9" spans="1:17">
      <c r="B9" s="5" t="s">
        <v>59</v>
      </c>
    </row>
    <row r="10" spans="1:17" ht="16">
      <c r="A10" s="46" t="s">
        <v>79</v>
      </c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7">
      <c r="A11" s="25" t="s">
        <v>57</v>
      </c>
      <c r="B11" s="17" t="s">
        <v>164</v>
      </c>
      <c r="C11" s="17" t="s">
        <v>165</v>
      </c>
      <c r="D11" s="17" t="s">
        <v>166</v>
      </c>
      <c r="E11" s="17" t="s">
        <v>629</v>
      </c>
      <c r="F11" s="17" t="s">
        <v>608</v>
      </c>
      <c r="G11" s="26" t="s">
        <v>65</v>
      </c>
      <c r="H11" s="26" t="s">
        <v>30</v>
      </c>
      <c r="I11" s="27" t="s">
        <v>69</v>
      </c>
      <c r="J11" s="25"/>
      <c r="K11" s="26" t="s">
        <v>163</v>
      </c>
      <c r="L11" s="27" t="s">
        <v>145</v>
      </c>
      <c r="M11" s="27" t="s">
        <v>145</v>
      </c>
      <c r="N11" s="25"/>
      <c r="O11" s="25" t="str">
        <f>"405,0"</f>
        <v>405,0</v>
      </c>
      <c r="P11" s="25" t="str">
        <f>"259,6050"</f>
        <v>259,6050</v>
      </c>
      <c r="Q11" s="17" t="s">
        <v>167</v>
      </c>
    </row>
    <row r="12" spans="1:17">
      <c r="B12" s="5" t="s">
        <v>59</v>
      </c>
    </row>
    <row r="13" spans="1:17" ht="16">
      <c r="A13" s="46" t="s">
        <v>182</v>
      </c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7">
      <c r="A14" s="8" t="s">
        <v>57</v>
      </c>
      <c r="B14" s="7" t="s">
        <v>183</v>
      </c>
      <c r="C14" s="7" t="s">
        <v>184</v>
      </c>
      <c r="D14" s="7" t="s">
        <v>185</v>
      </c>
      <c r="E14" s="7" t="s">
        <v>629</v>
      </c>
      <c r="F14" s="7" t="s">
        <v>601</v>
      </c>
      <c r="G14" s="19" t="s">
        <v>43</v>
      </c>
      <c r="H14" s="20" t="s">
        <v>27</v>
      </c>
      <c r="I14" s="20" t="s">
        <v>27</v>
      </c>
      <c r="J14" s="8"/>
      <c r="K14" s="19" t="s">
        <v>45</v>
      </c>
      <c r="L14" s="19" t="s">
        <v>40</v>
      </c>
      <c r="M14" s="20" t="s">
        <v>16</v>
      </c>
      <c r="N14" s="8"/>
      <c r="O14" s="8" t="str">
        <f>"500,0"</f>
        <v>500,0</v>
      </c>
      <c r="P14" s="8" t="str">
        <f>"307,7500"</f>
        <v>307,7500</v>
      </c>
      <c r="Q14" s="7" t="s">
        <v>186</v>
      </c>
    </row>
    <row r="15" spans="1:17">
      <c r="A15" s="10" t="s">
        <v>58</v>
      </c>
      <c r="B15" s="9" t="s">
        <v>464</v>
      </c>
      <c r="C15" s="9" t="s">
        <v>465</v>
      </c>
      <c r="D15" s="9" t="s">
        <v>438</v>
      </c>
      <c r="E15" s="9" t="s">
        <v>629</v>
      </c>
      <c r="F15" s="9" t="s">
        <v>615</v>
      </c>
      <c r="G15" s="21" t="s">
        <v>69</v>
      </c>
      <c r="H15" s="21" t="s">
        <v>17</v>
      </c>
      <c r="I15" s="22" t="s">
        <v>41</v>
      </c>
      <c r="J15" s="10"/>
      <c r="K15" s="21" t="s">
        <v>40</v>
      </c>
      <c r="L15" s="22" t="s">
        <v>199</v>
      </c>
      <c r="M15" s="10"/>
      <c r="N15" s="10"/>
      <c r="O15" s="10" t="str">
        <f>"470,0"</f>
        <v>470,0</v>
      </c>
      <c r="P15" s="10" t="str">
        <f>"286,6060"</f>
        <v>286,6060</v>
      </c>
      <c r="Q15" s="9" t="s">
        <v>466</v>
      </c>
    </row>
    <row r="16" spans="1:17">
      <c r="A16" s="12" t="s">
        <v>227</v>
      </c>
      <c r="B16" s="11" t="s">
        <v>187</v>
      </c>
      <c r="C16" s="11" t="s">
        <v>188</v>
      </c>
      <c r="D16" s="11" t="s">
        <v>189</v>
      </c>
      <c r="E16" s="11" t="s">
        <v>629</v>
      </c>
      <c r="F16" s="11" t="s">
        <v>597</v>
      </c>
      <c r="G16" s="23" t="s">
        <v>41</v>
      </c>
      <c r="H16" s="24" t="s">
        <v>18</v>
      </c>
      <c r="I16" s="24" t="s">
        <v>18</v>
      </c>
      <c r="J16" s="12"/>
      <c r="K16" s="23" t="s">
        <v>145</v>
      </c>
      <c r="L16" s="23" t="s">
        <v>39</v>
      </c>
      <c r="M16" s="24" t="s">
        <v>190</v>
      </c>
      <c r="N16" s="12"/>
      <c r="O16" s="12" t="str">
        <f>"450,0"</f>
        <v>450,0</v>
      </c>
      <c r="P16" s="12" t="str">
        <f>"274,9950"</f>
        <v>274,9950</v>
      </c>
      <c r="Q16" s="11" t="s">
        <v>191</v>
      </c>
    </row>
    <row r="17" spans="1:17">
      <c r="B17" s="5" t="s">
        <v>59</v>
      </c>
    </row>
    <row r="18" spans="1:17" ht="16">
      <c r="A18" s="46" t="s">
        <v>10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7">
      <c r="A19" s="25" t="s">
        <v>57</v>
      </c>
      <c r="B19" s="17" t="s">
        <v>202</v>
      </c>
      <c r="C19" s="17" t="s">
        <v>203</v>
      </c>
      <c r="D19" s="17" t="s">
        <v>204</v>
      </c>
      <c r="E19" s="17" t="s">
        <v>629</v>
      </c>
      <c r="F19" s="17" t="s">
        <v>609</v>
      </c>
      <c r="G19" s="26" t="s">
        <v>195</v>
      </c>
      <c r="H19" s="26" t="s">
        <v>205</v>
      </c>
      <c r="I19" s="27" t="s">
        <v>27</v>
      </c>
      <c r="J19" s="25"/>
      <c r="K19" s="26" t="s">
        <v>39</v>
      </c>
      <c r="L19" s="27" t="s">
        <v>44</v>
      </c>
      <c r="M19" s="25"/>
      <c r="N19" s="25"/>
      <c r="O19" s="25" t="str">
        <f>"477,5"</f>
        <v>477,5</v>
      </c>
      <c r="P19" s="25" t="str">
        <f>"283,6827"</f>
        <v>283,6827</v>
      </c>
      <c r="Q19" s="17" t="s">
        <v>206</v>
      </c>
    </row>
    <row r="20" spans="1:17">
      <c r="B20" s="5" t="s">
        <v>59</v>
      </c>
    </row>
    <row r="21" spans="1:17">
      <c r="B21" s="5" t="s">
        <v>59</v>
      </c>
    </row>
    <row r="22" spans="1:17">
      <c r="B22" s="5" t="s">
        <v>59</v>
      </c>
    </row>
    <row r="23" spans="1:17" ht="18">
      <c r="B23" s="13" t="s">
        <v>47</v>
      </c>
      <c r="C23" s="13"/>
      <c r="F23" s="3"/>
    </row>
    <row r="24" spans="1:17" ht="16">
      <c r="B24" s="14" t="s">
        <v>48</v>
      </c>
      <c r="C24" s="14"/>
      <c r="F24" s="3"/>
    </row>
    <row r="25" spans="1:17" ht="14">
      <c r="B25" s="15"/>
      <c r="C25" s="16" t="s">
        <v>49</v>
      </c>
      <c r="F25" s="3"/>
    </row>
    <row r="26" spans="1:17" ht="14">
      <c r="B26" s="18" t="s">
        <v>50</v>
      </c>
      <c r="C26" s="18" t="s">
        <v>51</v>
      </c>
      <c r="D26" s="18" t="s">
        <v>52</v>
      </c>
      <c r="E26" s="18" t="s">
        <v>53</v>
      </c>
      <c r="F26" s="18" t="s">
        <v>54</v>
      </c>
    </row>
    <row r="27" spans="1:17">
      <c r="B27" s="5" t="s">
        <v>142</v>
      </c>
      <c r="C27" s="5" t="s">
        <v>49</v>
      </c>
      <c r="D27" s="6" t="s">
        <v>86</v>
      </c>
      <c r="E27" s="6" t="s">
        <v>536</v>
      </c>
      <c r="F27" s="6" t="s">
        <v>537</v>
      </c>
    </row>
    <row r="28" spans="1:17">
      <c r="B28" s="5" t="s">
        <v>183</v>
      </c>
      <c r="C28" s="5" t="s">
        <v>49</v>
      </c>
      <c r="D28" s="6" t="s">
        <v>223</v>
      </c>
      <c r="E28" s="6" t="s">
        <v>538</v>
      </c>
      <c r="F28" s="6" t="s">
        <v>539</v>
      </c>
    </row>
    <row r="29" spans="1:17">
      <c r="B29" s="5" t="s">
        <v>150</v>
      </c>
      <c r="C29" s="5" t="s">
        <v>49</v>
      </c>
      <c r="D29" s="6" t="s">
        <v>86</v>
      </c>
      <c r="E29" s="6" t="s">
        <v>540</v>
      </c>
      <c r="F29" s="6" t="s">
        <v>541</v>
      </c>
    </row>
    <row r="30" spans="1:17">
      <c r="B30" s="5" t="s">
        <v>59</v>
      </c>
    </row>
  </sheetData>
  <mergeCells count="16">
    <mergeCell ref="A10:N10"/>
    <mergeCell ref="A13:N13"/>
    <mergeCell ref="A18:N1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70"/>
  <sheetViews>
    <sheetView topLeftCell="A25" workbookViewId="0">
      <selection activeCell="E61" sqref="E61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7" style="5" bestFit="1" customWidth="1"/>
    <col min="4" max="4" width="21" style="5" bestFit="1" customWidth="1"/>
    <col min="5" max="5" width="10.1640625" style="5" bestFit="1" customWidth="1"/>
    <col min="6" max="6" width="23.1640625" style="5" bestFit="1" customWidth="1"/>
    <col min="7" max="9" width="5.33203125" style="6" customWidth="1"/>
    <col min="10" max="10" width="4.6640625" style="6" customWidth="1"/>
    <col min="11" max="11" width="10.5" style="6" bestFit="1" customWidth="1"/>
    <col min="12" max="12" width="8.33203125" style="6" bestFit="1" customWidth="1"/>
    <col min="13" max="13" width="26.6640625" style="5" bestFit="1" customWidth="1"/>
    <col min="14" max="16384" width="9.1640625" style="3"/>
  </cols>
  <sheetData>
    <row r="1" spans="1:13" s="2" customFormat="1" ht="29" customHeight="1">
      <c r="A1" s="33" t="s">
        <v>578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626</v>
      </c>
      <c r="B3" s="54" t="s">
        <v>0</v>
      </c>
      <c r="C3" s="43" t="s">
        <v>627</v>
      </c>
      <c r="D3" s="43" t="s">
        <v>5</v>
      </c>
      <c r="E3" s="45" t="s">
        <v>628</v>
      </c>
      <c r="F3" s="45" t="s">
        <v>6</v>
      </c>
      <c r="G3" s="45" t="s">
        <v>8</v>
      </c>
      <c r="H3" s="45"/>
      <c r="I3" s="45"/>
      <c r="J3" s="45"/>
      <c r="K3" s="45" t="s">
        <v>321</v>
      </c>
      <c r="L3" s="45" t="s">
        <v>3</v>
      </c>
      <c r="M3" s="50" t="s">
        <v>2</v>
      </c>
    </row>
    <row r="4" spans="1:13" s="1" customFormat="1" ht="21" customHeight="1" thickBot="1">
      <c r="A4" s="42"/>
      <c r="B4" s="55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51"/>
    </row>
    <row r="5" spans="1:13" ht="16">
      <c r="A5" s="52" t="s">
        <v>230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57</v>
      </c>
      <c r="B6" s="7" t="s">
        <v>386</v>
      </c>
      <c r="C6" s="7" t="s">
        <v>387</v>
      </c>
      <c r="D6" s="7" t="s">
        <v>388</v>
      </c>
      <c r="E6" s="7" t="s">
        <v>630</v>
      </c>
      <c r="F6" s="7" t="s">
        <v>597</v>
      </c>
      <c r="G6" s="19" t="s">
        <v>94</v>
      </c>
      <c r="H6" s="19" t="s">
        <v>130</v>
      </c>
      <c r="I6" s="20" t="s">
        <v>235</v>
      </c>
      <c r="J6" s="8"/>
      <c r="K6" s="8" t="str">
        <f>"50,0"</f>
        <v>50,0</v>
      </c>
      <c r="L6" s="8" t="str">
        <f>"66,9350"</f>
        <v>66,9350</v>
      </c>
      <c r="M6" s="7"/>
    </row>
    <row r="7" spans="1:13">
      <c r="A7" s="12" t="s">
        <v>57</v>
      </c>
      <c r="B7" s="11" t="s">
        <v>231</v>
      </c>
      <c r="C7" s="11" t="s">
        <v>232</v>
      </c>
      <c r="D7" s="11" t="s">
        <v>233</v>
      </c>
      <c r="E7" s="11" t="s">
        <v>629</v>
      </c>
      <c r="F7" s="11" t="s">
        <v>594</v>
      </c>
      <c r="G7" s="23" t="s">
        <v>235</v>
      </c>
      <c r="H7" s="24" t="s">
        <v>135</v>
      </c>
      <c r="I7" s="24" t="s">
        <v>135</v>
      </c>
      <c r="J7" s="12"/>
      <c r="K7" s="12" t="str">
        <f>"52,5"</f>
        <v>52,5</v>
      </c>
      <c r="L7" s="12" t="str">
        <f>"71,0430"</f>
        <v>71,0430</v>
      </c>
      <c r="M7" s="11" t="s">
        <v>191</v>
      </c>
    </row>
    <row r="8" spans="1:13">
      <c r="B8" s="5" t="s">
        <v>59</v>
      </c>
    </row>
    <row r="9" spans="1:13" ht="16">
      <c r="A9" s="46" t="s">
        <v>123</v>
      </c>
      <c r="B9" s="46"/>
      <c r="C9" s="47"/>
      <c r="D9" s="47"/>
      <c r="E9" s="47"/>
      <c r="F9" s="47"/>
      <c r="G9" s="47"/>
      <c r="H9" s="47"/>
      <c r="I9" s="47"/>
      <c r="J9" s="47"/>
    </row>
    <row r="10" spans="1:13">
      <c r="A10" s="25" t="s">
        <v>57</v>
      </c>
      <c r="B10" s="17" t="s">
        <v>389</v>
      </c>
      <c r="C10" s="17" t="s">
        <v>390</v>
      </c>
      <c r="D10" s="17" t="s">
        <v>265</v>
      </c>
      <c r="E10" s="17" t="s">
        <v>629</v>
      </c>
      <c r="F10" s="17" t="s">
        <v>597</v>
      </c>
      <c r="G10" s="27" t="s">
        <v>104</v>
      </c>
      <c r="H10" s="27" t="s">
        <v>104</v>
      </c>
      <c r="I10" s="26" t="s">
        <v>104</v>
      </c>
      <c r="J10" s="25"/>
      <c r="K10" s="25" t="str">
        <f>"72,5"</f>
        <v>72,5</v>
      </c>
      <c r="L10" s="25" t="str">
        <f>"86,5143"</f>
        <v>86,5143</v>
      </c>
      <c r="M10" s="17" t="s">
        <v>589</v>
      </c>
    </row>
    <row r="11" spans="1:13">
      <c r="B11" s="5" t="s">
        <v>59</v>
      </c>
    </row>
    <row r="12" spans="1:13" ht="16">
      <c r="A12" s="46" t="s">
        <v>106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25" t="s">
        <v>57</v>
      </c>
      <c r="B13" s="17" t="s">
        <v>248</v>
      </c>
      <c r="C13" s="17" t="s">
        <v>249</v>
      </c>
      <c r="D13" s="17" t="s">
        <v>250</v>
      </c>
      <c r="E13" s="17" t="s">
        <v>629</v>
      </c>
      <c r="F13" s="17" t="s">
        <v>598</v>
      </c>
      <c r="G13" s="26" t="s">
        <v>94</v>
      </c>
      <c r="H13" s="27" t="s">
        <v>135</v>
      </c>
      <c r="I13" s="27" t="s">
        <v>135</v>
      </c>
      <c r="J13" s="25"/>
      <c r="K13" s="25" t="str">
        <f>"45,0"</f>
        <v>45,0</v>
      </c>
      <c r="L13" s="25" t="str">
        <f>"50,1705"</f>
        <v>50,1705</v>
      </c>
      <c r="M13" s="17"/>
    </row>
    <row r="14" spans="1:13">
      <c r="B14" s="5" t="s">
        <v>59</v>
      </c>
    </row>
    <row r="15" spans="1:13" ht="16">
      <c r="A15" s="46" t="s">
        <v>118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25" t="s">
        <v>57</v>
      </c>
      <c r="B16" s="17" t="s">
        <v>391</v>
      </c>
      <c r="C16" s="17" t="s">
        <v>392</v>
      </c>
      <c r="D16" s="17" t="s">
        <v>393</v>
      </c>
      <c r="E16" s="17" t="s">
        <v>629</v>
      </c>
      <c r="F16" s="17" t="s">
        <v>612</v>
      </c>
      <c r="G16" s="26" t="s">
        <v>127</v>
      </c>
      <c r="H16" s="26" t="s">
        <v>114</v>
      </c>
      <c r="I16" s="27" t="s">
        <v>247</v>
      </c>
      <c r="J16" s="25"/>
      <c r="K16" s="25" t="str">
        <f>"65,0"</f>
        <v>65,0</v>
      </c>
      <c r="L16" s="25" t="str">
        <f>"66,3390"</f>
        <v>66,3390</v>
      </c>
      <c r="M16" s="17"/>
    </row>
    <row r="17" spans="1:13">
      <c r="B17" s="5" t="s">
        <v>59</v>
      </c>
    </row>
    <row r="18" spans="1:13" ht="16">
      <c r="A18" s="46" t="s">
        <v>123</v>
      </c>
      <c r="B18" s="46"/>
      <c r="C18" s="47"/>
      <c r="D18" s="47"/>
      <c r="E18" s="47"/>
      <c r="F18" s="47"/>
      <c r="G18" s="47"/>
      <c r="H18" s="47"/>
      <c r="I18" s="47"/>
      <c r="J18" s="47"/>
    </row>
    <row r="19" spans="1:13">
      <c r="A19" s="25" t="s">
        <v>57</v>
      </c>
      <c r="B19" s="17" t="s">
        <v>394</v>
      </c>
      <c r="C19" s="17" t="s">
        <v>395</v>
      </c>
      <c r="D19" s="17" t="s">
        <v>396</v>
      </c>
      <c r="E19" s="17" t="s">
        <v>629</v>
      </c>
      <c r="F19" s="17" t="s">
        <v>605</v>
      </c>
      <c r="G19" s="26" t="s">
        <v>246</v>
      </c>
      <c r="H19" s="27" t="s">
        <v>397</v>
      </c>
      <c r="I19" s="26" t="s">
        <v>397</v>
      </c>
      <c r="J19" s="25"/>
      <c r="K19" s="25" t="str">
        <f>"111,0"</f>
        <v>111,0</v>
      </c>
      <c r="L19" s="25" t="str">
        <f>"101,2209"</f>
        <v>101,2209</v>
      </c>
      <c r="M19" s="17"/>
    </row>
    <row r="20" spans="1:13">
      <c r="B20" s="5" t="s">
        <v>59</v>
      </c>
    </row>
    <row r="21" spans="1:13" ht="16">
      <c r="A21" s="46" t="s">
        <v>106</v>
      </c>
      <c r="B21" s="46"/>
      <c r="C21" s="47"/>
      <c r="D21" s="47"/>
      <c r="E21" s="47"/>
      <c r="F21" s="47"/>
      <c r="G21" s="47"/>
      <c r="H21" s="47"/>
      <c r="I21" s="47"/>
      <c r="J21" s="47"/>
    </row>
    <row r="22" spans="1:13">
      <c r="A22" s="8" t="s">
        <v>57</v>
      </c>
      <c r="B22" s="7" t="s">
        <v>267</v>
      </c>
      <c r="C22" s="7" t="s">
        <v>268</v>
      </c>
      <c r="D22" s="7" t="s">
        <v>269</v>
      </c>
      <c r="E22" s="7" t="s">
        <v>634</v>
      </c>
      <c r="F22" s="7" t="s">
        <v>597</v>
      </c>
      <c r="G22" s="19" t="s">
        <v>91</v>
      </c>
      <c r="H22" s="19" t="s">
        <v>92</v>
      </c>
      <c r="I22" s="19" t="s">
        <v>272</v>
      </c>
      <c r="J22" s="8"/>
      <c r="K22" s="8" t="str">
        <f>"77,5"</f>
        <v>77,5</v>
      </c>
      <c r="L22" s="8" t="str">
        <f>"67,6652"</f>
        <v>67,6652</v>
      </c>
      <c r="M22" s="7" t="s">
        <v>191</v>
      </c>
    </row>
    <row r="23" spans="1:13">
      <c r="A23" s="12" t="s">
        <v>57</v>
      </c>
      <c r="B23" s="11" t="s">
        <v>398</v>
      </c>
      <c r="C23" s="11" t="s">
        <v>399</v>
      </c>
      <c r="D23" s="11" t="s">
        <v>400</v>
      </c>
      <c r="E23" s="11" t="s">
        <v>629</v>
      </c>
      <c r="F23" s="11" t="s">
        <v>611</v>
      </c>
      <c r="G23" s="24" t="s">
        <v>111</v>
      </c>
      <c r="H23" s="23" t="s">
        <v>95</v>
      </c>
      <c r="I23" s="23" t="s">
        <v>234</v>
      </c>
      <c r="J23" s="12"/>
      <c r="K23" s="12" t="str">
        <f>"97,5"</f>
        <v>97,5</v>
      </c>
      <c r="L23" s="12" t="str">
        <f>"83,6647"</f>
        <v>83,6647</v>
      </c>
      <c r="M23" s="11" t="s">
        <v>401</v>
      </c>
    </row>
    <row r="24" spans="1:13">
      <c r="B24" s="5" t="s">
        <v>59</v>
      </c>
    </row>
    <row r="25" spans="1:13" ht="16">
      <c r="A25" s="46" t="s">
        <v>118</v>
      </c>
      <c r="B25" s="46"/>
      <c r="C25" s="47"/>
      <c r="D25" s="47"/>
      <c r="E25" s="47"/>
      <c r="F25" s="47"/>
      <c r="G25" s="47"/>
      <c r="H25" s="47"/>
      <c r="I25" s="47"/>
      <c r="J25" s="47"/>
    </row>
    <row r="26" spans="1:13">
      <c r="A26" s="25" t="s">
        <v>57</v>
      </c>
      <c r="B26" s="17" t="s">
        <v>402</v>
      </c>
      <c r="C26" s="17" t="s">
        <v>403</v>
      </c>
      <c r="D26" s="17" t="s">
        <v>393</v>
      </c>
      <c r="E26" s="17" t="s">
        <v>634</v>
      </c>
      <c r="F26" s="17" t="s">
        <v>598</v>
      </c>
      <c r="G26" s="26" t="s">
        <v>275</v>
      </c>
      <c r="H26" s="27" t="s">
        <v>95</v>
      </c>
      <c r="I26" s="25"/>
      <c r="J26" s="25"/>
      <c r="K26" s="25" t="str">
        <f>"85,0"</f>
        <v>85,0</v>
      </c>
      <c r="L26" s="25" t="str">
        <f>"65,5350"</f>
        <v>65,5350</v>
      </c>
      <c r="M26" s="17" t="s">
        <v>214</v>
      </c>
    </row>
    <row r="27" spans="1:13">
      <c r="B27" s="5" t="s">
        <v>59</v>
      </c>
    </row>
    <row r="28" spans="1:13" ht="16">
      <c r="A28" s="46" t="s">
        <v>60</v>
      </c>
      <c r="B28" s="46"/>
      <c r="C28" s="47"/>
      <c r="D28" s="47"/>
      <c r="E28" s="47"/>
      <c r="F28" s="47"/>
      <c r="G28" s="47"/>
      <c r="H28" s="47"/>
      <c r="I28" s="47"/>
      <c r="J28" s="47"/>
    </row>
    <row r="29" spans="1:13">
      <c r="A29" s="8" t="s">
        <v>57</v>
      </c>
      <c r="B29" s="7" t="s">
        <v>404</v>
      </c>
      <c r="C29" s="7" t="s">
        <v>405</v>
      </c>
      <c r="D29" s="7" t="s">
        <v>406</v>
      </c>
      <c r="E29" s="7" t="s">
        <v>635</v>
      </c>
      <c r="F29" s="7" t="s">
        <v>606</v>
      </c>
      <c r="G29" s="19" t="s">
        <v>251</v>
      </c>
      <c r="H29" s="20" t="s">
        <v>101</v>
      </c>
      <c r="I29" s="20" t="s">
        <v>102</v>
      </c>
      <c r="J29" s="8"/>
      <c r="K29" s="8" t="str">
        <f>"100,0"</f>
        <v>100,0</v>
      </c>
      <c r="L29" s="8" t="str">
        <f>"73,7500"</f>
        <v>73,7500</v>
      </c>
      <c r="M29" s="7" t="s">
        <v>407</v>
      </c>
    </row>
    <row r="30" spans="1:13">
      <c r="A30" s="10" t="s">
        <v>58</v>
      </c>
      <c r="B30" s="9" t="s">
        <v>408</v>
      </c>
      <c r="C30" s="9" t="s">
        <v>409</v>
      </c>
      <c r="D30" s="9" t="s">
        <v>63</v>
      </c>
      <c r="E30" s="9" t="s">
        <v>635</v>
      </c>
      <c r="F30" s="9" t="s">
        <v>597</v>
      </c>
      <c r="G30" s="21" t="s">
        <v>128</v>
      </c>
      <c r="H30" s="21" t="s">
        <v>275</v>
      </c>
      <c r="I30" s="21" t="s">
        <v>95</v>
      </c>
      <c r="J30" s="10"/>
      <c r="K30" s="10" t="str">
        <f>"95,0"</f>
        <v>95,0</v>
      </c>
      <c r="L30" s="10" t="str">
        <f>"67,6970"</f>
        <v>67,6970</v>
      </c>
      <c r="M30" s="9" t="s">
        <v>407</v>
      </c>
    </row>
    <row r="31" spans="1:13">
      <c r="A31" s="10" t="s">
        <v>57</v>
      </c>
      <c r="B31" s="9" t="s">
        <v>410</v>
      </c>
      <c r="C31" s="9" t="s">
        <v>411</v>
      </c>
      <c r="D31" s="9" t="s">
        <v>412</v>
      </c>
      <c r="E31" s="9" t="s">
        <v>630</v>
      </c>
      <c r="F31" s="9" t="s">
        <v>611</v>
      </c>
      <c r="G31" s="22" t="s">
        <v>77</v>
      </c>
      <c r="H31" s="21" t="s">
        <v>77</v>
      </c>
      <c r="I31" s="22" t="s">
        <v>171</v>
      </c>
      <c r="J31" s="10"/>
      <c r="K31" s="10" t="str">
        <f>"135,0"</f>
        <v>135,0</v>
      </c>
      <c r="L31" s="10" t="str">
        <f>"97,1055"</f>
        <v>97,1055</v>
      </c>
      <c r="M31" s="9"/>
    </row>
    <row r="32" spans="1:13">
      <c r="A32" s="10" t="s">
        <v>57</v>
      </c>
      <c r="B32" s="9" t="s">
        <v>61</v>
      </c>
      <c r="C32" s="9" t="s">
        <v>62</v>
      </c>
      <c r="D32" s="9" t="s">
        <v>63</v>
      </c>
      <c r="E32" s="9" t="s">
        <v>629</v>
      </c>
      <c r="F32" s="9" t="s">
        <v>610</v>
      </c>
      <c r="G32" s="21" t="s">
        <v>64</v>
      </c>
      <c r="H32" s="21" t="s">
        <v>65</v>
      </c>
      <c r="I32" s="22" t="s">
        <v>30</v>
      </c>
      <c r="J32" s="10"/>
      <c r="K32" s="10" t="str">
        <f>"150,0"</f>
        <v>150,0</v>
      </c>
      <c r="L32" s="10" t="str">
        <f>"106,8900"</f>
        <v>106,8900</v>
      </c>
      <c r="M32" s="9" t="s">
        <v>66</v>
      </c>
    </row>
    <row r="33" spans="1:13">
      <c r="A33" s="10" t="s">
        <v>58</v>
      </c>
      <c r="B33" s="9" t="s">
        <v>413</v>
      </c>
      <c r="C33" s="9" t="s">
        <v>414</v>
      </c>
      <c r="D33" s="9" t="s">
        <v>63</v>
      </c>
      <c r="E33" s="9" t="s">
        <v>629</v>
      </c>
      <c r="F33" s="9" t="s">
        <v>613</v>
      </c>
      <c r="G33" s="21" t="s">
        <v>103</v>
      </c>
      <c r="H33" s="21" t="s">
        <v>77</v>
      </c>
      <c r="I33" s="22" t="s">
        <v>78</v>
      </c>
      <c r="J33" s="10"/>
      <c r="K33" s="10" t="str">
        <f>"135,0"</f>
        <v>135,0</v>
      </c>
      <c r="L33" s="10" t="str">
        <f>"96,2010"</f>
        <v>96,2010</v>
      </c>
      <c r="M33" s="9" t="s">
        <v>242</v>
      </c>
    </row>
    <row r="34" spans="1:13">
      <c r="A34" s="10" t="s">
        <v>227</v>
      </c>
      <c r="B34" s="9" t="s">
        <v>413</v>
      </c>
      <c r="C34" s="9" t="s">
        <v>414</v>
      </c>
      <c r="D34" s="9" t="s">
        <v>63</v>
      </c>
      <c r="E34" s="9" t="s">
        <v>629</v>
      </c>
      <c r="F34" s="9" t="s">
        <v>613</v>
      </c>
      <c r="G34" s="21" t="s">
        <v>103</v>
      </c>
      <c r="H34" s="21" t="s">
        <v>77</v>
      </c>
      <c r="I34" s="22" t="s">
        <v>78</v>
      </c>
      <c r="J34" s="10"/>
      <c r="K34" s="10" t="str">
        <f>"135,0"</f>
        <v>135,0</v>
      </c>
      <c r="L34" s="10" t="str">
        <f>"96,2010"</f>
        <v>96,2010</v>
      </c>
      <c r="M34" s="9" t="s">
        <v>242</v>
      </c>
    </row>
    <row r="35" spans="1:13">
      <c r="A35" s="12" t="s">
        <v>228</v>
      </c>
      <c r="B35" s="11" t="s">
        <v>415</v>
      </c>
      <c r="C35" s="11" t="s">
        <v>416</v>
      </c>
      <c r="D35" s="11" t="s">
        <v>63</v>
      </c>
      <c r="E35" s="11" t="s">
        <v>629</v>
      </c>
      <c r="F35" s="11" t="s">
        <v>616</v>
      </c>
      <c r="G35" s="23" t="s">
        <v>115</v>
      </c>
      <c r="H35" s="23" t="s">
        <v>256</v>
      </c>
      <c r="I35" s="24" t="s">
        <v>70</v>
      </c>
      <c r="J35" s="12"/>
      <c r="K35" s="12" t="str">
        <f>"122,5"</f>
        <v>122,5</v>
      </c>
      <c r="L35" s="12" t="str">
        <f>"87,2935"</f>
        <v>87,2935</v>
      </c>
      <c r="M35" s="11" t="s">
        <v>417</v>
      </c>
    </row>
    <row r="36" spans="1:13">
      <c r="B36" s="5" t="s">
        <v>59</v>
      </c>
    </row>
    <row r="37" spans="1:13" ht="16">
      <c r="A37" s="46" t="s">
        <v>73</v>
      </c>
      <c r="B37" s="46"/>
      <c r="C37" s="47"/>
      <c r="D37" s="47"/>
      <c r="E37" s="47"/>
      <c r="F37" s="47"/>
      <c r="G37" s="47"/>
      <c r="H37" s="47"/>
      <c r="I37" s="47"/>
      <c r="J37" s="47"/>
    </row>
    <row r="38" spans="1:13">
      <c r="A38" s="8" t="s">
        <v>57</v>
      </c>
      <c r="B38" s="7" t="s">
        <v>418</v>
      </c>
      <c r="C38" s="7" t="s">
        <v>419</v>
      </c>
      <c r="D38" s="7" t="s">
        <v>420</v>
      </c>
      <c r="E38" s="7" t="s">
        <v>629</v>
      </c>
      <c r="F38" s="7" t="s">
        <v>616</v>
      </c>
      <c r="G38" s="19" t="s">
        <v>103</v>
      </c>
      <c r="H38" s="20" t="s">
        <v>70</v>
      </c>
      <c r="I38" s="19" t="s">
        <v>236</v>
      </c>
      <c r="J38" s="8"/>
      <c r="K38" s="8" t="str">
        <f>"137,5"</f>
        <v>137,5</v>
      </c>
      <c r="L38" s="8" t="str">
        <f>"93,8712"</f>
        <v>93,8712</v>
      </c>
      <c r="M38" s="7" t="s">
        <v>421</v>
      </c>
    </row>
    <row r="39" spans="1:13">
      <c r="A39" s="10" t="s">
        <v>58</v>
      </c>
      <c r="B39" s="9" t="s">
        <v>422</v>
      </c>
      <c r="C39" s="9" t="s">
        <v>423</v>
      </c>
      <c r="D39" s="9" t="s">
        <v>76</v>
      </c>
      <c r="E39" s="9" t="s">
        <v>629</v>
      </c>
      <c r="F39" s="9" t="s">
        <v>596</v>
      </c>
      <c r="G39" s="21" t="s">
        <v>77</v>
      </c>
      <c r="H39" s="22" t="s">
        <v>64</v>
      </c>
      <c r="I39" s="22" t="s">
        <v>64</v>
      </c>
      <c r="J39" s="10"/>
      <c r="K39" s="10" t="str">
        <f>"135,0"</f>
        <v>135,0</v>
      </c>
      <c r="L39" s="10" t="str">
        <f>"90,4365"</f>
        <v>90,4365</v>
      </c>
      <c r="M39" s="9" t="s">
        <v>242</v>
      </c>
    </row>
    <row r="40" spans="1:13">
      <c r="A40" s="10" t="s">
        <v>227</v>
      </c>
      <c r="B40" s="9" t="s">
        <v>424</v>
      </c>
      <c r="C40" s="9" t="s">
        <v>425</v>
      </c>
      <c r="D40" s="9" t="s">
        <v>426</v>
      </c>
      <c r="E40" s="9" t="s">
        <v>629</v>
      </c>
      <c r="F40" s="9" t="s">
        <v>597</v>
      </c>
      <c r="G40" s="21" t="s">
        <v>102</v>
      </c>
      <c r="H40" s="22" t="s">
        <v>284</v>
      </c>
      <c r="I40" s="22" t="s">
        <v>284</v>
      </c>
      <c r="J40" s="10"/>
      <c r="K40" s="10" t="str">
        <f>"117,5"</f>
        <v>117,5</v>
      </c>
      <c r="L40" s="10" t="str">
        <f>"79,4770"</f>
        <v>79,4770</v>
      </c>
      <c r="M40" s="9" t="s">
        <v>427</v>
      </c>
    </row>
    <row r="41" spans="1:13">
      <c r="A41" s="10" t="s">
        <v>228</v>
      </c>
      <c r="B41" s="9" t="s">
        <v>428</v>
      </c>
      <c r="C41" s="9" t="s">
        <v>429</v>
      </c>
      <c r="D41" s="9" t="s">
        <v>430</v>
      </c>
      <c r="E41" s="9" t="s">
        <v>629</v>
      </c>
      <c r="F41" s="9" t="s">
        <v>614</v>
      </c>
      <c r="G41" s="21" t="s">
        <v>96</v>
      </c>
      <c r="H41" s="21" t="s">
        <v>246</v>
      </c>
      <c r="I41" s="22" t="s">
        <v>262</v>
      </c>
      <c r="J41" s="10"/>
      <c r="K41" s="10" t="str">
        <f>"107,5"</f>
        <v>107,5</v>
      </c>
      <c r="L41" s="10" t="str">
        <f>"74,8523"</f>
        <v>74,8523</v>
      </c>
      <c r="M41" s="9" t="s">
        <v>546</v>
      </c>
    </row>
    <row r="42" spans="1:13">
      <c r="A42" s="12" t="s">
        <v>57</v>
      </c>
      <c r="B42" s="11" t="s">
        <v>74</v>
      </c>
      <c r="C42" s="11" t="s">
        <v>75</v>
      </c>
      <c r="D42" s="11" t="s">
        <v>76</v>
      </c>
      <c r="E42" s="11" t="s">
        <v>632</v>
      </c>
      <c r="F42" s="11" t="s">
        <v>611</v>
      </c>
      <c r="G42" s="23" t="s">
        <v>77</v>
      </c>
      <c r="H42" s="23" t="s">
        <v>78</v>
      </c>
      <c r="I42" s="24" t="s">
        <v>65</v>
      </c>
      <c r="J42" s="12"/>
      <c r="K42" s="12" t="str">
        <f>"142,5"</f>
        <v>142,5</v>
      </c>
      <c r="L42" s="12" t="str">
        <f>"95,4608"</f>
        <v>95,4608</v>
      </c>
      <c r="M42" s="11" t="s">
        <v>66</v>
      </c>
    </row>
    <row r="43" spans="1:13">
      <c r="B43" s="5" t="s">
        <v>59</v>
      </c>
    </row>
    <row r="44" spans="1:13" ht="16">
      <c r="A44" s="46" t="s">
        <v>79</v>
      </c>
      <c r="B44" s="46"/>
      <c r="C44" s="47"/>
      <c r="D44" s="47"/>
      <c r="E44" s="47"/>
      <c r="F44" s="47"/>
      <c r="G44" s="47"/>
      <c r="H44" s="47"/>
      <c r="I44" s="47"/>
      <c r="J44" s="47"/>
    </row>
    <row r="45" spans="1:13">
      <c r="A45" s="8" t="s">
        <v>57</v>
      </c>
      <c r="B45" s="7" t="s">
        <v>431</v>
      </c>
      <c r="C45" s="7" t="s">
        <v>432</v>
      </c>
      <c r="D45" s="7" t="s">
        <v>82</v>
      </c>
      <c r="E45" s="7" t="s">
        <v>629</v>
      </c>
      <c r="F45" s="7" t="s">
        <v>598</v>
      </c>
      <c r="G45" s="19" t="s">
        <v>77</v>
      </c>
      <c r="H45" s="20" t="s">
        <v>64</v>
      </c>
      <c r="I45" s="20" t="s">
        <v>64</v>
      </c>
      <c r="J45" s="8"/>
      <c r="K45" s="8" t="str">
        <f>"135,0"</f>
        <v>135,0</v>
      </c>
      <c r="L45" s="8" t="str">
        <f>"86,1840"</f>
        <v>86,1840</v>
      </c>
      <c r="M45" s="7" t="s">
        <v>214</v>
      </c>
    </row>
    <row r="46" spans="1:13">
      <c r="A46" s="12" t="s">
        <v>58</v>
      </c>
      <c r="B46" s="11" t="s">
        <v>433</v>
      </c>
      <c r="C46" s="11" t="s">
        <v>434</v>
      </c>
      <c r="D46" s="11" t="s">
        <v>435</v>
      </c>
      <c r="E46" s="11" t="s">
        <v>629</v>
      </c>
      <c r="F46" s="11" t="s">
        <v>610</v>
      </c>
      <c r="G46" s="23" t="s">
        <v>103</v>
      </c>
      <c r="H46" s="23" t="s">
        <v>70</v>
      </c>
      <c r="I46" s="24" t="s">
        <v>77</v>
      </c>
      <c r="J46" s="12"/>
      <c r="K46" s="12" t="str">
        <f>"130,0"</f>
        <v>130,0</v>
      </c>
      <c r="L46" s="12" t="str">
        <f>"83,7720"</f>
        <v>83,7720</v>
      </c>
      <c r="M46" s="11" t="s">
        <v>66</v>
      </c>
    </row>
    <row r="47" spans="1:13">
      <c r="B47" s="5" t="s">
        <v>59</v>
      </c>
    </row>
    <row r="48" spans="1:13" ht="16">
      <c r="A48" s="46" t="s">
        <v>182</v>
      </c>
      <c r="B48" s="46"/>
      <c r="C48" s="47"/>
      <c r="D48" s="47"/>
      <c r="E48" s="47"/>
      <c r="F48" s="47"/>
      <c r="G48" s="47"/>
      <c r="H48" s="47"/>
      <c r="I48" s="47"/>
      <c r="J48" s="47"/>
    </row>
    <row r="49" spans="1:13">
      <c r="A49" s="25" t="s">
        <v>57</v>
      </c>
      <c r="B49" s="17" t="s">
        <v>436</v>
      </c>
      <c r="C49" s="17" t="s">
        <v>437</v>
      </c>
      <c r="D49" s="17" t="s">
        <v>438</v>
      </c>
      <c r="E49" s="17" t="s">
        <v>629</v>
      </c>
      <c r="F49" s="17" t="s">
        <v>610</v>
      </c>
      <c r="G49" s="26" t="s">
        <v>17</v>
      </c>
      <c r="H49" s="26" t="s">
        <v>153</v>
      </c>
      <c r="I49" s="27" t="s">
        <v>41</v>
      </c>
      <c r="J49" s="25"/>
      <c r="K49" s="25" t="str">
        <f>"175,0"</f>
        <v>175,0</v>
      </c>
      <c r="L49" s="25" t="str">
        <f>"106,7150"</f>
        <v>106,7150</v>
      </c>
      <c r="M49" s="17" t="s">
        <v>66</v>
      </c>
    </row>
    <row r="50" spans="1:13">
      <c r="B50" s="5" t="s">
        <v>59</v>
      </c>
    </row>
    <row r="51" spans="1:13" ht="16">
      <c r="A51" s="46" t="s">
        <v>10</v>
      </c>
      <c r="B51" s="46"/>
      <c r="C51" s="47"/>
      <c r="D51" s="47"/>
      <c r="E51" s="47"/>
      <c r="F51" s="47"/>
      <c r="G51" s="47"/>
      <c r="H51" s="47"/>
      <c r="I51" s="47"/>
      <c r="J51" s="47"/>
    </row>
    <row r="52" spans="1:13">
      <c r="A52" s="8" t="s">
        <v>57</v>
      </c>
      <c r="B52" s="7" t="s">
        <v>439</v>
      </c>
      <c r="C52" s="7" t="s">
        <v>440</v>
      </c>
      <c r="D52" s="7" t="s">
        <v>441</v>
      </c>
      <c r="E52" s="7" t="s">
        <v>635</v>
      </c>
      <c r="F52" s="7" t="s">
        <v>611</v>
      </c>
      <c r="G52" s="19" t="s">
        <v>70</v>
      </c>
      <c r="H52" s="19" t="s">
        <v>64</v>
      </c>
      <c r="I52" s="20" t="s">
        <v>65</v>
      </c>
      <c r="J52" s="8"/>
      <c r="K52" s="8" t="str">
        <f>"140,0"</f>
        <v>140,0</v>
      </c>
      <c r="L52" s="8" t="str">
        <f>"82,4600"</f>
        <v>82,4600</v>
      </c>
      <c r="M52" s="7"/>
    </row>
    <row r="53" spans="1:13">
      <c r="A53" s="10" t="s">
        <v>57</v>
      </c>
      <c r="B53" s="9" t="s">
        <v>442</v>
      </c>
      <c r="C53" s="9" t="s">
        <v>443</v>
      </c>
      <c r="D53" s="9" t="s">
        <v>444</v>
      </c>
      <c r="E53" s="9" t="s">
        <v>629</v>
      </c>
      <c r="F53" s="9" t="s">
        <v>610</v>
      </c>
      <c r="G53" s="21" t="s">
        <v>41</v>
      </c>
      <c r="H53" s="21" t="s">
        <v>19</v>
      </c>
      <c r="I53" s="22" t="s">
        <v>72</v>
      </c>
      <c r="J53" s="10"/>
      <c r="K53" s="10" t="str">
        <f>"195,0"</f>
        <v>195,0</v>
      </c>
      <c r="L53" s="10" t="str">
        <f>"115,0890"</f>
        <v>115,0890</v>
      </c>
      <c r="M53" s="9" t="s">
        <v>66</v>
      </c>
    </row>
    <row r="54" spans="1:13">
      <c r="A54" s="12" t="s">
        <v>58</v>
      </c>
      <c r="B54" s="11" t="s">
        <v>24</v>
      </c>
      <c r="C54" s="11" t="s">
        <v>25</v>
      </c>
      <c r="D54" s="11" t="s">
        <v>26</v>
      </c>
      <c r="E54" s="11" t="s">
        <v>629</v>
      </c>
      <c r="F54" s="11" t="s">
        <v>598</v>
      </c>
      <c r="G54" s="23" t="s">
        <v>30</v>
      </c>
      <c r="H54" s="23" t="s">
        <v>31</v>
      </c>
      <c r="I54" s="23" t="s">
        <v>17</v>
      </c>
      <c r="J54" s="12"/>
      <c r="K54" s="12" t="str">
        <f>"170,0"</f>
        <v>170,0</v>
      </c>
      <c r="L54" s="12" t="str">
        <f>"100,0450"</f>
        <v>100,0450</v>
      </c>
      <c r="M54" s="11"/>
    </row>
    <row r="55" spans="1:13">
      <c r="B55" s="5" t="s">
        <v>59</v>
      </c>
    </row>
    <row r="56" spans="1:13" ht="16">
      <c r="A56" s="46" t="s">
        <v>35</v>
      </c>
      <c r="B56" s="46"/>
      <c r="C56" s="47"/>
      <c r="D56" s="47"/>
      <c r="E56" s="47"/>
      <c r="F56" s="47"/>
      <c r="G56" s="47"/>
      <c r="H56" s="47"/>
      <c r="I56" s="47"/>
      <c r="J56" s="47"/>
    </row>
    <row r="57" spans="1:13">
      <c r="A57" s="8" t="s">
        <v>57</v>
      </c>
      <c r="B57" s="7" t="s">
        <v>445</v>
      </c>
      <c r="C57" s="7" t="s">
        <v>446</v>
      </c>
      <c r="D57" s="7" t="s">
        <v>447</v>
      </c>
      <c r="E57" s="7" t="s">
        <v>629</v>
      </c>
      <c r="F57" s="7" t="s">
        <v>594</v>
      </c>
      <c r="G57" s="19" t="s">
        <v>153</v>
      </c>
      <c r="H57" s="20" t="s">
        <v>18</v>
      </c>
      <c r="I57" s="19" t="s">
        <v>18</v>
      </c>
      <c r="J57" s="8"/>
      <c r="K57" s="8" t="str">
        <f>"185,0"</f>
        <v>185,0</v>
      </c>
      <c r="L57" s="8" t="str">
        <f>"107,7440"</f>
        <v>107,7440</v>
      </c>
      <c r="M57" s="7" t="s">
        <v>191</v>
      </c>
    </row>
    <row r="58" spans="1:13">
      <c r="A58" s="10" t="s">
        <v>58</v>
      </c>
      <c r="B58" s="9" t="s">
        <v>300</v>
      </c>
      <c r="C58" s="9" t="s">
        <v>301</v>
      </c>
      <c r="D58" s="9" t="s">
        <v>302</v>
      </c>
      <c r="E58" s="9" t="s">
        <v>629</v>
      </c>
      <c r="F58" s="9" t="s">
        <v>605</v>
      </c>
      <c r="G58" s="21" t="s">
        <v>17</v>
      </c>
      <c r="H58" s="21" t="s">
        <v>41</v>
      </c>
      <c r="I58" s="21" t="s">
        <v>18</v>
      </c>
      <c r="J58" s="10"/>
      <c r="K58" s="10" t="str">
        <f>"185,0"</f>
        <v>185,0</v>
      </c>
      <c r="L58" s="10" t="str">
        <f>"105,8755"</f>
        <v>105,8755</v>
      </c>
      <c r="M58" s="9" t="s">
        <v>191</v>
      </c>
    </row>
    <row r="59" spans="1:13">
      <c r="A59" s="10" t="s">
        <v>227</v>
      </c>
      <c r="B59" s="9" t="s">
        <v>448</v>
      </c>
      <c r="C59" s="9" t="s">
        <v>449</v>
      </c>
      <c r="D59" s="9" t="s">
        <v>38</v>
      </c>
      <c r="E59" s="9" t="s">
        <v>629</v>
      </c>
      <c r="F59" s="9" t="s">
        <v>617</v>
      </c>
      <c r="G59" s="21" t="s">
        <v>69</v>
      </c>
      <c r="H59" s="22" t="s">
        <v>276</v>
      </c>
      <c r="I59" s="22" t="s">
        <v>276</v>
      </c>
      <c r="J59" s="10"/>
      <c r="K59" s="10" t="str">
        <f>"160,0"</f>
        <v>160,0</v>
      </c>
      <c r="L59" s="10" t="str">
        <f>"91,1680"</f>
        <v>91,1680</v>
      </c>
      <c r="M59" s="9" t="s">
        <v>450</v>
      </c>
    </row>
    <row r="60" spans="1:13">
      <c r="A60" s="12" t="s">
        <v>228</v>
      </c>
      <c r="B60" s="11" t="s">
        <v>451</v>
      </c>
      <c r="C60" s="11" t="s">
        <v>452</v>
      </c>
      <c r="D60" s="11" t="s">
        <v>453</v>
      </c>
      <c r="E60" s="11" t="s">
        <v>629</v>
      </c>
      <c r="F60" s="11" t="s">
        <v>616</v>
      </c>
      <c r="G60" s="23" t="s">
        <v>251</v>
      </c>
      <c r="H60" s="24" t="s">
        <v>101</v>
      </c>
      <c r="I60" s="23" t="s">
        <v>101</v>
      </c>
      <c r="J60" s="12"/>
      <c r="K60" s="12" t="str">
        <f>"110,0"</f>
        <v>110,0</v>
      </c>
      <c r="L60" s="12" t="str">
        <f>"64,3830"</f>
        <v>64,3830</v>
      </c>
      <c r="M60" s="11" t="s">
        <v>417</v>
      </c>
    </row>
    <row r="61" spans="1:13">
      <c r="B61" s="5" t="s">
        <v>59</v>
      </c>
    </row>
    <row r="62" spans="1:13">
      <c r="B62" s="5" t="s">
        <v>59</v>
      </c>
    </row>
    <row r="63" spans="1:13">
      <c r="B63" s="5" t="s">
        <v>59</v>
      </c>
    </row>
    <row r="64" spans="1:13" ht="18">
      <c r="B64" s="13" t="s">
        <v>47</v>
      </c>
      <c r="C64" s="13"/>
      <c r="F64" s="3"/>
    </row>
    <row r="65" spans="2:6" ht="16">
      <c r="B65" s="14" t="s">
        <v>48</v>
      </c>
      <c r="C65" s="14"/>
      <c r="F65" s="3"/>
    </row>
    <row r="66" spans="2:6" ht="14">
      <c r="B66" s="15"/>
      <c r="C66" s="16" t="s">
        <v>49</v>
      </c>
      <c r="F66" s="3"/>
    </row>
    <row r="67" spans="2:6" ht="14">
      <c r="B67" s="18" t="s">
        <v>50</v>
      </c>
      <c r="C67" s="18" t="s">
        <v>51</v>
      </c>
      <c r="D67" s="18" t="s">
        <v>590</v>
      </c>
      <c r="E67" s="18" t="s">
        <v>319</v>
      </c>
      <c r="F67" s="18" t="s">
        <v>54</v>
      </c>
    </row>
    <row r="68" spans="2:6">
      <c r="B68" s="5" t="s">
        <v>442</v>
      </c>
      <c r="C68" s="5" t="s">
        <v>49</v>
      </c>
      <c r="D68" s="6" t="s">
        <v>56</v>
      </c>
      <c r="E68" s="6" t="s">
        <v>19</v>
      </c>
      <c r="F68" s="6" t="s">
        <v>454</v>
      </c>
    </row>
    <row r="69" spans="2:6">
      <c r="B69" s="5" t="s">
        <v>445</v>
      </c>
      <c r="C69" s="5" t="s">
        <v>49</v>
      </c>
      <c r="D69" s="6" t="s">
        <v>55</v>
      </c>
      <c r="E69" s="6" t="s">
        <v>18</v>
      </c>
      <c r="F69" s="6" t="s">
        <v>455</v>
      </c>
    </row>
    <row r="70" spans="2:6">
      <c r="B70" s="5" t="s">
        <v>61</v>
      </c>
      <c r="C70" s="5" t="s">
        <v>49</v>
      </c>
      <c r="D70" s="6" t="s">
        <v>85</v>
      </c>
      <c r="E70" s="6" t="s">
        <v>65</v>
      </c>
      <c r="F70" s="6" t="s">
        <v>456</v>
      </c>
    </row>
  </sheetData>
  <mergeCells count="24">
    <mergeCell ref="A5:J5"/>
    <mergeCell ref="B3:B4"/>
    <mergeCell ref="A56:J56"/>
    <mergeCell ref="A9:J9"/>
    <mergeCell ref="A12:J12"/>
    <mergeCell ref="A15:J15"/>
    <mergeCell ref="A18:J18"/>
    <mergeCell ref="A21:J21"/>
    <mergeCell ref="A25:J25"/>
    <mergeCell ref="A28:J28"/>
    <mergeCell ref="A37:J37"/>
    <mergeCell ref="A44:J44"/>
    <mergeCell ref="A48:J48"/>
    <mergeCell ref="A51:J51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WEPF ПЛ однослой ДК</vt:lpstr>
      <vt:lpstr>WEPF ПЛ многослой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Тяга без экипировки ДК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2021-12-07T15:10:52Z</dcterms:modified>
</cp:coreProperties>
</file>