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Декабрь/"/>
    </mc:Choice>
  </mc:AlternateContent>
  <xr:revisionPtr revIDLastSave="0" documentId="13_ncr:1_{B38A43F4-7FB6-0B4A-8423-11CAA9D9549B}" xr6:coauthVersionLast="45" xr6:coauthVersionMax="45" xr10:uidLastSave="{00000000-0000-0000-0000-000000000000}"/>
  <bookViews>
    <workbookView xWindow="480" yWindow="460" windowWidth="28320" windowHeight="15660" firstSheet="16" activeTab="22" xr2:uid="{00000000-000D-0000-FFFF-FFFF00000000}"/>
  </bookViews>
  <sheets>
    <sheet name="GPA ПЛ без экипировки ДК" sheetId="6" r:id="rId1"/>
    <sheet name="GPA ПЛ без экипировки" sheetId="5" r:id="rId2"/>
    <sheet name="GPA ПЛ в бинтах ДК" sheetId="8" r:id="rId3"/>
    <sheet name="GPA ПЛ в бинтах" sheetId="7" r:id="rId4"/>
    <sheet name="GPA Двоеборье без экип ДК" sheetId="18" r:id="rId5"/>
    <sheet name="GPA Двоеборье без экип" sheetId="17" r:id="rId6"/>
    <sheet name="GPA Присед в бинтах ДК" sheetId="19" r:id="rId7"/>
    <sheet name="GPA Жим без экипировки ДК" sheetId="11" r:id="rId8"/>
    <sheet name="GPA Жим без экипировки" sheetId="10" r:id="rId9"/>
    <sheet name="IPO Жим однослой ДК" sheetId="12" r:id="rId10"/>
    <sheet name="IPO Жим многослой" sheetId="13" r:id="rId11"/>
    <sheet name="СПР Жим софт однопетельная ДК" sheetId="44" r:id="rId12"/>
    <sheet name="СПР Жим софт однопетельная" sheetId="43" r:id="rId13"/>
    <sheet name="СПР Жим софт многопетельная ДК" sheetId="46" r:id="rId14"/>
    <sheet name="СПР Жим софт многопетельная" sheetId="45" r:id="rId15"/>
    <sheet name="СПР Жим СФО" sheetId="47" r:id="rId16"/>
    <sheet name="GPA Тяга без экипировки ДК" sheetId="15" r:id="rId17"/>
    <sheet name="GPA Тяга без экипировки" sheetId="14" r:id="rId18"/>
    <sheet name="IPO Тяга в экипировке" sheetId="16" r:id="rId19"/>
    <sheet name="СПР Пауэрспорт ДК" sheetId="27" r:id="rId20"/>
    <sheet name="СПР Пауэрспорт" sheetId="26" r:id="rId21"/>
    <sheet name="СПР Жим стоя ДК" sheetId="24" r:id="rId22"/>
    <sheet name="СПР Подъем на бицепс ДК" sheetId="25" r:id="rId23"/>
  </sheets>
  <definedNames>
    <definedName name="_FilterDatabase" localSheetId="1" hidden="1">'GPA ПЛ без экипировки'!$A$1:$S$3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47" l="1"/>
  <c r="K6" i="47"/>
  <c r="L6" i="46"/>
  <c r="K6" i="46"/>
  <c r="L6" i="45"/>
  <c r="K6" i="45"/>
  <c r="L12" i="44"/>
  <c r="K12" i="44"/>
  <c r="L9" i="44"/>
  <c r="K9" i="44"/>
  <c r="L6" i="44"/>
  <c r="K6" i="44"/>
  <c r="L6" i="43"/>
  <c r="K6" i="43"/>
  <c r="P40" i="27"/>
  <c r="O40" i="27"/>
  <c r="P39" i="27"/>
  <c r="O39" i="27"/>
  <c r="P36" i="27"/>
  <c r="O36" i="27"/>
  <c r="P33" i="27"/>
  <c r="O33" i="27"/>
  <c r="P32" i="27"/>
  <c r="O32" i="27"/>
  <c r="P31" i="27"/>
  <c r="O31" i="27"/>
  <c r="P30" i="27"/>
  <c r="O30" i="27"/>
  <c r="P29" i="27"/>
  <c r="O29" i="27"/>
  <c r="P26" i="27"/>
  <c r="O26" i="27"/>
  <c r="P25" i="27"/>
  <c r="O25" i="27"/>
  <c r="P22" i="27"/>
  <c r="O22" i="27"/>
  <c r="P21" i="27"/>
  <c r="O21" i="27"/>
  <c r="P18" i="27"/>
  <c r="O18" i="27"/>
  <c r="P17" i="27"/>
  <c r="O17" i="27"/>
  <c r="P14" i="27"/>
  <c r="O14" i="27"/>
  <c r="P13" i="27"/>
  <c r="O13" i="27"/>
  <c r="P10" i="27"/>
  <c r="O10" i="27"/>
  <c r="P7" i="27"/>
  <c r="O7" i="27"/>
  <c r="P6" i="27"/>
  <c r="O6" i="27"/>
  <c r="P6" i="26"/>
  <c r="O6" i="26"/>
  <c r="L47" i="25"/>
  <c r="K47" i="25"/>
  <c r="L46" i="25"/>
  <c r="K46" i="25"/>
  <c r="L45" i="25"/>
  <c r="K45" i="25"/>
  <c r="L42" i="25"/>
  <c r="K42" i="25"/>
  <c r="L41" i="25"/>
  <c r="K41" i="25"/>
  <c r="L40" i="25"/>
  <c r="K40" i="25"/>
  <c r="L39" i="25"/>
  <c r="K39" i="25"/>
  <c r="L36" i="25"/>
  <c r="K36" i="25"/>
  <c r="L35" i="25"/>
  <c r="K35" i="25"/>
  <c r="L34" i="25"/>
  <c r="K34" i="25"/>
  <c r="L33" i="25"/>
  <c r="K33" i="25"/>
  <c r="L32" i="25"/>
  <c r="K32" i="25"/>
  <c r="L31" i="25"/>
  <c r="K31" i="25"/>
  <c r="L30" i="25"/>
  <c r="K30" i="25"/>
  <c r="L29" i="25"/>
  <c r="K29" i="25"/>
  <c r="L26" i="25"/>
  <c r="K26" i="25"/>
  <c r="L23" i="25"/>
  <c r="K23" i="25"/>
  <c r="L22" i="25"/>
  <c r="K22" i="25"/>
  <c r="L21" i="25"/>
  <c r="K21" i="25"/>
  <c r="L20" i="25"/>
  <c r="K20" i="25"/>
  <c r="L17" i="25"/>
  <c r="K17" i="25"/>
  <c r="L16" i="25"/>
  <c r="K16" i="25"/>
  <c r="L13" i="25"/>
  <c r="K13" i="25"/>
  <c r="L12" i="25"/>
  <c r="K12" i="25"/>
  <c r="L9" i="25"/>
  <c r="K9" i="25"/>
  <c r="L6" i="25"/>
  <c r="K6" i="25"/>
  <c r="L12" i="24"/>
  <c r="K12" i="24"/>
  <c r="L9" i="24"/>
  <c r="K9" i="24"/>
  <c r="L6" i="24"/>
  <c r="K6" i="24"/>
  <c r="L9" i="19"/>
  <c r="K9" i="19"/>
  <c r="L6" i="19"/>
  <c r="K6" i="19"/>
  <c r="P10" i="18"/>
  <c r="O10" i="18"/>
  <c r="P9" i="18"/>
  <c r="O9" i="18"/>
  <c r="P6" i="18"/>
  <c r="O6" i="18"/>
  <c r="P9" i="17"/>
  <c r="P6" i="17"/>
  <c r="O6" i="17"/>
  <c r="L6" i="16"/>
  <c r="K6" i="16"/>
  <c r="L35" i="15"/>
  <c r="K35" i="15"/>
  <c r="L32" i="15"/>
  <c r="K32" i="15"/>
  <c r="L29" i="15"/>
  <c r="K29" i="15"/>
  <c r="L28" i="15"/>
  <c r="K28" i="15"/>
  <c r="L25" i="15"/>
  <c r="K25" i="15"/>
  <c r="L24" i="15"/>
  <c r="K24" i="15"/>
  <c r="L21" i="15"/>
  <c r="K21" i="15"/>
  <c r="L20" i="15"/>
  <c r="K20" i="15"/>
  <c r="L17" i="15"/>
  <c r="K17" i="15"/>
  <c r="L14" i="15"/>
  <c r="K14" i="15"/>
  <c r="L13" i="15"/>
  <c r="K13" i="15"/>
  <c r="L10" i="15"/>
  <c r="K10" i="15"/>
  <c r="L7" i="15"/>
  <c r="K7" i="15"/>
  <c r="L6" i="15"/>
  <c r="K6" i="15"/>
  <c r="L11" i="14"/>
  <c r="K11" i="14"/>
  <c r="L10" i="14"/>
  <c r="K10" i="14"/>
  <c r="L9" i="14"/>
  <c r="K9" i="14"/>
  <c r="L6" i="14"/>
  <c r="K6" i="14"/>
  <c r="L6" i="13"/>
  <c r="K6" i="13"/>
  <c r="L7" i="12"/>
  <c r="K7" i="12"/>
  <c r="L6" i="12"/>
  <c r="K6" i="12"/>
  <c r="L65" i="11"/>
  <c r="K65" i="11"/>
  <c r="L62" i="11"/>
  <c r="K62" i="11"/>
  <c r="L59" i="11"/>
  <c r="K59" i="11"/>
  <c r="L58" i="11"/>
  <c r="K58" i="11"/>
  <c r="L57" i="11"/>
  <c r="K57" i="11"/>
  <c r="L56" i="11"/>
  <c r="K56" i="11"/>
  <c r="L55" i="11"/>
  <c r="K55" i="11"/>
  <c r="L52" i="11"/>
  <c r="K52" i="11"/>
  <c r="L51" i="11"/>
  <c r="K51" i="11"/>
  <c r="L50" i="11"/>
  <c r="K50" i="11"/>
  <c r="L49" i="11"/>
  <c r="K49" i="11"/>
  <c r="L48" i="11"/>
  <c r="K48" i="11"/>
  <c r="L47" i="11"/>
  <c r="K47" i="11"/>
  <c r="L46" i="11"/>
  <c r="K46" i="11"/>
  <c r="L43" i="11"/>
  <c r="K43" i="11"/>
  <c r="L42" i="11"/>
  <c r="K42" i="11"/>
  <c r="L41" i="11"/>
  <c r="K41" i="11"/>
  <c r="L40" i="11"/>
  <c r="K40" i="11"/>
  <c r="L39" i="11"/>
  <c r="K39" i="11"/>
  <c r="L36" i="11"/>
  <c r="K36" i="11"/>
  <c r="L35" i="11"/>
  <c r="K35" i="11"/>
  <c r="L34" i="11"/>
  <c r="K34" i="11"/>
  <c r="L33" i="11"/>
  <c r="K33" i="11"/>
  <c r="L32" i="11"/>
  <c r="L31" i="11"/>
  <c r="K31" i="11"/>
  <c r="L30" i="11"/>
  <c r="K30" i="11"/>
  <c r="L29" i="11"/>
  <c r="K29" i="11"/>
  <c r="L26" i="11"/>
  <c r="K26" i="11"/>
  <c r="L25" i="11"/>
  <c r="K25" i="11"/>
  <c r="L24" i="11"/>
  <c r="K24" i="11"/>
  <c r="L21" i="11"/>
  <c r="K21" i="11"/>
  <c r="L18" i="11"/>
  <c r="K18" i="11"/>
  <c r="L17" i="11"/>
  <c r="K17" i="11"/>
  <c r="L16" i="11"/>
  <c r="K16" i="11"/>
  <c r="L15" i="11"/>
  <c r="K15" i="11"/>
  <c r="L12" i="11"/>
  <c r="K12" i="11"/>
  <c r="L11" i="11"/>
  <c r="K11" i="11"/>
  <c r="L10" i="11"/>
  <c r="K10" i="11"/>
  <c r="L7" i="11"/>
  <c r="K7" i="11"/>
  <c r="L6" i="11"/>
  <c r="K6" i="11"/>
  <c r="L36" i="10"/>
  <c r="K36" i="10"/>
  <c r="L35" i="10"/>
  <c r="K35" i="10"/>
  <c r="L32" i="10"/>
  <c r="K32" i="10"/>
  <c r="L31" i="10"/>
  <c r="K31" i="10"/>
  <c r="L28" i="10"/>
  <c r="K28" i="10"/>
  <c r="L27" i="10"/>
  <c r="K27" i="10"/>
  <c r="L26" i="10"/>
  <c r="K26" i="10"/>
  <c r="L25" i="10"/>
  <c r="K25" i="10"/>
  <c r="L22" i="10"/>
  <c r="K22" i="10"/>
  <c r="L21" i="10"/>
  <c r="K21" i="10"/>
  <c r="L20" i="10"/>
  <c r="K20" i="10"/>
  <c r="L17" i="10"/>
  <c r="K17" i="10"/>
  <c r="L14" i="10"/>
  <c r="K14" i="10"/>
  <c r="L13" i="10"/>
  <c r="K13" i="10"/>
  <c r="L12" i="10"/>
  <c r="K12" i="10"/>
  <c r="L9" i="10"/>
  <c r="K9" i="10"/>
  <c r="L6" i="10"/>
  <c r="K6" i="10"/>
  <c r="T38" i="8"/>
  <c r="S38" i="8"/>
  <c r="T35" i="8"/>
  <c r="S35" i="8"/>
  <c r="T34" i="8"/>
  <c r="S34" i="8"/>
  <c r="T31" i="8"/>
  <c r="S31" i="8"/>
  <c r="T30" i="8"/>
  <c r="S30" i="8"/>
  <c r="T29" i="8"/>
  <c r="S29" i="8"/>
  <c r="T26" i="8"/>
  <c r="S26" i="8"/>
  <c r="T25" i="8"/>
  <c r="S25" i="8"/>
  <c r="T22" i="8"/>
  <c r="S22" i="8"/>
  <c r="T19" i="8"/>
  <c r="S19" i="8"/>
  <c r="T16" i="8"/>
  <c r="S16" i="8"/>
  <c r="T15" i="8"/>
  <c r="S15" i="8"/>
  <c r="T12" i="8"/>
  <c r="S12" i="8"/>
  <c r="T9" i="8"/>
  <c r="S9" i="8"/>
  <c r="T6" i="8"/>
  <c r="S6" i="8"/>
  <c r="T16" i="7"/>
  <c r="T15" i="7"/>
  <c r="S15" i="7"/>
  <c r="T12" i="7"/>
  <c r="S12" i="7"/>
  <c r="T11" i="7"/>
  <c r="S11" i="7"/>
  <c r="T10" i="7"/>
  <c r="S10" i="7"/>
  <c r="T7" i="7"/>
  <c r="S7" i="7"/>
  <c r="T6" i="7"/>
  <c r="S6" i="7"/>
  <c r="T30" i="6"/>
  <c r="S30" i="6"/>
  <c r="T29" i="6"/>
  <c r="S29" i="6"/>
  <c r="T28" i="6"/>
  <c r="S28" i="6"/>
  <c r="T25" i="6"/>
  <c r="S25" i="6"/>
  <c r="T24" i="6"/>
  <c r="S24" i="6"/>
  <c r="T21" i="6"/>
  <c r="S21" i="6"/>
  <c r="T18" i="6"/>
  <c r="S18" i="6"/>
  <c r="T17" i="6"/>
  <c r="S17" i="6"/>
  <c r="T16" i="6"/>
  <c r="S16" i="6"/>
  <c r="T13" i="6"/>
  <c r="S13" i="6"/>
  <c r="T10" i="6"/>
  <c r="S10" i="6"/>
  <c r="T9" i="6"/>
  <c r="S9" i="6"/>
  <c r="T6" i="6"/>
  <c r="S6" i="6"/>
  <c r="T6" i="5"/>
  <c r="S6" i="5"/>
</calcChain>
</file>

<file path=xl/sharedStrings.xml><?xml version="1.0" encoding="utf-8"?>
<sst xmlns="http://schemas.openxmlformats.org/spreadsheetml/2006/main" count="2691" uniqueCount="666">
  <si>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</si>
  <si>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</si>
  <si>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</si>
  <si>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</si>
  <si>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</si>
  <si>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</si>
  <si>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</si>
  <si>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</si>
  <si>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</si>
  <si>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</si>
  <si>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67.5</t>
  </si>
  <si>
    <t>Зыкова Валентина</t>
  </si>
  <si>
    <t>Открытая (13.12.1985)/36</t>
  </si>
  <si>
    <t>66,60</t>
  </si>
  <si>
    <t xml:space="preserve">Вологда/Вологодская область </t>
  </si>
  <si>
    <t>130,0</t>
  </si>
  <si>
    <t>140,0</t>
  </si>
  <si>
    <t>150,0</t>
  </si>
  <si>
    <t>90,0</t>
  </si>
  <si>
    <t>100,0</t>
  </si>
  <si>
    <t>160,0</t>
  </si>
  <si>
    <t>170,0</t>
  </si>
  <si>
    <t xml:space="preserve">Розанов И. </t>
  </si>
  <si>
    <t xml:space="preserve">Абсолютный зачёт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</si>
  <si>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</si>
  <si>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</si>
  <si>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</si>
  <si>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</si>
  <si>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Gloss </t>
  </si>
  <si>
    <t>67.5</t>
  </si>
  <si>
    <t>1</t>
  </si>
  <si>
    <t/>
  </si>
  <si>
    <t>ВЕСОВАЯ КАТЕГОРИЯ   48</t>
  </si>
  <si>
    <t>Тимонина Анастасия</t>
  </si>
  <si>
    <t>Открытая (12.08.1995)/26</t>
  </si>
  <si>
    <t>47,10</t>
  </si>
  <si>
    <t xml:space="preserve">Череповец/Вологодская область </t>
  </si>
  <si>
    <t>75,0</t>
  </si>
  <si>
    <t>80,0</t>
  </si>
  <si>
    <t>85,0</t>
  </si>
  <si>
    <t>35,0</t>
  </si>
  <si>
    <t>40,0</t>
  </si>
  <si>
    <t>45,0</t>
  </si>
  <si>
    <t>82,5</t>
  </si>
  <si>
    <t>87,5</t>
  </si>
  <si>
    <t xml:space="preserve">Киселюк Н. </t>
  </si>
  <si>
    <t>ВЕСОВАЯ КАТЕГОРИЯ   52</t>
  </si>
  <si>
    <t>Присада Яна</t>
  </si>
  <si>
    <t>Открытая (10.08.1990)/31</t>
  </si>
  <si>
    <t>51,40</t>
  </si>
  <si>
    <t>50,0</t>
  </si>
  <si>
    <t>52,5</t>
  </si>
  <si>
    <t>117,5</t>
  </si>
  <si>
    <t>Вихарева Арина</t>
  </si>
  <si>
    <t>Открытая (27.09.1984)/37</t>
  </si>
  <si>
    <t>49,20</t>
  </si>
  <si>
    <t xml:space="preserve">Пестово/Новгородская область </t>
  </si>
  <si>
    <t>70,0</t>
  </si>
  <si>
    <t>77,5</t>
  </si>
  <si>
    <t>47,5</t>
  </si>
  <si>
    <t>ВЕСОВАЯ КАТЕГОРИЯ   60</t>
  </si>
  <si>
    <t>Суринова Юлия</t>
  </si>
  <si>
    <t>Мастера 40-49 (13.09.1980)/41</t>
  </si>
  <si>
    <t>59,60</t>
  </si>
  <si>
    <t>60,0</t>
  </si>
  <si>
    <t>62,5</t>
  </si>
  <si>
    <t>65,0</t>
  </si>
  <si>
    <t>92,5</t>
  </si>
  <si>
    <t xml:space="preserve">Якушевич А. </t>
  </si>
  <si>
    <t>ВЕСОВАЯ КАТЕГОРИЯ   75</t>
  </si>
  <si>
    <t>Одноволик Роман</t>
  </si>
  <si>
    <t>71,30</t>
  </si>
  <si>
    <t>120,0</t>
  </si>
  <si>
    <t>125,0</t>
  </si>
  <si>
    <t>105,0</t>
  </si>
  <si>
    <t>110,0</t>
  </si>
  <si>
    <t>Сивкин Владимир</t>
  </si>
  <si>
    <t>75,00</t>
  </si>
  <si>
    <t>115,0</t>
  </si>
  <si>
    <t>Шубник Андрей</t>
  </si>
  <si>
    <t>Открытая (03.09.1988)/33</t>
  </si>
  <si>
    <t>74,10</t>
  </si>
  <si>
    <t>95,0</t>
  </si>
  <si>
    <t>145,0</t>
  </si>
  <si>
    <t>ВЕСОВАЯ КАТЕГОРИЯ   82.5</t>
  </si>
  <si>
    <t>Зимин Дмитрий</t>
  </si>
  <si>
    <t>Открытая (31.07.1995)/26</t>
  </si>
  <si>
    <t>79,80</t>
  </si>
  <si>
    <t>180,0</t>
  </si>
  <si>
    <t>190,0</t>
  </si>
  <si>
    <t>200,0</t>
  </si>
  <si>
    <t>220,0</t>
  </si>
  <si>
    <t>235,0</t>
  </si>
  <si>
    <t>ВЕСОВАЯ КАТЕГОРИЯ   90</t>
  </si>
  <si>
    <t>Новожилов Николай</t>
  </si>
  <si>
    <t>Открытая (19.05.1982)/39</t>
  </si>
  <si>
    <t>88,20</t>
  </si>
  <si>
    <t>155,0</t>
  </si>
  <si>
    <t>137,5</t>
  </si>
  <si>
    <t>215,0</t>
  </si>
  <si>
    <t>Кнещук Константин</t>
  </si>
  <si>
    <t>Открытая (07.02.1993)/28</t>
  </si>
  <si>
    <t>89,70</t>
  </si>
  <si>
    <t xml:space="preserve">Архангельск/Архангельская область </t>
  </si>
  <si>
    <t>165,0</t>
  </si>
  <si>
    <t>182,5</t>
  </si>
  <si>
    <t>122,5</t>
  </si>
  <si>
    <t xml:space="preserve">Тишук В. </t>
  </si>
  <si>
    <t>ВЕСОВАЯ КАТЕГОРИЯ   100</t>
  </si>
  <si>
    <t>Волков Иван</t>
  </si>
  <si>
    <t>Открытая (14.06.1989)/32</t>
  </si>
  <si>
    <t>98,40</t>
  </si>
  <si>
    <t>152,5</t>
  </si>
  <si>
    <t>Корельский Олег</t>
  </si>
  <si>
    <t>Мастера 40-49 (03.09.1975)/46</t>
  </si>
  <si>
    <t>97,00</t>
  </si>
  <si>
    <t>172,5</t>
  </si>
  <si>
    <t>177,5</t>
  </si>
  <si>
    <t>157,5</t>
  </si>
  <si>
    <t>162,5</t>
  </si>
  <si>
    <t>225,0</t>
  </si>
  <si>
    <t>230,0</t>
  </si>
  <si>
    <t>Скорик Андрей</t>
  </si>
  <si>
    <t>Мастера 40-49 (23.05.1973)/48</t>
  </si>
  <si>
    <t>97,30</t>
  </si>
  <si>
    <t>205,0</t>
  </si>
  <si>
    <t>242,5</t>
  </si>
  <si>
    <t xml:space="preserve">Мужчины </t>
  </si>
  <si>
    <t xml:space="preserve">Юноши </t>
  </si>
  <si>
    <t>75</t>
  </si>
  <si>
    <t>82.5</t>
  </si>
  <si>
    <t>90</t>
  </si>
  <si>
    <t>100</t>
  </si>
  <si>
    <t>2</t>
  </si>
  <si>
    <t>Шишкин Даниил</t>
  </si>
  <si>
    <t>81,90</t>
  </si>
  <si>
    <t>185,0</t>
  </si>
  <si>
    <t>Спиридонов Степан</t>
  </si>
  <si>
    <t>Открытая (21.12.1993)/28</t>
  </si>
  <si>
    <t>81,50</t>
  </si>
  <si>
    <t>240,0</t>
  </si>
  <si>
    <t>250,0</t>
  </si>
  <si>
    <t>175,0</t>
  </si>
  <si>
    <t>260,0</t>
  </si>
  <si>
    <t xml:space="preserve">Румянцев С. </t>
  </si>
  <si>
    <t>Кузнецов Руслан</t>
  </si>
  <si>
    <t>Открытая (26.01.1995)/26</t>
  </si>
  <si>
    <t>98,70</t>
  </si>
  <si>
    <t>270,0</t>
  </si>
  <si>
    <t>290,0</t>
  </si>
  <si>
    <t>295,0</t>
  </si>
  <si>
    <t>300,0</t>
  </si>
  <si>
    <t>317,5</t>
  </si>
  <si>
    <t xml:space="preserve">Ступников Р. </t>
  </si>
  <si>
    <t>Худиев Руслан</t>
  </si>
  <si>
    <t>Открытая (17.04.1992)/29</t>
  </si>
  <si>
    <t>98,60</t>
  </si>
  <si>
    <t>275,0</t>
  </si>
  <si>
    <t>287,5</t>
  </si>
  <si>
    <t xml:space="preserve">Щиголь А. </t>
  </si>
  <si>
    <t>Щиголь Алексей</t>
  </si>
  <si>
    <t>Открытая (05.10.1985)/36</t>
  </si>
  <si>
    <t>99,20</t>
  </si>
  <si>
    <t>265,0</t>
  </si>
  <si>
    <t>272,5</t>
  </si>
  <si>
    <t>ВЕСОВАЯ КАТЕГОРИЯ   110</t>
  </si>
  <si>
    <t>Вдовин Сергей</t>
  </si>
  <si>
    <t>Мастера 40-49 (13.03.1973)/48</t>
  </si>
  <si>
    <t>106,20</t>
  </si>
  <si>
    <t>167,5</t>
  </si>
  <si>
    <t>Самодуров Владимир</t>
  </si>
  <si>
    <t>Мастера 40-49 (21.06.1981)/40</t>
  </si>
  <si>
    <t>108,30</t>
  </si>
  <si>
    <t xml:space="preserve">Юниоры </t>
  </si>
  <si>
    <t>110</t>
  </si>
  <si>
    <t>3</t>
  </si>
  <si>
    <t>-</t>
  </si>
  <si>
    <t>Гусева Ксения</t>
  </si>
  <si>
    <t>Открытая (26.06.2000)/21</t>
  </si>
  <si>
    <t>46,50</t>
  </si>
  <si>
    <t>42,5</t>
  </si>
  <si>
    <t>ВЕСОВАЯ КАТЕГОРИЯ   56</t>
  </si>
  <si>
    <t>Агапитова Полина</t>
  </si>
  <si>
    <t>54,10</t>
  </si>
  <si>
    <t>55,0</t>
  </si>
  <si>
    <t>32,5</t>
  </si>
  <si>
    <t>37,5</t>
  </si>
  <si>
    <t xml:space="preserve">Аксёнов П. </t>
  </si>
  <si>
    <t>Штанько Дарья</t>
  </si>
  <si>
    <t>Открытая (25.01.1998)/23</t>
  </si>
  <si>
    <t>55,30</t>
  </si>
  <si>
    <t>57,5</t>
  </si>
  <si>
    <t>107,5</t>
  </si>
  <si>
    <t>Сапожникова Анастасия</t>
  </si>
  <si>
    <t>Открытая (23.12.1995)/26</t>
  </si>
  <si>
    <t>59,20</t>
  </si>
  <si>
    <t>132,5</t>
  </si>
  <si>
    <t>Уткина Ольга</t>
  </si>
  <si>
    <t>Мастера 40-49 (21.03.1979)/42</t>
  </si>
  <si>
    <t>58,70</t>
  </si>
  <si>
    <t>Семыкина Дарья</t>
  </si>
  <si>
    <t>Открытая (03.03.2001)/20</t>
  </si>
  <si>
    <t>72,50</t>
  </si>
  <si>
    <t>135,0</t>
  </si>
  <si>
    <t>72,5</t>
  </si>
  <si>
    <t>Абдуллаев Анвар</t>
  </si>
  <si>
    <t>Открытая (17.04.2002)/19</t>
  </si>
  <si>
    <t>70,80</t>
  </si>
  <si>
    <t>102,5</t>
  </si>
  <si>
    <t>112,5</t>
  </si>
  <si>
    <t>Кеслер Антон</t>
  </si>
  <si>
    <t>Открытая (21.07.1992)/29</t>
  </si>
  <si>
    <t>82,00</t>
  </si>
  <si>
    <t>212,5</t>
  </si>
  <si>
    <t>Масолбасов Алексей</t>
  </si>
  <si>
    <t>Открытая (29.03.2002)/19</t>
  </si>
  <si>
    <t>78,40</t>
  </si>
  <si>
    <t>Зыков Максим</t>
  </si>
  <si>
    <t>Открытая (21.06.2002)/19</t>
  </si>
  <si>
    <t>87,30</t>
  </si>
  <si>
    <t>Василенко Иван</t>
  </si>
  <si>
    <t>Открытая (20.06.1985)/36</t>
  </si>
  <si>
    <t>89,00</t>
  </si>
  <si>
    <t>Раджабов Роман</t>
  </si>
  <si>
    <t>Открытая (23.02.1985)/36</t>
  </si>
  <si>
    <t>88,80</t>
  </si>
  <si>
    <t>210,0</t>
  </si>
  <si>
    <t>217,5</t>
  </si>
  <si>
    <t>Лысенко Александр</t>
  </si>
  <si>
    <t>Открытая (05.03.1999)/22</t>
  </si>
  <si>
    <t>Пеунков Михаил</t>
  </si>
  <si>
    <t>Открытая (08.03.1987)/34</t>
  </si>
  <si>
    <t>97,90</t>
  </si>
  <si>
    <t>245,0</t>
  </si>
  <si>
    <t>ВЕСОВАЯ КАТЕГОРИЯ   140</t>
  </si>
  <si>
    <t>Гнабро Элизе</t>
  </si>
  <si>
    <t>Открытая (11.07.1998)/23</t>
  </si>
  <si>
    <t>125,80</t>
  </si>
  <si>
    <t>280,0</t>
  </si>
  <si>
    <t>56</t>
  </si>
  <si>
    <t>140</t>
  </si>
  <si>
    <t>730,0</t>
  </si>
  <si>
    <t>397,5507</t>
  </si>
  <si>
    <t>590,0</t>
  </si>
  <si>
    <t>367,3340</t>
  </si>
  <si>
    <t>557,5</t>
  </si>
  <si>
    <t>360,7861</t>
  </si>
  <si>
    <t>Длужневская Владислава</t>
  </si>
  <si>
    <t>59,70</t>
  </si>
  <si>
    <t xml:space="preserve">Длужневский С. </t>
  </si>
  <si>
    <t>Соколов Максим</t>
  </si>
  <si>
    <t>38,40</t>
  </si>
  <si>
    <t>30,0</t>
  </si>
  <si>
    <t>Гребенщиков Михаил</t>
  </si>
  <si>
    <t>Открытая (08.12.1987)/34</t>
  </si>
  <si>
    <t>67,10</t>
  </si>
  <si>
    <t>161,0</t>
  </si>
  <si>
    <t>Осипов Владимир</t>
  </si>
  <si>
    <t>Открытая (27.10.1985)/36</t>
  </si>
  <si>
    <t xml:space="preserve">Няндома/Архангельская область </t>
  </si>
  <si>
    <t>Вильчицкий Анатолий</t>
  </si>
  <si>
    <t>Мастера 60-69 (24.08.1955)/66</t>
  </si>
  <si>
    <t>66,50</t>
  </si>
  <si>
    <t xml:space="preserve">Логунов А. </t>
  </si>
  <si>
    <t>Еремин Юрий</t>
  </si>
  <si>
    <t>Открытая (23.11.1983)/38</t>
  </si>
  <si>
    <t>80,20</t>
  </si>
  <si>
    <t>147,5</t>
  </si>
  <si>
    <t>Павлов Алексей</t>
  </si>
  <si>
    <t>Открытая (18.01.1978)/43</t>
  </si>
  <si>
    <t>83,60</t>
  </si>
  <si>
    <t>Белов Станислав</t>
  </si>
  <si>
    <t>Открытая (11.11.1990)/31</t>
  </si>
  <si>
    <t>88,90</t>
  </si>
  <si>
    <t xml:space="preserve">Тихвин/Ленинградская область </t>
  </si>
  <si>
    <t>Иванов Николай</t>
  </si>
  <si>
    <t>Открытая (04.03.1974)/47</t>
  </si>
  <si>
    <t>90,00</t>
  </si>
  <si>
    <t>Пацерук Максим</t>
  </si>
  <si>
    <t>99,40</t>
  </si>
  <si>
    <t>Чиликин Антон</t>
  </si>
  <si>
    <t>Открытая (25.03.1992)/29</t>
  </si>
  <si>
    <t>99,70</t>
  </si>
  <si>
    <t xml:space="preserve">Москва </t>
  </si>
  <si>
    <t>Румянцев Сергей</t>
  </si>
  <si>
    <t>Открытая (14.08.1990)/31</t>
  </si>
  <si>
    <t>195,0</t>
  </si>
  <si>
    <t>202,5</t>
  </si>
  <si>
    <t xml:space="preserve">Румянцева С. </t>
  </si>
  <si>
    <t>Паршин Владимир</t>
  </si>
  <si>
    <t>Открытая (27.03.1979)/42</t>
  </si>
  <si>
    <t>95,80</t>
  </si>
  <si>
    <t xml:space="preserve">Ярославль/Ярославская область </t>
  </si>
  <si>
    <t>Веселов Алексей</t>
  </si>
  <si>
    <t>Мастера 50-59 (26.07.1966)/55</t>
  </si>
  <si>
    <t>103,90</t>
  </si>
  <si>
    <t>ВЕСОВАЯ КАТЕГОРИЯ   125</t>
  </si>
  <si>
    <t>Максимов Алексей</t>
  </si>
  <si>
    <t>Открытая (12.04.1988)/33</t>
  </si>
  <si>
    <t>110,70</t>
  </si>
  <si>
    <t xml:space="preserve">Великий Устюг/Вологодская область </t>
  </si>
  <si>
    <t>227,5</t>
  </si>
  <si>
    <t xml:space="preserve">Осколков И. </t>
  </si>
  <si>
    <t>Хохлов Олег</t>
  </si>
  <si>
    <t>Открытая (18.04.1981)/40</t>
  </si>
  <si>
    <t>118,00</t>
  </si>
  <si>
    <t xml:space="preserve">Результат </t>
  </si>
  <si>
    <t>125</t>
  </si>
  <si>
    <t>127,7526</t>
  </si>
  <si>
    <t>120,3520</t>
  </si>
  <si>
    <t>117,3427</t>
  </si>
  <si>
    <t>Результат</t>
  </si>
  <si>
    <t>Матюхина Екатерина</t>
  </si>
  <si>
    <t>Открытая (20.05.1990)/31</t>
  </si>
  <si>
    <t>51,20</t>
  </si>
  <si>
    <t xml:space="preserve">Тверь/Тверская область </t>
  </si>
  <si>
    <t>Карпова Анастасия</t>
  </si>
  <si>
    <t>Открытая (14.07.1987)/34</t>
  </si>
  <si>
    <t>50,10</t>
  </si>
  <si>
    <t>Открытая (10.06.2000)/21</t>
  </si>
  <si>
    <t>Садовникова Юлия</t>
  </si>
  <si>
    <t>Открытая (26.06.1983)/38</t>
  </si>
  <si>
    <t>59,10</t>
  </si>
  <si>
    <t xml:space="preserve">Чагода/Вологодская область </t>
  </si>
  <si>
    <t>Железов Никита</t>
  </si>
  <si>
    <t>53,90</t>
  </si>
  <si>
    <t>67,5</t>
  </si>
  <si>
    <t>Тихомиров Максим</t>
  </si>
  <si>
    <t>53,10</t>
  </si>
  <si>
    <t>Панкратов Максим</t>
  </si>
  <si>
    <t>55,40</t>
  </si>
  <si>
    <t>Галушко Илья</t>
  </si>
  <si>
    <t>55,60</t>
  </si>
  <si>
    <t>Юрьев Илья</t>
  </si>
  <si>
    <t>Плех Владимир</t>
  </si>
  <si>
    <t>63,90</t>
  </si>
  <si>
    <t>Иолтуховский Илья</t>
  </si>
  <si>
    <t>66,70</t>
  </si>
  <si>
    <t>Федулов Никита</t>
  </si>
  <si>
    <t>Открытая (21.05.2002)/19</t>
  </si>
  <si>
    <t>Медведев Дмитрий</t>
  </si>
  <si>
    <t>74,30</t>
  </si>
  <si>
    <t>Касперавичюс Иван</t>
  </si>
  <si>
    <t>74,50</t>
  </si>
  <si>
    <t>Папилов Артём</t>
  </si>
  <si>
    <t>74,00</t>
  </si>
  <si>
    <t>Молчанов Михаил</t>
  </si>
  <si>
    <t>Открытая (29.04.1987)/34</t>
  </si>
  <si>
    <t>72,30</t>
  </si>
  <si>
    <t xml:space="preserve">Сокол/Вологодская область </t>
  </si>
  <si>
    <t xml:space="preserve">Шиловский Е. </t>
  </si>
  <si>
    <t>Томашевский Вячеслав</t>
  </si>
  <si>
    <t>Открытая (07.09.2002)/19</t>
  </si>
  <si>
    <t>69,70</t>
  </si>
  <si>
    <t>Злокин Денис</t>
  </si>
  <si>
    <t>Открытая (15.08.1985)/36</t>
  </si>
  <si>
    <t>73,80</t>
  </si>
  <si>
    <t>Ефимов Олег</t>
  </si>
  <si>
    <t>Открытая (12.09.1993)/28</t>
  </si>
  <si>
    <t>68,10</t>
  </si>
  <si>
    <t>Аксёнов Павел</t>
  </si>
  <si>
    <t>82,10</t>
  </si>
  <si>
    <t xml:space="preserve">Шенкурск/Архангельская область </t>
  </si>
  <si>
    <t>Бородин Николай</t>
  </si>
  <si>
    <t>Открытая (22.01.1985)/36</t>
  </si>
  <si>
    <t>81,20</t>
  </si>
  <si>
    <t>Дедовец Вячеслав</t>
  </si>
  <si>
    <t>Открытая (30.06.1992)/29</t>
  </si>
  <si>
    <t>81,60</t>
  </si>
  <si>
    <t>Козлов Владимир</t>
  </si>
  <si>
    <t>Мастера 60-69 (15.06.1954)/67</t>
  </si>
  <si>
    <t>81,80</t>
  </si>
  <si>
    <t xml:space="preserve">Папушой В. </t>
  </si>
  <si>
    <t>Чутков Максим</t>
  </si>
  <si>
    <t>Смекалов Валерий</t>
  </si>
  <si>
    <t>Открытая (15.04.1984)/37</t>
  </si>
  <si>
    <t>88,40</t>
  </si>
  <si>
    <t xml:space="preserve">Рыбинск/Ярославская область </t>
  </si>
  <si>
    <t>Филиппов Максим</t>
  </si>
  <si>
    <t>Открытая (01.04.1995)/26</t>
  </si>
  <si>
    <t>83,80</t>
  </si>
  <si>
    <t>127,5</t>
  </si>
  <si>
    <t>Нранян Роман</t>
  </si>
  <si>
    <t>Открытая (05.02.1989)/32</t>
  </si>
  <si>
    <t>Гавриленков Дмитрий</t>
  </si>
  <si>
    <t>Открытая (03.06.1994)/27</t>
  </si>
  <si>
    <t>Виноградов Олег</t>
  </si>
  <si>
    <t>Открытая (18.08.1988)/33</t>
  </si>
  <si>
    <t>88,10</t>
  </si>
  <si>
    <t xml:space="preserve">Ивашко А. </t>
  </si>
  <si>
    <t>Молочков Кирилл</t>
  </si>
  <si>
    <t>92,50</t>
  </si>
  <si>
    <t>Ефимовский Владислав</t>
  </si>
  <si>
    <t>Открытая (20.12.1995)/26</t>
  </si>
  <si>
    <t>96,30</t>
  </si>
  <si>
    <t xml:space="preserve">Киров/Калужская область </t>
  </si>
  <si>
    <t>187,5</t>
  </si>
  <si>
    <t>Денисов Павел</t>
  </si>
  <si>
    <t>Мастера 40-49 (02.04.1979)/42</t>
  </si>
  <si>
    <t>96,40</t>
  </si>
  <si>
    <t>Вдовин Никита</t>
  </si>
  <si>
    <t>100,70</t>
  </si>
  <si>
    <t>Астафуров Иван</t>
  </si>
  <si>
    <t>Открытая (08.03.1991)/30</t>
  </si>
  <si>
    <t>121,30</t>
  </si>
  <si>
    <t xml:space="preserve">Иваново/Ивановская область </t>
  </si>
  <si>
    <t>86,9475</t>
  </si>
  <si>
    <t>66,7377</t>
  </si>
  <si>
    <t>62,7311</t>
  </si>
  <si>
    <t>90,5310</t>
  </si>
  <si>
    <t>85,0612</t>
  </si>
  <si>
    <t>83,0340</t>
  </si>
  <si>
    <t>115,0337</t>
  </si>
  <si>
    <t>111,2580</t>
  </si>
  <si>
    <t>4</t>
  </si>
  <si>
    <t>5</t>
  </si>
  <si>
    <t>6</t>
  </si>
  <si>
    <t>Кокорев Илья</t>
  </si>
  <si>
    <t>Открытая (19.01.1973)/48</t>
  </si>
  <si>
    <t>81,30</t>
  </si>
  <si>
    <t>Мастера 40-49 (19.01.1973)/48</t>
  </si>
  <si>
    <t>Кровиков Александр</t>
  </si>
  <si>
    <t>Мастера 60-69 (26.09.1961)/60</t>
  </si>
  <si>
    <t>93,00</t>
  </si>
  <si>
    <t xml:space="preserve">Дзержинский/Московская область </t>
  </si>
  <si>
    <t>Корякин Сергей</t>
  </si>
  <si>
    <t>Мастера 40-49 (01.07.1976)/45</t>
  </si>
  <si>
    <t>84,40</t>
  </si>
  <si>
    <t xml:space="preserve">Шарья/Костромская область </t>
  </si>
  <si>
    <t>285,0</t>
  </si>
  <si>
    <t>Маслякова Мария</t>
  </si>
  <si>
    <t>51,90</t>
  </si>
  <si>
    <t xml:space="preserve">Ловцова Н. </t>
  </si>
  <si>
    <t>Капутина Анна</t>
  </si>
  <si>
    <t>Открытая (17.05.1982)/39</t>
  </si>
  <si>
    <t>52,00</t>
  </si>
  <si>
    <t xml:space="preserve">Дмитров/Московская область </t>
  </si>
  <si>
    <t>Шубник Ольга</t>
  </si>
  <si>
    <t>Открытая (17.09.1989)/32</t>
  </si>
  <si>
    <t>63,40</t>
  </si>
  <si>
    <t>Садовников Артём</t>
  </si>
  <si>
    <t>55,10</t>
  </si>
  <si>
    <t>Открытая (14.05.1999)/22</t>
  </si>
  <si>
    <t>Мухина Валентина</t>
  </si>
  <si>
    <t>Мастера 40-49 (12.03.1973)/48</t>
  </si>
  <si>
    <t>57,70</t>
  </si>
  <si>
    <t>Минкин Александр</t>
  </si>
  <si>
    <t>Открытая (15.07.1995)/26</t>
  </si>
  <si>
    <t>67,20</t>
  </si>
  <si>
    <t>64,30</t>
  </si>
  <si>
    <t>Канин Алексей</t>
  </si>
  <si>
    <t>Открытая (13.05.1986)/35</t>
  </si>
  <si>
    <t>79,70</t>
  </si>
  <si>
    <t>Смирнов Алексей</t>
  </si>
  <si>
    <t>Открытая (29.10.1994)/27</t>
  </si>
  <si>
    <t>88,60</t>
  </si>
  <si>
    <t>Горин Юрий</t>
  </si>
  <si>
    <t>Открытая (18.02.1983)/38</t>
  </si>
  <si>
    <t>87,60</t>
  </si>
  <si>
    <t>Якушевич Алексей</t>
  </si>
  <si>
    <t>Открытая (02.07.1991)/30</t>
  </si>
  <si>
    <t>98,80</t>
  </si>
  <si>
    <t>Кокурин Алексей</t>
  </si>
  <si>
    <t>Открытая (13.05.1995)/26</t>
  </si>
  <si>
    <t>112,80</t>
  </si>
  <si>
    <t>163,6040</t>
  </si>
  <si>
    <t>141,9790</t>
  </si>
  <si>
    <t>137,5194</t>
  </si>
  <si>
    <t>Казарина Елена</t>
  </si>
  <si>
    <t>Мастера 40-49 (14.10.1980)/41</t>
  </si>
  <si>
    <t>67,50</t>
  </si>
  <si>
    <t xml:space="preserve">Королёв/Московская область </t>
  </si>
  <si>
    <t xml:space="preserve">Постнов Д. </t>
  </si>
  <si>
    <t>Цесарская Софья</t>
  </si>
  <si>
    <t>59,00</t>
  </si>
  <si>
    <t xml:space="preserve">Апатиты/Мурманская область </t>
  </si>
  <si>
    <t xml:space="preserve">Балашов Н. </t>
  </si>
  <si>
    <t>Капутин Денис</t>
  </si>
  <si>
    <t>Открытая (03.05.1988)/33</t>
  </si>
  <si>
    <t>87,00</t>
  </si>
  <si>
    <t>27,5</t>
  </si>
  <si>
    <t>Жунина Екатерина</t>
  </si>
  <si>
    <t>Открытая (17.12.1989)/32</t>
  </si>
  <si>
    <t>45,40</t>
  </si>
  <si>
    <t>22,5</t>
  </si>
  <si>
    <t>25,0</t>
  </si>
  <si>
    <t>Галкина Нина</t>
  </si>
  <si>
    <t>Открытая (02.04.1988)/33</t>
  </si>
  <si>
    <t>Вахидов Шухрат</t>
  </si>
  <si>
    <t>94,50</t>
  </si>
  <si>
    <t xml:space="preserve">Слободской/Кировская область </t>
  </si>
  <si>
    <t>48,5</t>
  </si>
  <si>
    <t>49,5</t>
  </si>
  <si>
    <t>48,0</t>
  </si>
  <si>
    <t>49,0</t>
  </si>
  <si>
    <t>Урыков Владислав</t>
  </si>
  <si>
    <t>Открытая (03.10.1992)/29</t>
  </si>
  <si>
    <t>59,90</t>
  </si>
  <si>
    <t>Дудиков Алексей</t>
  </si>
  <si>
    <t>Открытая (30.11.1985)/36</t>
  </si>
  <si>
    <t>67,30</t>
  </si>
  <si>
    <t>Николаев Евгений</t>
  </si>
  <si>
    <t>Открытая (19.01.1987)/34</t>
  </si>
  <si>
    <t>65,40</t>
  </si>
  <si>
    <t>73,0</t>
  </si>
  <si>
    <t>Задорин Павел</t>
  </si>
  <si>
    <t>Калачев Александр</t>
  </si>
  <si>
    <t>Открытая (07.05.1993)/28</t>
  </si>
  <si>
    <t>80,40</t>
  </si>
  <si>
    <t>Открытая (12.07.1999)/22</t>
  </si>
  <si>
    <t>Кургузкин Владимир</t>
  </si>
  <si>
    <t>Открытая (13.12.1972)/49</t>
  </si>
  <si>
    <t>Богданов Алексей</t>
  </si>
  <si>
    <t>Открытая (11.02.1986)/35</t>
  </si>
  <si>
    <t>79,30</t>
  </si>
  <si>
    <t>Королев Сергей</t>
  </si>
  <si>
    <t>Открытая (08.11.1989)/32</t>
  </si>
  <si>
    <t>80,90</t>
  </si>
  <si>
    <t>Гребелкин Алексей</t>
  </si>
  <si>
    <t>Открытая (14.10.1983)/38</t>
  </si>
  <si>
    <t>87,10</t>
  </si>
  <si>
    <t>Фесенко Илья</t>
  </si>
  <si>
    <t>Открытая (29.09.1982)/39</t>
  </si>
  <si>
    <t>87,80</t>
  </si>
  <si>
    <t>Александрович Денис</t>
  </si>
  <si>
    <t>Открытая (27.11.1995)/26</t>
  </si>
  <si>
    <t>87,40</t>
  </si>
  <si>
    <t>Прохоров Александр</t>
  </si>
  <si>
    <t>Открытая (07.05.1986)/35</t>
  </si>
  <si>
    <t>Гладышев Александр</t>
  </si>
  <si>
    <t>93,80</t>
  </si>
  <si>
    <t xml:space="preserve">Вожега/Вологодская область </t>
  </si>
  <si>
    <t xml:space="preserve">Воронов А. </t>
  </si>
  <si>
    <t>45,2655</t>
  </si>
  <si>
    <t>43,6136</t>
  </si>
  <si>
    <t>43,4757</t>
  </si>
  <si>
    <t>47,5346</t>
  </si>
  <si>
    <t>45,1965</t>
  </si>
  <si>
    <t>Асадулина Софья</t>
  </si>
  <si>
    <t>Открытая (08.11.1998)/23</t>
  </si>
  <si>
    <t>Открытая (11.03.1998)/23</t>
  </si>
  <si>
    <t>Шадричев Сергей</t>
  </si>
  <si>
    <t>Открытая (02.07.1986)/35</t>
  </si>
  <si>
    <t>80,70</t>
  </si>
  <si>
    <t xml:space="preserve">Волгореченск/Костромская область </t>
  </si>
  <si>
    <t>Открытая (08.12.1998)/23</t>
  </si>
  <si>
    <t>96,9975</t>
  </si>
  <si>
    <t>98,0</t>
  </si>
  <si>
    <t>88,4597</t>
  </si>
  <si>
    <t>88,2236</t>
  </si>
  <si>
    <t>103,0050</t>
  </si>
  <si>
    <t>Тяга</t>
  </si>
  <si>
    <t>Румянцева Светлана</t>
  </si>
  <si>
    <t>Открытая (16.05.1988)/33</t>
  </si>
  <si>
    <t>72,80</t>
  </si>
  <si>
    <t xml:space="preserve">Люберцы/Московская область </t>
  </si>
  <si>
    <t>Матвеев Александр</t>
  </si>
  <si>
    <t>81,00</t>
  </si>
  <si>
    <t xml:space="preserve">Жинкин В. </t>
  </si>
  <si>
    <t>Голосов Андрей</t>
  </si>
  <si>
    <t>Открытая (21.02.1987)/34</t>
  </si>
  <si>
    <t>98,10</t>
  </si>
  <si>
    <t xml:space="preserve">Вытегра/Вологодская область </t>
  </si>
  <si>
    <t>Чеботаев Дмитрий</t>
  </si>
  <si>
    <t>Открытая (09.11.1990)/31</t>
  </si>
  <si>
    <t>119,70</t>
  </si>
  <si>
    <t>350,0</t>
  </si>
  <si>
    <t>360,0</t>
  </si>
  <si>
    <t>Феничев Сергей</t>
  </si>
  <si>
    <t>Открытая (08.08.1987)/34</t>
  </si>
  <si>
    <t>102,80</t>
  </si>
  <si>
    <t>Востриков Антон</t>
  </si>
  <si>
    <t>Открытая (07.06.1995)/26</t>
  </si>
  <si>
    <t>VI Всероссийский мастерский турнир "Русский север"
СПР Жим лежа СФО
Вологда/Вологодская область, 25 декабря 2021 года</t>
  </si>
  <si>
    <t>VI Всероссийский мастерский турнир "Русский север"
СПР Жим лежа в многопетельной софт экипировке ДК
Вологда/Вологодская область, 25 декабря 2021 года</t>
  </si>
  <si>
    <t>VI Всероссийский мастерский турнир "Русский север"
СПР Жим лежа в многопетельной софт экипировке
Вологда/Вологодская область, 25 декабря 2021 года</t>
  </si>
  <si>
    <t>VI Всероссийский мастерский турнир "Русский север"
СПР Жим лежа в однопетельной софт экипировке ДК
Вологда/Вологодская область, 25 декабря 2021 года</t>
  </si>
  <si>
    <t>VI Всероссийский мастерский турнир "Русский север"
СПР Жим лежа в однопетельной софт экипировке
Вологда/Вологодская область, 25 декабря 2021 года</t>
  </si>
  <si>
    <t>VI Всероссийский мастерский турнир "Русский север"
СПР Пауэрспорт ДК
Вологда/Вологодская область, 25 декабря 2021 года</t>
  </si>
  <si>
    <t>VI Всероссийский мастерский турнир "Русский север"
СПР Пауэрспорт
Вологда/Вологодская область, 25 декабря 2021 года</t>
  </si>
  <si>
    <t>VI Всероссийский мастерский турнир "Русский север"
СПР Строгий подъем штанги на бицепс ДК
Вологда/Вологодская область, 25 декабря 2021 года</t>
  </si>
  <si>
    <t>VI Всероссийский мастерский турнир "Русский север"
СПР Жим штанги стоя ДК
Вологда/Вологодская область, 25 декабря 2021 года</t>
  </si>
  <si>
    <t xml:space="preserve">Громов А. </t>
  </si>
  <si>
    <t xml:space="preserve">Садовникова Ю. </t>
  </si>
  <si>
    <t>Мастера 40-49 (14.03.1974)/47</t>
  </si>
  <si>
    <t>Девушки 13-19 (13.06.2005)/16</t>
  </si>
  <si>
    <t>Юниоры 20-23 (14.05.1999)/22</t>
  </si>
  <si>
    <t>Юниоры 20-23 (21.05.1998)/23</t>
  </si>
  <si>
    <t>Юниоры 20-23 (09.09.1999)/22</t>
  </si>
  <si>
    <t>Юниоры 20-23 (08.11.1998)/23</t>
  </si>
  <si>
    <t>Юниоры 20-23 (11.03.1998)/23</t>
  </si>
  <si>
    <t>Юниоры 20-23 (12.07.1999)/22</t>
  </si>
  <si>
    <t>Юниоры 20-23 (08.12.1998)/23</t>
  </si>
  <si>
    <t>Мастера 40-49 (31.10.1975)/46</t>
  </si>
  <si>
    <t xml:space="preserve">Юниоры 20-23 </t>
  </si>
  <si>
    <t>Юноши 13-19 (21.05.2002)/19</t>
  </si>
  <si>
    <t>Мастера 40-49 (13.12.1972)/49</t>
  </si>
  <si>
    <t>Мастера 40-49 (01.06.1978)/43</t>
  </si>
  <si>
    <t>Юниорки 20-23 (21.05.2001)/20</t>
  </si>
  <si>
    <t>Девушки 13-15 (06.02.2006)/15</t>
  </si>
  <si>
    <t>Юноши 13-15 (21.08.2007)/14</t>
  </si>
  <si>
    <t xml:space="preserve">Юноши 13-15 </t>
  </si>
  <si>
    <t>Юниорки 20-23 (10.06.2000)/21</t>
  </si>
  <si>
    <t>Юноши 13-15 (30.01.2008)/13</t>
  </si>
  <si>
    <t>Юноши 13-15 (30.11.2007)/14</t>
  </si>
  <si>
    <t>Юноши 13-15 (30.04.2006)/15</t>
  </si>
  <si>
    <t>Юноши 13-15 (17.06.2008)/13</t>
  </si>
  <si>
    <t>Юноши 16-17 (16.10.2004)/17</t>
  </si>
  <si>
    <t>Юниоры 20-23 (08.01.1998)/23</t>
  </si>
  <si>
    <t>Юниоры 20-23 (22.08.1999)/22</t>
  </si>
  <si>
    <t>Юноши 13-15 (14.03.2006)/15</t>
  </si>
  <si>
    <t>Юноши 18-19 (15.05.2003)/18</t>
  </si>
  <si>
    <t xml:space="preserve">Юноши 18-19 </t>
  </si>
  <si>
    <t>Юноши 13-15 (12.05.2007)/14</t>
  </si>
  <si>
    <t>Юниоры 20-23 (27.08.1999)/22</t>
  </si>
  <si>
    <t>Девушки 18-19 (08.01.2002)/19</t>
  </si>
  <si>
    <t>Юниоры 20-23 (12.11.1999)/22</t>
  </si>
  <si>
    <t>Юноши 16-17 (20.09.2004)/17</t>
  </si>
  <si>
    <t xml:space="preserve">Колочёв А. </t>
  </si>
  <si>
    <t>Пьянков А., Нуралиев Р.</t>
  </si>
  <si>
    <t>Весовая категория</t>
  </si>
  <si>
    <t xml:space="preserve">Смирнов А. </t>
  </si>
  <si>
    <t xml:space="preserve">Капутин Д. </t>
  </si>
  <si>
    <t xml:space="preserve">Ишимбай/Республика Башкортостан </t>
  </si>
  <si>
    <t xml:space="preserve">Герасимов Н. </t>
  </si>
  <si>
    <t xml:space="preserve">Кудряшов Д. </t>
  </si>
  <si>
    <t xml:space="preserve">Матюхина Е. </t>
  </si>
  <si>
    <t xml:space="preserve">Анисимов И. </t>
  </si>
  <si>
    <t xml:space="preserve">Терешин А. </t>
  </si>
  <si>
    <t xml:space="preserve">Еремин Ю. </t>
  </si>
  <si>
    <t xml:space="preserve">Попов А. </t>
  </si>
  <si>
    <t xml:space="preserve">Ухта/Республика Коми </t>
  </si>
  <si>
    <t>Тарногский Городок/Вологодская область</t>
  </si>
  <si>
    <t xml:space="preserve">Тарногский Городок/Вологодская область </t>
  </si>
  <si>
    <t xml:space="preserve">Воркута/Республика Коми </t>
  </si>
  <si>
    <t>Громов А.</t>
  </si>
  <si>
    <t xml:space="preserve">Никитинский А. </t>
  </si>
  <si>
    <t xml:space="preserve">Васев А. </t>
  </si>
  <si>
    <t xml:space="preserve">Присада Р., Якушевич А. </t>
  </si>
  <si>
    <t>VI Всероссийский мастерский турнир "Русский север"
GPA Пауэрлифтинг без экипировки ДК
Вологда/Вологодская область, 25 декабря 2021 года</t>
  </si>
  <si>
    <t>VI Всероссийский мастерский турнир "Русский север"
GPA Пауэрлифтинг без экипировки
Вологда/Вологодская область, 25 декабря 2021 года</t>
  </si>
  <si>
    <t>VI Всероссийский мастерский турнир "Русский север"
GPA Пауэрлифтинг в бинтах ДК
Вологда/Вологодская область, 25 декабря 2021 года</t>
  </si>
  <si>
    <t>VI Всероссийский мастерский турнир "Русский север"
GPA Пауэрлифтинг в бинтах
Вологда/Вологодская область, 25 декабря 2021 года</t>
  </si>
  <si>
    <t>VI Всероссийский мастерский турнир "Русский север"
GPA Силовое двоеборье без экипировки ДК
Вологда/Вологодская область, 25 декабря 2021 года</t>
  </si>
  <si>
    <t>VI Всероссийский мастерский турнир "Русский север"
GPA Силовое двоеборье без экипировки
Вологда/Вологодская область, 25 декабря 2021 года</t>
  </si>
  <si>
    <t>VI Всероссийский мастерский турнир "Русский север"
GPA Присед в бинтах ДК
Вологда/Вологодская область, 25 декабря 2021 года</t>
  </si>
  <si>
    <t>VI Всероссийский мастерский турнир "Русский север"
GPA Жим лежа без экипировки ДК
Вологда/Вологодская область, 25 декабря 2021 года</t>
  </si>
  <si>
    <t>VI Всероссийский мастерский турнир "Русский север"
GPA Жим лежа без экипировки
Вологда/Вологодская область, 25 декабря 2021 года</t>
  </si>
  <si>
    <t>VI Всероссийский мастерский турнир "Русский север"
GPA Становая тяга без экипировки ДК
Вологда/Вологодская область, 25 декабря 2021 года</t>
  </si>
  <si>
    <t>VI Всероссийский мастерский турнир "Русский север"
GPA Становая тяга без экипировки
Вологда/Вологодская область, 25 декабря 2021 года</t>
  </si>
  <si>
    <t>VI Всероссийский мастерский турнир "Русский север"
IPO Становая тяга в экипировке
Вологда/Вологодская область, 25 декабря 2021 года</t>
  </si>
  <si>
    <t>VI Всероссийский мастерский турнир "Русский север"
IPO Жим лежа в многослойной экипировке
Вологда/Вологодская область, 25 декабря 2021 года</t>
  </si>
  <si>
    <t>VI Всероссийский мастерский турнир "Русский север"
IPO Жим лежа в однослойной экипировке ДК
Вологда/Вологодская область, 25 декабря 2021 года</t>
  </si>
  <si>
    <t>Жим</t>
  </si>
  <si>
    <t>№</t>
  </si>
  <si>
    <t xml:space="preserve">
Дата рождения/Возраст</t>
  </si>
  <si>
    <t>Возрастная группа</t>
  </si>
  <si>
    <t>O</t>
  </si>
  <si>
    <t>M1</t>
  </si>
  <si>
    <t>T2</t>
  </si>
  <si>
    <t>T3</t>
  </si>
  <si>
    <t>J</t>
  </si>
  <si>
    <t>T</t>
  </si>
  <si>
    <t>T1</t>
  </si>
  <si>
    <t>M3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</si>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</sst>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U32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3.6640625" style="5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34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3.5" style="5" bestFit="1" customWidth="1"/>
    <col min="22" max="16384" width="9.1640625" style="3"/>
  </cols>
  <sheetData>
    <row r="1" spans="1:21" s="2" customFormat="1" ht="29" customHeight="1">
      <c r="A1" s="42" t="s">
        <v>639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7</v>
      </c>
      <c r="H3" s="34"/>
      <c r="I3" s="34"/>
      <c r="J3" s="34"/>
      <c r="K3" s="34" t="s">
        <v>8</v>
      </c>
      <c r="L3" s="34"/>
      <c r="M3" s="34"/>
      <c r="N3" s="34"/>
      <c r="O3" s="34" t="s">
        <v>9</v>
      </c>
      <c r="P3" s="34"/>
      <c r="Q3" s="34"/>
      <c r="R3" s="34"/>
      <c r="S3" s="34" t="s">
        <v>1</v>
      </c>
      <c r="T3" s="34" t="s">
        <v>3</v>
      </c>
      <c r="U3" s="36" t="s">
        <v>2</v>
      </c>
    </row>
    <row r="4" spans="1:21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5"/>
      <c r="T4" s="35"/>
      <c r="U4" s="37"/>
    </row>
    <row r="5" spans="1:21" ht="16">
      <c r="A5" s="38" t="s">
        <v>32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21">
      <c r="A6" s="8" t="s">
        <v>30</v>
      </c>
      <c r="B6" s="7" t="s">
        <v>33</v>
      </c>
      <c r="C6" s="7" t="s">
        <v>34</v>
      </c>
      <c r="D6" s="7" t="s">
        <v>35</v>
      </c>
      <c r="E6" s="7" t="s">
        <v>657</v>
      </c>
      <c r="F6" s="7" t="s">
        <v>36</v>
      </c>
      <c r="G6" s="14" t="s">
        <v>37</v>
      </c>
      <c r="H6" s="14" t="s">
        <v>38</v>
      </c>
      <c r="I6" s="14" t="s">
        <v>39</v>
      </c>
      <c r="J6" s="8"/>
      <c r="K6" s="14" t="s">
        <v>40</v>
      </c>
      <c r="L6" s="14" t="s">
        <v>41</v>
      </c>
      <c r="M6" s="15" t="s">
        <v>42</v>
      </c>
      <c r="N6" s="8"/>
      <c r="O6" s="14" t="s">
        <v>43</v>
      </c>
      <c r="P6" s="15" t="s">
        <v>44</v>
      </c>
      <c r="Q6" s="15" t="s">
        <v>44</v>
      </c>
      <c r="R6" s="8"/>
      <c r="S6" s="8" t="str">
        <f>"207,5"</f>
        <v>207,5</v>
      </c>
      <c r="T6" s="8" t="str">
        <f>"248,1907"</f>
        <v>248,1907</v>
      </c>
      <c r="U6" s="7" t="s">
        <v>45</v>
      </c>
    </row>
    <row r="7" spans="1:21">
      <c r="B7" s="5" t="s">
        <v>31</v>
      </c>
    </row>
    <row r="8" spans="1:21" ht="16">
      <c r="A8" s="33" t="s">
        <v>46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1">
      <c r="A9" s="17" t="s">
        <v>30</v>
      </c>
      <c r="B9" s="16" t="s">
        <v>47</v>
      </c>
      <c r="C9" s="16" t="s">
        <v>48</v>
      </c>
      <c r="D9" s="16" t="s">
        <v>49</v>
      </c>
      <c r="E9" s="16" t="s">
        <v>657</v>
      </c>
      <c r="F9" s="16" t="s">
        <v>14</v>
      </c>
      <c r="G9" s="22" t="s">
        <v>38</v>
      </c>
      <c r="H9" s="22" t="s">
        <v>44</v>
      </c>
      <c r="I9" s="22" t="s">
        <v>18</v>
      </c>
      <c r="J9" s="17"/>
      <c r="K9" s="22" t="s">
        <v>50</v>
      </c>
      <c r="L9" s="23" t="s">
        <v>51</v>
      </c>
      <c r="M9" s="22" t="s">
        <v>51</v>
      </c>
      <c r="N9" s="17"/>
      <c r="O9" s="22" t="s">
        <v>19</v>
      </c>
      <c r="P9" s="23" t="s">
        <v>52</v>
      </c>
      <c r="Q9" s="23" t="s">
        <v>52</v>
      </c>
      <c r="R9" s="17"/>
      <c r="S9" s="17" t="str">
        <f>"242,5"</f>
        <v>242,5</v>
      </c>
      <c r="T9" s="17" t="str">
        <f>"271,0665"</f>
        <v>271,0665</v>
      </c>
      <c r="U9" s="16" t="s">
        <v>638</v>
      </c>
    </row>
    <row r="10" spans="1:21">
      <c r="A10" s="19" t="s">
        <v>133</v>
      </c>
      <c r="B10" s="18" t="s">
        <v>53</v>
      </c>
      <c r="C10" s="18" t="s">
        <v>54</v>
      </c>
      <c r="D10" s="18" t="s">
        <v>55</v>
      </c>
      <c r="E10" s="18" t="s">
        <v>657</v>
      </c>
      <c r="F10" s="18" t="s">
        <v>56</v>
      </c>
      <c r="G10" s="24" t="s">
        <v>57</v>
      </c>
      <c r="H10" s="25" t="s">
        <v>58</v>
      </c>
      <c r="I10" s="24" t="s">
        <v>58</v>
      </c>
      <c r="J10" s="19"/>
      <c r="K10" s="24" t="s">
        <v>41</v>
      </c>
      <c r="L10" s="24" t="s">
        <v>42</v>
      </c>
      <c r="M10" s="24" t="s">
        <v>59</v>
      </c>
      <c r="N10" s="19"/>
      <c r="O10" s="24" t="s">
        <v>38</v>
      </c>
      <c r="P10" s="25" t="s">
        <v>18</v>
      </c>
      <c r="Q10" s="25" t="s">
        <v>19</v>
      </c>
      <c r="R10" s="19"/>
      <c r="S10" s="19" t="str">
        <f>"205,0"</f>
        <v>205,0</v>
      </c>
      <c r="T10" s="19" t="str">
        <f>"237,1440"</f>
        <v>237,1440</v>
      </c>
      <c r="U10" s="18"/>
    </row>
    <row r="11" spans="1:21">
      <c r="B11" s="5" t="s">
        <v>31</v>
      </c>
    </row>
    <row r="12" spans="1:21" ht="16">
      <c r="A12" s="33" t="s">
        <v>60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21">
      <c r="A13" s="8" t="s">
        <v>30</v>
      </c>
      <c r="B13" s="7" t="s">
        <v>61</v>
      </c>
      <c r="C13" s="7" t="s">
        <v>62</v>
      </c>
      <c r="D13" s="7" t="s">
        <v>63</v>
      </c>
      <c r="E13" s="7" t="s">
        <v>658</v>
      </c>
      <c r="F13" s="7" t="s">
        <v>14</v>
      </c>
      <c r="G13" s="15" t="s">
        <v>50</v>
      </c>
      <c r="H13" s="14" t="s">
        <v>64</v>
      </c>
      <c r="I13" s="14" t="s">
        <v>57</v>
      </c>
      <c r="J13" s="8"/>
      <c r="K13" s="14" t="s">
        <v>50</v>
      </c>
      <c r="L13" s="14" t="s">
        <v>64</v>
      </c>
      <c r="M13" s="14" t="s">
        <v>65</v>
      </c>
      <c r="N13" s="8"/>
      <c r="O13" s="14" t="s">
        <v>66</v>
      </c>
      <c r="P13" s="14" t="s">
        <v>37</v>
      </c>
      <c r="Q13" s="15" t="s">
        <v>67</v>
      </c>
      <c r="R13" s="8"/>
      <c r="S13" s="8" t="str">
        <f>"207,5"</f>
        <v>207,5</v>
      </c>
      <c r="T13" s="8" t="str">
        <f>"208,0975"</f>
        <v>208,0975</v>
      </c>
      <c r="U13" s="7" t="s">
        <v>68</v>
      </c>
    </row>
    <row r="14" spans="1:21">
      <c r="B14" s="5" t="s">
        <v>31</v>
      </c>
    </row>
    <row r="15" spans="1:21" ht="16">
      <c r="A15" s="33" t="s">
        <v>69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21">
      <c r="A16" s="17" t="s">
        <v>30</v>
      </c>
      <c r="B16" s="16" t="s">
        <v>70</v>
      </c>
      <c r="C16" s="16" t="s">
        <v>617</v>
      </c>
      <c r="D16" s="16" t="s">
        <v>71</v>
      </c>
      <c r="E16" s="16" t="s">
        <v>659</v>
      </c>
      <c r="F16" s="16" t="s">
        <v>56</v>
      </c>
      <c r="G16" s="22" t="s">
        <v>19</v>
      </c>
      <c r="H16" s="22" t="s">
        <v>72</v>
      </c>
      <c r="I16" s="22" t="s">
        <v>73</v>
      </c>
      <c r="J16" s="17"/>
      <c r="K16" s="22" t="s">
        <v>19</v>
      </c>
      <c r="L16" s="22" t="s">
        <v>74</v>
      </c>
      <c r="M16" s="22" t="s">
        <v>75</v>
      </c>
      <c r="N16" s="17"/>
      <c r="O16" s="22" t="s">
        <v>16</v>
      </c>
      <c r="P16" s="22" t="s">
        <v>17</v>
      </c>
      <c r="Q16" s="22" t="s">
        <v>20</v>
      </c>
      <c r="R16" s="17"/>
      <c r="S16" s="17" t="str">
        <f>"395,0"</f>
        <v>395,0</v>
      </c>
      <c r="T16" s="17" t="str">
        <f>"282,6818"</f>
        <v>282,6818</v>
      </c>
      <c r="U16" s="16" t="s">
        <v>626</v>
      </c>
    </row>
    <row r="17" spans="1:21">
      <c r="A17" s="21" t="s">
        <v>133</v>
      </c>
      <c r="B17" s="20" t="s">
        <v>76</v>
      </c>
      <c r="C17" s="20" t="s">
        <v>607</v>
      </c>
      <c r="D17" s="20" t="s">
        <v>77</v>
      </c>
      <c r="E17" s="20" t="s">
        <v>659</v>
      </c>
      <c r="F17" s="20" t="s">
        <v>36</v>
      </c>
      <c r="G17" s="26" t="s">
        <v>19</v>
      </c>
      <c r="H17" s="26" t="s">
        <v>75</v>
      </c>
      <c r="I17" s="26" t="s">
        <v>78</v>
      </c>
      <c r="J17" s="21"/>
      <c r="K17" s="26" t="s">
        <v>37</v>
      </c>
      <c r="L17" s="26" t="s">
        <v>38</v>
      </c>
      <c r="M17" s="26" t="s">
        <v>43</v>
      </c>
      <c r="N17" s="21"/>
      <c r="O17" s="26" t="s">
        <v>75</v>
      </c>
      <c r="P17" s="26" t="s">
        <v>72</v>
      </c>
      <c r="Q17" s="26" t="s">
        <v>15</v>
      </c>
      <c r="R17" s="21"/>
      <c r="S17" s="21" t="str">
        <f>"327,5"</f>
        <v>327,5</v>
      </c>
      <c r="T17" s="21" t="str">
        <f>"225,5001"</f>
        <v>225,5001</v>
      </c>
      <c r="U17" s="20" t="s">
        <v>628</v>
      </c>
    </row>
    <row r="18" spans="1:21">
      <c r="A18" s="19" t="s">
        <v>30</v>
      </c>
      <c r="B18" s="18" t="s">
        <v>79</v>
      </c>
      <c r="C18" s="18" t="s">
        <v>80</v>
      </c>
      <c r="D18" s="18" t="s">
        <v>81</v>
      </c>
      <c r="E18" s="18" t="s">
        <v>657</v>
      </c>
      <c r="F18" s="18" t="s">
        <v>14</v>
      </c>
      <c r="G18" s="24" t="s">
        <v>82</v>
      </c>
      <c r="H18" s="25" t="s">
        <v>74</v>
      </c>
      <c r="I18" s="24" t="s">
        <v>75</v>
      </c>
      <c r="J18" s="19"/>
      <c r="K18" s="24" t="s">
        <v>57</v>
      </c>
      <c r="L18" s="24" t="s">
        <v>43</v>
      </c>
      <c r="M18" s="25" t="s">
        <v>67</v>
      </c>
      <c r="N18" s="19"/>
      <c r="O18" s="24" t="s">
        <v>78</v>
      </c>
      <c r="P18" s="24" t="s">
        <v>15</v>
      </c>
      <c r="Q18" s="25" t="s">
        <v>83</v>
      </c>
      <c r="R18" s="19"/>
      <c r="S18" s="19" t="str">
        <f>"322,5"</f>
        <v>322,5</v>
      </c>
      <c r="T18" s="19" t="str">
        <f>"224,0408"</f>
        <v>224,0408</v>
      </c>
      <c r="U18" s="18" t="s">
        <v>68</v>
      </c>
    </row>
    <row r="19" spans="1:21">
      <c r="B19" s="5" t="s">
        <v>31</v>
      </c>
    </row>
    <row r="20" spans="1:21" ht="16">
      <c r="A20" s="33" t="s">
        <v>84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21">
      <c r="A21" s="8" t="s">
        <v>30</v>
      </c>
      <c r="B21" s="7" t="s">
        <v>85</v>
      </c>
      <c r="C21" s="7" t="s">
        <v>86</v>
      </c>
      <c r="D21" s="7" t="s">
        <v>87</v>
      </c>
      <c r="E21" s="7" t="s">
        <v>657</v>
      </c>
      <c r="F21" s="7" t="s">
        <v>36</v>
      </c>
      <c r="G21" s="14" t="s">
        <v>21</v>
      </c>
      <c r="H21" s="14" t="s">
        <v>88</v>
      </c>
      <c r="I21" s="14" t="s">
        <v>89</v>
      </c>
      <c r="J21" s="8"/>
      <c r="K21" s="14" t="s">
        <v>75</v>
      </c>
      <c r="L21" s="14" t="s">
        <v>72</v>
      </c>
      <c r="M21" s="15" t="s">
        <v>15</v>
      </c>
      <c r="N21" s="8"/>
      <c r="O21" s="14" t="s">
        <v>90</v>
      </c>
      <c r="P21" s="14" t="s">
        <v>91</v>
      </c>
      <c r="Q21" s="15" t="s">
        <v>92</v>
      </c>
      <c r="R21" s="8"/>
      <c r="S21" s="8" t="str">
        <f>"530,0"</f>
        <v>530,0</v>
      </c>
      <c r="T21" s="8" t="str">
        <f>"349,2435"</f>
        <v>349,2435</v>
      </c>
      <c r="U21" s="7"/>
    </row>
    <row r="22" spans="1:21">
      <c r="B22" s="5" t="s">
        <v>31</v>
      </c>
    </row>
    <row r="23" spans="1:21" ht="16">
      <c r="A23" s="33" t="s">
        <v>93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21">
      <c r="A24" s="17" t="s">
        <v>30</v>
      </c>
      <c r="B24" s="16" t="s">
        <v>94</v>
      </c>
      <c r="C24" s="16" t="s">
        <v>95</v>
      </c>
      <c r="D24" s="16" t="s">
        <v>96</v>
      </c>
      <c r="E24" s="16" t="s">
        <v>657</v>
      </c>
      <c r="F24" s="16" t="s">
        <v>14</v>
      </c>
      <c r="G24" s="22" t="s">
        <v>97</v>
      </c>
      <c r="H24" s="22" t="s">
        <v>21</v>
      </c>
      <c r="I24" s="23" t="s">
        <v>88</v>
      </c>
      <c r="J24" s="17"/>
      <c r="K24" s="22" t="s">
        <v>15</v>
      </c>
      <c r="L24" s="22" t="s">
        <v>98</v>
      </c>
      <c r="M24" s="23" t="s">
        <v>16</v>
      </c>
      <c r="N24" s="17"/>
      <c r="O24" s="22" t="s">
        <v>90</v>
      </c>
      <c r="P24" s="22" t="s">
        <v>99</v>
      </c>
      <c r="Q24" s="22" t="s">
        <v>91</v>
      </c>
      <c r="R24" s="17"/>
      <c r="S24" s="17" t="str">
        <f>"527,5"</f>
        <v>527,5</v>
      </c>
      <c r="T24" s="17" t="str">
        <f>"326,4434"</f>
        <v>326,4434</v>
      </c>
      <c r="U24" s="16" t="s">
        <v>68</v>
      </c>
    </row>
    <row r="25" spans="1:21">
      <c r="A25" s="19" t="s">
        <v>133</v>
      </c>
      <c r="B25" s="18" t="s">
        <v>100</v>
      </c>
      <c r="C25" s="18" t="s">
        <v>101</v>
      </c>
      <c r="D25" s="18" t="s">
        <v>102</v>
      </c>
      <c r="E25" s="18" t="s">
        <v>657</v>
      </c>
      <c r="F25" s="18" t="s">
        <v>103</v>
      </c>
      <c r="G25" s="24" t="s">
        <v>97</v>
      </c>
      <c r="H25" s="24" t="s">
        <v>104</v>
      </c>
      <c r="I25" s="24" t="s">
        <v>105</v>
      </c>
      <c r="J25" s="19"/>
      <c r="K25" s="24" t="s">
        <v>52</v>
      </c>
      <c r="L25" s="24" t="s">
        <v>106</v>
      </c>
      <c r="M25" s="24" t="s">
        <v>15</v>
      </c>
      <c r="N25" s="19"/>
      <c r="O25" s="24" t="s">
        <v>88</v>
      </c>
      <c r="P25" s="24" t="s">
        <v>89</v>
      </c>
      <c r="Q25" s="25" t="s">
        <v>90</v>
      </c>
      <c r="R25" s="19"/>
      <c r="S25" s="19" t="str">
        <f>"502,5"</f>
        <v>502,5</v>
      </c>
      <c r="T25" s="19" t="str">
        <f>"308,0325"</f>
        <v>308,0325</v>
      </c>
      <c r="U25" s="18" t="s">
        <v>107</v>
      </c>
    </row>
    <row r="26" spans="1:21">
      <c r="B26" s="5" t="s">
        <v>31</v>
      </c>
    </row>
    <row r="27" spans="1:21" ht="16">
      <c r="A27" s="33" t="s">
        <v>108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  <row r="28" spans="1:21">
      <c r="A28" s="17" t="s">
        <v>30</v>
      </c>
      <c r="B28" s="16" t="s">
        <v>109</v>
      </c>
      <c r="C28" s="16" t="s">
        <v>110</v>
      </c>
      <c r="D28" s="16" t="s">
        <v>111</v>
      </c>
      <c r="E28" s="16" t="s">
        <v>657</v>
      </c>
      <c r="F28" s="16" t="s">
        <v>14</v>
      </c>
      <c r="G28" s="22" t="s">
        <v>18</v>
      </c>
      <c r="H28" s="22" t="s">
        <v>74</v>
      </c>
      <c r="I28" s="23" t="s">
        <v>78</v>
      </c>
      <c r="J28" s="17"/>
      <c r="K28" s="22" t="s">
        <v>18</v>
      </c>
      <c r="L28" s="22" t="s">
        <v>74</v>
      </c>
      <c r="M28" s="23" t="s">
        <v>78</v>
      </c>
      <c r="N28" s="17"/>
      <c r="O28" s="22" t="s">
        <v>72</v>
      </c>
      <c r="P28" s="22" t="s">
        <v>16</v>
      </c>
      <c r="Q28" s="22" t="s">
        <v>112</v>
      </c>
      <c r="R28" s="17"/>
      <c r="S28" s="17" t="str">
        <f>"362,5"</f>
        <v>362,5</v>
      </c>
      <c r="T28" s="17" t="str">
        <f>"212,1894"</f>
        <v>212,1894</v>
      </c>
      <c r="U28" s="16" t="s">
        <v>68</v>
      </c>
    </row>
    <row r="29" spans="1:21">
      <c r="A29" s="21" t="s">
        <v>30</v>
      </c>
      <c r="B29" s="20" t="s">
        <v>113</v>
      </c>
      <c r="C29" s="20" t="s">
        <v>114</v>
      </c>
      <c r="D29" s="20" t="s">
        <v>115</v>
      </c>
      <c r="E29" s="20" t="s">
        <v>658</v>
      </c>
      <c r="F29" s="20" t="s">
        <v>103</v>
      </c>
      <c r="G29" s="26" t="s">
        <v>116</v>
      </c>
      <c r="H29" s="26" t="s">
        <v>117</v>
      </c>
      <c r="I29" s="26" t="s">
        <v>105</v>
      </c>
      <c r="J29" s="21"/>
      <c r="K29" s="26" t="s">
        <v>118</v>
      </c>
      <c r="L29" s="26" t="s">
        <v>119</v>
      </c>
      <c r="M29" s="27" t="s">
        <v>104</v>
      </c>
      <c r="N29" s="21"/>
      <c r="O29" s="26" t="s">
        <v>99</v>
      </c>
      <c r="P29" s="26" t="s">
        <v>120</v>
      </c>
      <c r="Q29" s="26" t="s">
        <v>121</v>
      </c>
      <c r="R29" s="21"/>
      <c r="S29" s="21" t="str">
        <f>"575,0"</f>
        <v>575,0</v>
      </c>
      <c r="T29" s="21" t="str">
        <f>"361,7663"</f>
        <v>361,7663</v>
      </c>
      <c r="U29" s="20"/>
    </row>
    <row r="30" spans="1:21">
      <c r="A30" s="19" t="s">
        <v>133</v>
      </c>
      <c r="B30" s="18" t="s">
        <v>122</v>
      </c>
      <c r="C30" s="18" t="s">
        <v>123</v>
      </c>
      <c r="D30" s="18" t="s">
        <v>124</v>
      </c>
      <c r="E30" s="18" t="s">
        <v>658</v>
      </c>
      <c r="F30" s="18" t="s">
        <v>103</v>
      </c>
      <c r="G30" s="24" t="s">
        <v>20</v>
      </c>
      <c r="H30" s="24" t="s">
        <v>104</v>
      </c>
      <c r="I30" s="24" t="s">
        <v>21</v>
      </c>
      <c r="J30" s="19"/>
      <c r="K30" s="24" t="s">
        <v>16</v>
      </c>
      <c r="L30" s="24" t="s">
        <v>83</v>
      </c>
      <c r="M30" s="24" t="s">
        <v>17</v>
      </c>
      <c r="N30" s="19"/>
      <c r="O30" s="24" t="s">
        <v>89</v>
      </c>
      <c r="P30" s="24" t="s">
        <v>90</v>
      </c>
      <c r="Q30" s="25" t="s">
        <v>125</v>
      </c>
      <c r="R30" s="19"/>
      <c r="S30" s="19" t="str">
        <f>"520,0"</f>
        <v>520,0</v>
      </c>
      <c r="T30" s="19" t="str">
        <f>"335,5613"</f>
        <v>335,5613</v>
      </c>
      <c r="U30" s="18"/>
    </row>
    <row r="31" spans="1:21">
      <c r="B31" s="5" t="s">
        <v>31</v>
      </c>
    </row>
    <row r="32" spans="1:21">
      <c r="B32" s="5" t="s">
        <v>31</v>
      </c>
    </row>
  </sheetData>
  <mergeCells count="20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7:R27"/>
    <mergeCell ref="S3:S4"/>
    <mergeCell ref="T3:T4"/>
    <mergeCell ref="U3:U4"/>
    <mergeCell ref="A5:R5"/>
    <mergeCell ref="B3:B4"/>
    <mergeCell ref="A8:R8"/>
    <mergeCell ref="A12:R12"/>
    <mergeCell ref="A15:R15"/>
    <mergeCell ref="A20:R20"/>
    <mergeCell ref="A23:R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.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6640625" style="5" customWidth="1"/>
    <col min="14" max="16384" width="9.1640625" style="3"/>
  </cols>
  <sheetData>
    <row r="1" spans="1:13" s="2" customFormat="1" ht="29" customHeight="1">
      <c r="A1" s="42" t="s">
        <v>652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8</v>
      </c>
      <c r="H3" s="34"/>
      <c r="I3" s="34"/>
      <c r="J3" s="34"/>
      <c r="K3" s="34" t="s">
        <v>311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84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17" t="s">
        <v>30</v>
      </c>
      <c r="B6" s="16" t="s">
        <v>417</v>
      </c>
      <c r="C6" s="16" t="s">
        <v>418</v>
      </c>
      <c r="D6" s="16" t="s">
        <v>419</v>
      </c>
      <c r="E6" s="16" t="s">
        <v>657</v>
      </c>
      <c r="F6" s="16" t="s">
        <v>292</v>
      </c>
      <c r="G6" s="22" t="s">
        <v>125</v>
      </c>
      <c r="H6" s="23" t="s">
        <v>99</v>
      </c>
      <c r="I6" s="23" t="s">
        <v>91</v>
      </c>
      <c r="J6" s="17"/>
      <c r="K6" s="17" t="str">
        <f>"205,0"</f>
        <v>205,0</v>
      </c>
      <c r="L6" s="17" t="str">
        <f>"133,4140"</f>
        <v>133,4140</v>
      </c>
      <c r="M6" s="16"/>
    </row>
    <row r="7" spans="1:13">
      <c r="A7" s="19" t="s">
        <v>30</v>
      </c>
      <c r="B7" s="18" t="s">
        <v>417</v>
      </c>
      <c r="C7" s="18" t="s">
        <v>420</v>
      </c>
      <c r="D7" s="18" t="s">
        <v>419</v>
      </c>
      <c r="E7" s="18" t="s">
        <v>658</v>
      </c>
      <c r="F7" s="18" t="s">
        <v>292</v>
      </c>
      <c r="G7" s="24" t="s">
        <v>125</v>
      </c>
      <c r="H7" s="25" t="s">
        <v>99</v>
      </c>
      <c r="I7" s="25" t="s">
        <v>91</v>
      </c>
      <c r="J7" s="19"/>
      <c r="K7" s="19" t="str">
        <f>"205,0"</f>
        <v>205,0</v>
      </c>
      <c r="L7" s="19" t="str">
        <f>"146,3552"</f>
        <v>146,3552</v>
      </c>
      <c r="M7" s="18"/>
    </row>
    <row r="8" spans="1:13">
      <c r="B8" s="5" t="s">
        <v>31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4.16406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1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3.1640625" style="5" customWidth="1"/>
    <col min="14" max="16384" width="9.1640625" style="3"/>
  </cols>
  <sheetData>
    <row r="1" spans="1:13" s="2" customFormat="1" ht="29" customHeight="1">
      <c r="A1" s="42" t="s">
        <v>651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8</v>
      </c>
      <c r="H3" s="34"/>
      <c r="I3" s="34"/>
      <c r="J3" s="34"/>
      <c r="K3" s="34" t="s">
        <v>311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108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30</v>
      </c>
      <c r="B6" s="7" t="s">
        <v>421</v>
      </c>
      <c r="C6" s="7" t="s">
        <v>422</v>
      </c>
      <c r="D6" s="7" t="s">
        <v>423</v>
      </c>
      <c r="E6" s="7" t="s">
        <v>664</v>
      </c>
      <c r="F6" s="7" t="s">
        <v>424</v>
      </c>
      <c r="G6" s="14" t="s">
        <v>17</v>
      </c>
      <c r="H6" s="14" t="s">
        <v>20</v>
      </c>
      <c r="I6" s="14" t="s">
        <v>21</v>
      </c>
      <c r="J6" s="8"/>
      <c r="K6" s="8" t="str">
        <f>"170,0"</f>
        <v>170,0</v>
      </c>
      <c r="L6" s="8" t="str">
        <f>"136,9761"</f>
        <v>136,9761</v>
      </c>
      <c r="M6" s="7"/>
    </row>
    <row r="7" spans="1:13">
      <c r="B7" s="5" t="s">
        <v>31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4.3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3.6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32.83203125" style="5" bestFit="1" customWidth="1"/>
    <col min="14" max="16384" width="9.1640625" style="3"/>
  </cols>
  <sheetData>
    <row r="1" spans="1:13" s="2" customFormat="1" ht="29" customHeight="1">
      <c r="A1" s="42" t="s">
        <v>576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8</v>
      </c>
      <c r="H3" s="34"/>
      <c r="I3" s="34"/>
      <c r="J3" s="34"/>
      <c r="K3" s="34" t="s">
        <v>311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60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30</v>
      </c>
      <c r="B6" s="7" t="s">
        <v>320</v>
      </c>
      <c r="C6" s="7" t="s">
        <v>321</v>
      </c>
      <c r="D6" s="7" t="s">
        <v>322</v>
      </c>
      <c r="E6" s="7" t="s">
        <v>657</v>
      </c>
      <c r="F6" s="7" t="s">
        <v>323</v>
      </c>
      <c r="G6" s="14" t="s">
        <v>43</v>
      </c>
      <c r="H6" s="14" t="s">
        <v>82</v>
      </c>
      <c r="I6" s="15" t="s">
        <v>192</v>
      </c>
      <c r="J6" s="8"/>
      <c r="K6" s="8" t="str">
        <f>"95,0"</f>
        <v>95,0</v>
      </c>
      <c r="L6" s="8" t="str">
        <f>"94,9715"</f>
        <v>94,9715</v>
      </c>
      <c r="M6" s="7" t="s">
        <v>583</v>
      </c>
    </row>
    <row r="7" spans="1:13">
      <c r="B7" s="5" t="s">
        <v>31</v>
      </c>
    </row>
    <row r="8" spans="1:13" ht="16">
      <c r="A8" s="33" t="s">
        <v>84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30</v>
      </c>
      <c r="B9" s="7" t="s">
        <v>556</v>
      </c>
      <c r="C9" s="7" t="s">
        <v>584</v>
      </c>
      <c r="D9" s="7" t="s">
        <v>557</v>
      </c>
      <c r="E9" s="7" t="s">
        <v>658</v>
      </c>
      <c r="F9" s="7" t="s">
        <v>283</v>
      </c>
      <c r="G9" s="15" t="s">
        <v>226</v>
      </c>
      <c r="H9" s="14" t="s">
        <v>226</v>
      </c>
      <c r="I9" s="15" t="s">
        <v>301</v>
      </c>
      <c r="J9" s="8"/>
      <c r="K9" s="8" t="str">
        <f>"210,0"</f>
        <v>210,0</v>
      </c>
      <c r="L9" s="8" t="str">
        <f>"148,2270"</f>
        <v>148,2270</v>
      </c>
      <c r="M9" s="7" t="s">
        <v>558</v>
      </c>
    </row>
    <row r="10" spans="1:13">
      <c r="B10" s="5" t="s">
        <v>31</v>
      </c>
    </row>
    <row r="11" spans="1:13" ht="16">
      <c r="A11" s="33" t="s">
        <v>108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3">
      <c r="A12" s="8" t="s">
        <v>30</v>
      </c>
      <c r="B12" s="7" t="s">
        <v>559</v>
      </c>
      <c r="C12" s="7" t="s">
        <v>560</v>
      </c>
      <c r="D12" s="7" t="s">
        <v>561</v>
      </c>
      <c r="E12" s="7" t="s">
        <v>657</v>
      </c>
      <c r="F12" s="7" t="s">
        <v>562</v>
      </c>
      <c r="G12" s="14" t="s">
        <v>17</v>
      </c>
      <c r="H12" s="15" t="s">
        <v>20</v>
      </c>
      <c r="I12" s="15" t="s">
        <v>20</v>
      </c>
      <c r="J12" s="8"/>
      <c r="K12" s="8" t="str">
        <f>"150,0"</f>
        <v>150,0</v>
      </c>
      <c r="L12" s="8" t="str">
        <f>"87,9225"</f>
        <v>87,9225</v>
      </c>
      <c r="M12" s="7"/>
    </row>
    <row r="13" spans="1:13">
      <c r="B13" s="5" t="s">
        <v>31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8.6640625" style="5" customWidth="1"/>
    <col min="14" max="16384" width="9.1640625" style="3"/>
  </cols>
  <sheetData>
    <row r="1" spans="1:13" s="2" customFormat="1" ht="29" customHeight="1">
      <c r="A1" s="42" t="s">
        <v>577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8</v>
      </c>
      <c r="H3" s="34"/>
      <c r="I3" s="34"/>
      <c r="J3" s="34"/>
      <c r="K3" s="34" t="s">
        <v>311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69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30</v>
      </c>
      <c r="B6" s="7" t="s">
        <v>552</v>
      </c>
      <c r="C6" s="7" t="s">
        <v>553</v>
      </c>
      <c r="D6" s="7" t="s">
        <v>554</v>
      </c>
      <c r="E6" s="7" t="s">
        <v>657</v>
      </c>
      <c r="F6" s="7" t="s">
        <v>555</v>
      </c>
      <c r="G6" s="14" t="s">
        <v>20</v>
      </c>
      <c r="H6" s="14" t="s">
        <v>21</v>
      </c>
      <c r="I6" s="14" t="s">
        <v>142</v>
      </c>
      <c r="J6" s="8"/>
      <c r="K6" s="8" t="str">
        <f>"175,0"</f>
        <v>175,0</v>
      </c>
      <c r="L6" s="8" t="str">
        <f>"149,2837"</f>
        <v>149,2837</v>
      </c>
      <c r="M6" s="7" t="s">
        <v>144</v>
      </c>
    </row>
    <row r="7" spans="1:13">
      <c r="B7" s="5" t="s">
        <v>31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4.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6.83203125" style="5" bestFit="1" customWidth="1"/>
    <col min="14" max="16384" width="9.1640625" style="3"/>
  </cols>
  <sheetData>
    <row r="1" spans="1:13" s="2" customFormat="1" ht="29" customHeight="1">
      <c r="A1" s="42" t="s">
        <v>574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8</v>
      </c>
      <c r="H3" s="34"/>
      <c r="I3" s="34"/>
      <c r="J3" s="34"/>
      <c r="K3" s="34" t="s">
        <v>311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165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30</v>
      </c>
      <c r="B6" s="7" t="s">
        <v>568</v>
      </c>
      <c r="C6" s="7" t="s">
        <v>569</v>
      </c>
      <c r="D6" s="7" t="s">
        <v>570</v>
      </c>
      <c r="E6" s="7" t="s">
        <v>657</v>
      </c>
      <c r="F6" s="7" t="s">
        <v>36</v>
      </c>
      <c r="G6" s="14" t="s">
        <v>89</v>
      </c>
      <c r="H6" s="15" t="s">
        <v>90</v>
      </c>
      <c r="I6" s="15" t="s">
        <v>90</v>
      </c>
      <c r="J6" s="8"/>
      <c r="K6" s="8" t="str">
        <f>"190,0"</f>
        <v>190,0</v>
      </c>
      <c r="L6" s="8" t="str">
        <f>"109,2500"</f>
        <v>109,2500</v>
      </c>
      <c r="M6" s="7" t="s">
        <v>582</v>
      </c>
    </row>
    <row r="7" spans="1:13">
      <c r="B7" s="5" t="s">
        <v>31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2" style="5" customWidth="1"/>
    <col min="3" max="3" width="26.33203125" style="5" bestFit="1" customWidth="1"/>
    <col min="4" max="4" width="21.5" style="5" bestFit="1" customWidth="1"/>
    <col min="5" max="5" width="13.6640625" style="5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42" t="s">
        <v>575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8</v>
      </c>
      <c r="H3" s="34"/>
      <c r="I3" s="34"/>
      <c r="J3" s="34"/>
      <c r="K3" s="34" t="s">
        <v>311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296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30</v>
      </c>
      <c r="B6" s="7" t="s">
        <v>563</v>
      </c>
      <c r="C6" s="7" t="s">
        <v>564</v>
      </c>
      <c r="D6" s="7" t="s">
        <v>565</v>
      </c>
      <c r="E6" s="7" t="s">
        <v>657</v>
      </c>
      <c r="F6" s="7" t="s">
        <v>283</v>
      </c>
      <c r="G6" s="14" t="s">
        <v>566</v>
      </c>
      <c r="H6" s="14" t="s">
        <v>567</v>
      </c>
      <c r="I6" s="8"/>
      <c r="J6" s="8"/>
      <c r="K6" s="8" t="str">
        <f>"360,0"</f>
        <v>360,0</v>
      </c>
      <c r="L6" s="8" t="str">
        <f>"198,4680"</f>
        <v>198,4680</v>
      </c>
      <c r="M6" s="7" t="s">
        <v>144</v>
      </c>
    </row>
    <row r="7" spans="1:13">
      <c r="B7" s="5" t="s">
        <v>31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6640625" style="5" customWidth="1"/>
    <col min="3" max="3" width="26.33203125" style="5" bestFit="1" customWidth="1"/>
    <col min="4" max="4" width="21.5" style="5" bestFit="1" customWidth="1"/>
    <col min="5" max="5" width="14.1640625" style="5" customWidth="1"/>
    <col min="6" max="6" width="28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42" t="s">
        <v>573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8</v>
      </c>
      <c r="H3" s="34"/>
      <c r="I3" s="34"/>
      <c r="J3" s="34"/>
      <c r="K3" s="34" t="s">
        <v>311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93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30</v>
      </c>
      <c r="B6" s="7" t="s">
        <v>571</v>
      </c>
      <c r="C6" s="7" t="s">
        <v>572</v>
      </c>
      <c r="D6" s="7" t="s">
        <v>520</v>
      </c>
      <c r="E6" s="7" t="s">
        <v>657</v>
      </c>
      <c r="F6" s="7" t="s">
        <v>14</v>
      </c>
      <c r="G6" s="14" t="s">
        <v>142</v>
      </c>
      <c r="H6" s="14" t="s">
        <v>88</v>
      </c>
      <c r="I6" s="15" t="s">
        <v>136</v>
      </c>
      <c r="J6" s="8"/>
      <c r="K6" s="8" t="str">
        <f>"180,0"</f>
        <v>180,0</v>
      </c>
      <c r="L6" s="8" t="str">
        <f>"112,2120"</f>
        <v>112,2120</v>
      </c>
      <c r="M6" s="7" t="s">
        <v>476</v>
      </c>
    </row>
    <row r="7" spans="1:13">
      <c r="B7" s="5" t="s">
        <v>31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45"/>
  <sheetViews>
    <sheetView topLeftCell="A19" workbookViewId="0">
      <selection activeCell="E36" sqref="E36"/>
    </sheetView>
  </sheetViews>
  <sheetFormatPr baseColWidth="10" defaultColWidth="9.1640625" defaultRowHeight="13"/>
  <cols>
    <col min="1" max="1" width="7.5" style="5" bestFit="1" customWidth="1"/>
    <col min="2" max="2" width="24.5" style="5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4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5.83203125" style="5" customWidth="1"/>
    <col min="14" max="16384" width="9.1640625" style="3"/>
  </cols>
  <sheetData>
    <row r="1" spans="1:13" s="2" customFormat="1" ht="29" customHeight="1">
      <c r="A1" s="42" t="s">
        <v>648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9</v>
      </c>
      <c r="H3" s="34"/>
      <c r="I3" s="34"/>
      <c r="J3" s="34"/>
      <c r="K3" s="34" t="s">
        <v>311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46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17" t="s">
        <v>30</v>
      </c>
      <c r="B6" s="16" t="s">
        <v>430</v>
      </c>
      <c r="C6" s="16" t="s">
        <v>599</v>
      </c>
      <c r="D6" s="16" t="s">
        <v>431</v>
      </c>
      <c r="E6" s="16" t="s">
        <v>663</v>
      </c>
      <c r="F6" s="16" t="s">
        <v>14</v>
      </c>
      <c r="G6" s="22" t="s">
        <v>326</v>
      </c>
      <c r="H6" s="22" t="s">
        <v>204</v>
      </c>
      <c r="I6" s="22" t="s">
        <v>38</v>
      </c>
      <c r="J6" s="17"/>
      <c r="K6" s="17" t="str">
        <f>"80,0"</f>
        <v>80,0</v>
      </c>
      <c r="L6" s="17" t="str">
        <f>"88,7440"</f>
        <v>88,7440</v>
      </c>
      <c r="M6" s="16" t="s">
        <v>432</v>
      </c>
    </row>
    <row r="7" spans="1:13">
      <c r="A7" s="19" t="s">
        <v>30</v>
      </c>
      <c r="B7" s="18" t="s">
        <v>433</v>
      </c>
      <c r="C7" s="18" t="s">
        <v>434</v>
      </c>
      <c r="D7" s="18" t="s">
        <v>435</v>
      </c>
      <c r="E7" s="18" t="s">
        <v>657</v>
      </c>
      <c r="F7" s="18" t="s">
        <v>436</v>
      </c>
      <c r="G7" s="24" t="s">
        <v>39</v>
      </c>
      <c r="H7" s="24" t="s">
        <v>67</v>
      </c>
      <c r="I7" s="24" t="s">
        <v>208</v>
      </c>
      <c r="J7" s="19"/>
      <c r="K7" s="19" t="str">
        <f>"102,5"</f>
        <v>102,5</v>
      </c>
      <c r="L7" s="19" t="str">
        <f>"113,5290"</f>
        <v>113,5290</v>
      </c>
      <c r="M7" s="18" t="s">
        <v>622</v>
      </c>
    </row>
    <row r="8" spans="1:13">
      <c r="B8" s="5" t="s">
        <v>31</v>
      </c>
    </row>
    <row r="9" spans="1:13" ht="16">
      <c r="A9" s="33" t="s">
        <v>10</v>
      </c>
      <c r="B9" s="33"/>
      <c r="C9" s="33"/>
      <c r="D9" s="33"/>
      <c r="E9" s="33"/>
      <c r="F9" s="33"/>
      <c r="G9" s="33"/>
      <c r="H9" s="33"/>
      <c r="I9" s="33"/>
      <c r="J9" s="33"/>
    </row>
    <row r="10" spans="1:13">
      <c r="A10" s="8" t="s">
        <v>30</v>
      </c>
      <c r="B10" s="7" t="s">
        <v>437</v>
      </c>
      <c r="C10" s="7" t="s">
        <v>438</v>
      </c>
      <c r="D10" s="7" t="s">
        <v>439</v>
      </c>
      <c r="E10" s="7" t="s">
        <v>657</v>
      </c>
      <c r="F10" s="7" t="s">
        <v>14</v>
      </c>
      <c r="G10" s="14" t="s">
        <v>64</v>
      </c>
      <c r="H10" s="14" t="s">
        <v>57</v>
      </c>
      <c r="I10" s="14" t="s">
        <v>39</v>
      </c>
      <c r="J10" s="8"/>
      <c r="K10" s="8" t="str">
        <f>"85,0"</f>
        <v>85,0</v>
      </c>
      <c r="L10" s="8" t="str">
        <f>"80,3293"</f>
        <v>80,3293</v>
      </c>
      <c r="M10" s="7" t="s">
        <v>68</v>
      </c>
    </row>
    <row r="11" spans="1:13">
      <c r="B11" s="5" t="s">
        <v>31</v>
      </c>
    </row>
    <row r="12" spans="1:13" ht="16">
      <c r="A12" s="33" t="s">
        <v>181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3">
      <c r="A13" s="17" t="s">
        <v>30</v>
      </c>
      <c r="B13" s="16" t="s">
        <v>440</v>
      </c>
      <c r="C13" s="16" t="s">
        <v>600</v>
      </c>
      <c r="D13" s="16" t="s">
        <v>441</v>
      </c>
      <c r="E13" s="16" t="s">
        <v>663</v>
      </c>
      <c r="F13" s="16" t="s">
        <v>323</v>
      </c>
      <c r="G13" s="22" t="s">
        <v>64</v>
      </c>
      <c r="H13" s="23" t="s">
        <v>57</v>
      </c>
      <c r="I13" s="22" t="s">
        <v>57</v>
      </c>
      <c r="J13" s="17"/>
      <c r="K13" s="17" t="str">
        <f>"70,0"</f>
        <v>70,0</v>
      </c>
      <c r="L13" s="17" t="str">
        <f>"63,5460"</f>
        <v>63,5460</v>
      </c>
      <c r="M13" s="16" t="s">
        <v>583</v>
      </c>
    </row>
    <row r="14" spans="1:13">
      <c r="A14" s="19" t="s">
        <v>30</v>
      </c>
      <c r="B14" s="18" t="s">
        <v>329</v>
      </c>
      <c r="C14" s="18" t="s">
        <v>442</v>
      </c>
      <c r="D14" s="18" t="s">
        <v>330</v>
      </c>
      <c r="E14" s="18" t="s">
        <v>657</v>
      </c>
      <c r="F14" s="18" t="s">
        <v>103</v>
      </c>
      <c r="G14" s="24" t="s">
        <v>83</v>
      </c>
      <c r="H14" s="25" t="s">
        <v>97</v>
      </c>
      <c r="I14" s="25" t="s">
        <v>97</v>
      </c>
      <c r="J14" s="19"/>
      <c r="K14" s="19" t="str">
        <f>"145,0"</f>
        <v>145,0</v>
      </c>
      <c r="L14" s="19" t="str">
        <f>"130,8842"</f>
        <v>130,8842</v>
      </c>
      <c r="M14" s="18" t="s">
        <v>187</v>
      </c>
    </row>
    <row r="15" spans="1:13">
      <c r="B15" s="5" t="s">
        <v>31</v>
      </c>
    </row>
    <row r="16" spans="1:13" ht="16">
      <c r="A16" s="33" t="s">
        <v>60</v>
      </c>
      <c r="B16" s="33"/>
      <c r="C16" s="33"/>
      <c r="D16" s="33"/>
      <c r="E16" s="33"/>
      <c r="F16" s="33"/>
      <c r="G16" s="33"/>
      <c r="H16" s="33"/>
      <c r="I16" s="33"/>
      <c r="J16" s="33"/>
    </row>
    <row r="17" spans="1:13">
      <c r="A17" s="8" t="s">
        <v>30</v>
      </c>
      <c r="B17" s="7" t="s">
        <v>443</v>
      </c>
      <c r="C17" s="7" t="s">
        <v>444</v>
      </c>
      <c r="D17" s="7" t="s">
        <v>445</v>
      </c>
      <c r="E17" s="7" t="s">
        <v>658</v>
      </c>
      <c r="F17" s="7" t="s">
        <v>14</v>
      </c>
      <c r="G17" s="14" t="s">
        <v>82</v>
      </c>
      <c r="H17" s="15" t="s">
        <v>74</v>
      </c>
      <c r="I17" s="15" t="s">
        <v>74</v>
      </c>
      <c r="J17" s="8"/>
      <c r="K17" s="8" t="str">
        <f>"95,0"</f>
        <v>95,0</v>
      </c>
      <c r="L17" s="8" t="str">
        <f>"90,2137"</f>
        <v>90,2137</v>
      </c>
      <c r="M17" s="7" t="s">
        <v>350</v>
      </c>
    </row>
    <row r="18" spans="1:13">
      <c r="B18" s="5" t="s">
        <v>31</v>
      </c>
    </row>
    <row r="19" spans="1:13" ht="16">
      <c r="A19" s="33" t="s">
        <v>10</v>
      </c>
      <c r="B19" s="33"/>
      <c r="C19" s="33"/>
      <c r="D19" s="33"/>
      <c r="E19" s="33"/>
      <c r="F19" s="33"/>
      <c r="G19" s="33"/>
      <c r="H19" s="33"/>
      <c r="I19" s="33"/>
      <c r="J19" s="33"/>
    </row>
    <row r="20" spans="1:13">
      <c r="A20" s="17" t="s">
        <v>30</v>
      </c>
      <c r="B20" s="16" t="s">
        <v>446</v>
      </c>
      <c r="C20" s="16" t="s">
        <v>447</v>
      </c>
      <c r="D20" s="16" t="s">
        <v>448</v>
      </c>
      <c r="E20" s="16" t="s">
        <v>657</v>
      </c>
      <c r="F20" s="16" t="s">
        <v>14</v>
      </c>
      <c r="G20" s="22" t="s">
        <v>104</v>
      </c>
      <c r="H20" s="22" t="s">
        <v>21</v>
      </c>
      <c r="I20" s="23" t="s">
        <v>88</v>
      </c>
      <c r="J20" s="17"/>
      <c r="K20" s="17" t="str">
        <f>"170,0"</f>
        <v>170,0</v>
      </c>
      <c r="L20" s="17" t="str">
        <f>"127,7125"</f>
        <v>127,7125</v>
      </c>
      <c r="M20" s="16" t="s">
        <v>68</v>
      </c>
    </row>
    <row r="21" spans="1:13">
      <c r="A21" s="19" t="s">
        <v>133</v>
      </c>
      <c r="B21" s="18" t="s">
        <v>338</v>
      </c>
      <c r="C21" s="18" t="s">
        <v>339</v>
      </c>
      <c r="D21" s="18" t="s">
        <v>449</v>
      </c>
      <c r="E21" s="18" t="s">
        <v>657</v>
      </c>
      <c r="F21" s="18" t="s">
        <v>103</v>
      </c>
      <c r="G21" s="24" t="s">
        <v>17</v>
      </c>
      <c r="H21" s="25" t="s">
        <v>20</v>
      </c>
      <c r="I21" s="25" t="s">
        <v>20</v>
      </c>
      <c r="J21" s="19"/>
      <c r="K21" s="19" t="str">
        <f>"150,0"</f>
        <v>150,0</v>
      </c>
      <c r="L21" s="19" t="str">
        <f>"117,1200"</f>
        <v>117,1200</v>
      </c>
      <c r="M21" s="18" t="s">
        <v>187</v>
      </c>
    </row>
    <row r="22" spans="1:13">
      <c r="B22" s="5" t="s">
        <v>31</v>
      </c>
    </row>
    <row r="23" spans="1:13" ht="16">
      <c r="A23" s="33" t="s">
        <v>84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3">
      <c r="A24" s="17" t="s">
        <v>30</v>
      </c>
      <c r="B24" s="16" t="s">
        <v>210</v>
      </c>
      <c r="C24" s="16" t="s">
        <v>211</v>
      </c>
      <c r="D24" s="16" t="s">
        <v>212</v>
      </c>
      <c r="E24" s="16" t="s">
        <v>657</v>
      </c>
      <c r="F24" s="16" t="s">
        <v>36</v>
      </c>
      <c r="G24" s="23" t="s">
        <v>90</v>
      </c>
      <c r="H24" s="22" t="s">
        <v>90</v>
      </c>
      <c r="I24" s="22" t="s">
        <v>213</v>
      </c>
      <c r="J24" s="17"/>
      <c r="K24" s="17" t="str">
        <f>"212,5"</f>
        <v>212,5</v>
      </c>
      <c r="L24" s="17" t="str">
        <f>"137,5194"</f>
        <v>137,5194</v>
      </c>
      <c r="M24" s="16"/>
    </row>
    <row r="25" spans="1:13">
      <c r="A25" s="19" t="s">
        <v>133</v>
      </c>
      <c r="B25" s="18" t="s">
        <v>450</v>
      </c>
      <c r="C25" s="18" t="s">
        <v>451</v>
      </c>
      <c r="D25" s="18" t="s">
        <v>452</v>
      </c>
      <c r="E25" s="18" t="s">
        <v>657</v>
      </c>
      <c r="F25" s="18" t="s">
        <v>36</v>
      </c>
      <c r="G25" s="24" t="s">
        <v>88</v>
      </c>
      <c r="H25" s="24" t="s">
        <v>89</v>
      </c>
      <c r="I25" s="24" t="s">
        <v>90</v>
      </c>
      <c r="J25" s="19"/>
      <c r="K25" s="19" t="str">
        <f>"200,0"</f>
        <v>200,0</v>
      </c>
      <c r="L25" s="19" t="str">
        <f>"131,9000"</f>
        <v>131,9000</v>
      </c>
      <c r="M25" s="18"/>
    </row>
    <row r="26" spans="1:13">
      <c r="B26" s="5" t="s">
        <v>31</v>
      </c>
    </row>
    <row r="27" spans="1:13" ht="16">
      <c r="A27" s="33" t="s">
        <v>93</v>
      </c>
      <c r="B27" s="33"/>
      <c r="C27" s="33"/>
      <c r="D27" s="33"/>
      <c r="E27" s="33"/>
      <c r="F27" s="33"/>
      <c r="G27" s="33"/>
      <c r="H27" s="33"/>
      <c r="I27" s="33"/>
      <c r="J27" s="33"/>
    </row>
    <row r="28" spans="1:13">
      <c r="A28" s="17" t="s">
        <v>30</v>
      </c>
      <c r="B28" s="16" t="s">
        <v>453</v>
      </c>
      <c r="C28" s="16" t="s">
        <v>454</v>
      </c>
      <c r="D28" s="16" t="s">
        <v>455</v>
      </c>
      <c r="E28" s="16" t="s">
        <v>657</v>
      </c>
      <c r="F28" s="16" t="s">
        <v>292</v>
      </c>
      <c r="G28" s="22" t="s">
        <v>91</v>
      </c>
      <c r="H28" s="22" t="s">
        <v>121</v>
      </c>
      <c r="I28" s="23" t="s">
        <v>92</v>
      </c>
      <c r="J28" s="17"/>
      <c r="K28" s="17" t="str">
        <f>"230,0"</f>
        <v>230,0</v>
      </c>
      <c r="L28" s="17" t="str">
        <f>"141,9790"</f>
        <v>141,9790</v>
      </c>
      <c r="M28" s="16"/>
    </row>
    <row r="29" spans="1:13">
      <c r="A29" s="19" t="s">
        <v>133</v>
      </c>
      <c r="B29" s="18" t="s">
        <v>456</v>
      </c>
      <c r="C29" s="18" t="s">
        <v>457</v>
      </c>
      <c r="D29" s="18" t="s">
        <v>458</v>
      </c>
      <c r="E29" s="18" t="s">
        <v>657</v>
      </c>
      <c r="F29" s="18" t="s">
        <v>36</v>
      </c>
      <c r="G29" s="24" t="s">
        <v>88</v>
      </c>
      <c r="H29" s="24" t="s">
        <v>287</v>
      </c>
      <c r="I29" s="24" t="s">
        <v>125</v>
      </c>
      <c r="J29" s="19"/>
      <c r="K29" s="19" t="str">
        <f>"205,0"</f>
        <v>205,0</v>
      </c>
      <c r="L29" s="19" t="str">
        <f>"127,3767"</f>
        <v>127,3767</v>
      </c>
      <c r="M29" s="18"/>
    </row>
    <row r="30" spans="1:13">
      <c r="B30" s="5" t="s">
        <v>31</v>
      </c>
    </row>
    <row r="31" spans="1:13" ht="16">
      <c r="A31" s="33" t="s">
        <v>108</v>
      </c>
      <c r="B31" s="33"/>
      <c r="C31" s="33"/>
      <c r="D31" s="33"/>
      <c r="E31" s="33"/>
      <c r="F31" s="33"/>
      <c r="G31" s="33"/>
      <c r="H31" s="33"/>
      <c r="I31" s="33"/>
      <c r="J31" s="33"/>
    </row>
    <row r="32" spans="1:13">
      <c r="A32" s="8" t="s">
        <v>30</v>
      </c>
      <c r="B32" s="7" t="s">
        <v>459</v>
      </c>
      <c r="C32" s="7" t="s">
        <v>460</v>
      </c>
      <c r="D32" s="7" t="s">
        <v>461</v>
      </c>
      <c r="E32" s="7" t="s">
        <v>657</v>
      </c>
      <c r="F32" s="7" t="s">
        <v>14</v>
      </c>
      <c r="G32" s="14" t="s">
        <v>141</v>
      </c>
      <c r="H32" s="14" t="s">
        <v>148</v>
      </c>
      <c r="I32" s="14" t="s">
        <v>238</v>
      </c>
      <c r="J32" s="8"/>
      <c r="K32" s="8" t="str">
        <f>"280,0"</f>
        <v>280,0</v>
      </c>
      <c r="L32" s="8" t="str">
        <f>"163,6040"</f>
        <v>163,6040</v>
      </c>
      <c r="M32" s="7" t="s">
        <v>249</v>
      </c>
    </row>
    <row r="33" spans="1:13">
      <c r="B33" s="5" t="s">
        <v>31</v>
      </c>
    </row>
    <row r="34" spans="1:13" ht="16">
      <c r="A34" s="33" t="s">
        <v>296</v>
      </c>
      <c r="B34" s="33"/>
      <c r="C34" s="33"/>
      <c r="D34" s="33"/>
      <c r="E34" s="33"/>
      <c r="F34" s="33"/>
      <c r="G34" s="33"/>
      <c r="H34" s="33"/>
      <c r="I34" s="33"/>
      <c r="J34" s="33"/>
    </row>
    <row r="35" spans="1:13">
      <c r="A35" s="8" t="s">
        <v>30</v>
      </c>
      <c r="B35" s="7" t="s">
        <v>462</v>
      </c>
      <c r="C35" s="7" t="s">
        <v>463</v>
      </c>
      <c r="D35" s="7" t="s">
        <v>464</v>
      </c>
      <c r="E35" s="7" t="s">
        <v>657</v>
      </c>
      <c r="F35" s="7" t="s">
        <v>292</v>
      </c>
      <c r="G35" s="14" t="s">
        <v>99</v>
      </c>
      <c r="H35" s="14" t="s">
        <v>91</v>
      </c>
      <c r="I35" s="15" t="s">
        <v>120</v>
      </c>
      <c r="J35" s="8"/>
      <c r="K35" s="8" t="str">
        <f>"220,0"</f>
        <v>220,0</v>
      </c>
      <c r="L35" s="8" t="str">
        <f>"122,9250"</f>
        <v>122,9250</v>
      </c>
      <c r="M35" s="7"/>
    </row>
    <row r="36" spans="1:13">
      <c r="B36" s="5" t="s">
        <v>31</v>
      </c>
    </row>
    <row r="37" spans="1:13">
      <c r="B37" s="5" t="s">
        <v>31</v>
      </c>
    </row>
    <row r="38" spans="1:13">
      <c r="B38" s="5" t="s">
        <v>31</v>
      </c>
    </row>
    <row r="39" spans="1:13" ht="18">
      <c r="B39" s="9" t="s">
        <v>23</v>
      </c>
      <c r="C39" s="9"/>
      <c r="F39" s="3"/>
    </row>
    <row r="40" spans="1:13" ht="16">
      <c r="B40" s="10" t="s">
        <v>127</v>
      </c>
      <c r="C40" s="10"/>
      <c r="F40" s="3"/>
    </row>
    <row r="41" spans="1:13" ht="14">
      <c r="B41" s="11"/>
      <c r="C41" s="12" t="s">
        <v>24</v>
      </c>
      <c r="F41" s="3"/>
    </row>
    <row r="42" spans="1:13" ht="14">
      <c r="B42" s="13" t="s">
        <v>25</v>
      </c>
      <c r="C42" s="13" t="s">
        <v>26</v>
      </c>
      <c r="D42" s="13" t="s">
        <v>620</v>
      </c>
      <c r="E42" s="13" t="s">
        <v>306</v>
      </c>
      <c r="F42" s="13" t="s">
        <v>28</v>
      </c>
    </row>
    <row r="43" spans="1:13">
      <c r="B43" s="5" t="s">
        <v>459</v>
      </c>
      <c r="C43" s="5" t="s">
        <v>24</v>
      </c>
      <c r="D43" s="6" t="s">
        <v>132</v>
      </c>
      <c r="E43" s="6" t="s">
        <v>238</v>
      </c>
      <c r="F43" s="6" t="s">
        <v>465</v>
      </c>
    </row>
    <row r="44" spans="1:13">
      <c r="B44" s="5" t="s">
        <v>453</v>
      </c>
      <c r="C44" s="5" t="s">
        <v>24</v>
      </c>
      <c r="D44" s="6" t="s">
        <v>131</v>
      </c>
      <c r="E44" s="6" t="s">
        <v>121</v>
      </c>
      <c r="F44" s="6" t="s">
        <v>466</v>
      </c>
    </row>
    <row r="45" spans="1:13">
      <c r="B45" s="5" t="s">
        <v>210</v>
      </c>
      <c r="C45" s="5" t="s">
        <v>24</v>
      </c>
      <c r="D45" s="6" t="s">
        <v>130</v>
      </c>
      <c r="E45" s="6" t="s">
        <v>213</v>
      </c>
      <c r="F45" s="6" t="s">
        <v>467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1:J31"/>
    <mergeCell ref="A34:J34"/>
    <mergeCell ref="B3:B4"/>
    <mergeCell ref="A9:J9"/>
    <mergeCell ref="A12:J12"/>
    <mergeCell ref="A16:J16"/>
    <mergeCell ref="A19:J19"/>
    <mergeCell ref="A23:J23"/>
    <mergeCell ref="A27:J2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12"/>
  <sheetViews>
    <sheetView workbookViewId="0">
      <selection activeCell="E12" sqref="E12"/>
    </sheetView>
  </sheetViews>
  <sheetFormatPr baseColWidth="10" defaultColWidth="9.1640625" defaultRowHeight="13"/>
  <cols>
    <col min="1" max="1" width="7.5" style="5" bestFit="1" customWidth="1"/>
    <col min="2" max="2" width="21.16406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4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42" t="s">
        <v>649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9</v>
      </c>
      <c r="H3" s="34"/>
      <c r="I3" s="34"/>
      <c r="J3" s="34"/>
      <c r="K3" s="34" t="s">
        <v>311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93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30</v>
      </c>
      <c r="B6" s="7" t="s">
        <v>425</v>
      </c>
      <c r="C6" s="7" t="s">
        <v>426</v>
      </c>
      <c r="D6" s="7" t="s">
        <v>427</v>
      </c>
      <c r="E6" s="7" t="s">
        <v>658</v>
      </c>
      <c r="F6" s="7" t="s">
        <v>428</v>
      </c>
      <c r="G6" s="14" t="s">
        <v>148</v>
      </c>
      <c r="H6" s="14" t="s">
        <v>238</v>
      </c>
      <c r="I6" s="15" t="s">
        <v>429</v>
      </c>
      <c r="J6" s="8"/>
      <c r="K6" s="8" t="str">
        <f>"280,0"</f>
        <v>280,0</v>
      </c>
      <c r="L6" s="8" t="str">
        <f>"187,6972"</f>
        <v>187,6972</v>
      </c>
      <c r="M6" s="7"/>
    </row>
    <row r="7" spans="1:13">
      <c r="B7" s="5" t="s">
        <v>31</v>
      </c>
    </row>
    <row r="8" spans="1:13" ht="16">
      <c r="A8" s="33" t="s">
        <v>108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17" t="s">
        <v>30</v>
      </c>
      <c r="B9" s="16" t="s">
        <v>145</v>
      </c>
      <c r="C9" s="16" t="s">
        <v>146</v>
      </c>
      <c r="D9" s="16" t="s">
        <v>147</v>
      </c>
      <c r="E9" s="16" t="s">
        <v>657</v>
      </c>
      <c r="F9" s="16" t="s">
        <v>14</v>
      </c>
      <c r="G9" s="22" t="s">
        <v>151</v>
      </c>
      <c r="H9" s="23" t="s">
        <v>152</v>
      </c>
      <c r="I9" s="17"/>
      <c r="J9" s="17"/>
      <c r="K9" s="17" t="str">
        <f>"300,0"</f>
        <v>300,0</v>
      </c>
      <c r="L9" s="17" t="str">
        <f>"175,3650"</f>
        <v>175,3650</v>
      </c>
      <c r="M9" s="16" t="s">
        <v>153</v>
      </c>
    </row>
    <row r="10" spans="1:13">
      <c r="A10" s="21" t="s">
        <v>133</v>
      </c>
      <c r="B10" s="20" t="s">
        <v>154</v>
      </c>
      <c r="C10" s="20" t="s">
        <v>155</v>
      </c>
      <c r="D10" s="20" t="s">
        <v>156</v>
      </c>
      <c r="E10" s="20" t="s">
        <v>657</v>
      </c>
      <c r="F10" s="20" t="s">
        <v>36</v>
      </c>
      <c r="G10" s="26" t="s">
        <v>157</v>
      </c>
      <c r="H10" s="27" t="s">
        <v>158</v>
      </c>
      <c r="I10" s="26" t="s">
        <v>158</v>
      </c>
      <c r="J10" s="21"/>
      <c r="K10" s="21" t="str">
        <f>"287,5"</f>
        <v>287,5</v>
      </c>
      <c r="L10" s="21" t="str">
        <f>"168,1300"</f>
        <v>168,1300</v>
      </c>
      <c r="M10" s="20" t="s">
        <v>159</v>
      </c>
    </row>
    <row r="11" spans="1:13">
      <c r="A11" s="19" t="s">
        <v>175</v>
      </c>
      <c r="B11" s="18" t="s">
        <v>160</v>
      </c>
      <c r="C11" s="18" t="s">
        <v>161</v>
      </c>
      <c r="D11" s="18" t="s">
        <v>162</v>
      </c>
      <c r="E11" s="18" t="s">
        <v>657</v>
      </c>
      <c r="F11" s="18" t="s">
        <v>623</v>
      </c>
      <c r="G11" s="24" t="s">
        <v>163</v>
      </c>
      <c r="H11" s="24" t="s">
        <v>164</v>
      </c>
      <c r="I11" s="25" t="s">
        <v>157</v>
      </c>
      <c r="J11" s="19"/>
      <c r="K11" s="19" t="str">
        <f>"272,5"</f>
        <v>272,5</v>
      </c>
      <c r="L11" s="19" t="str">
        <f>"158,9492"</f>
        <v>158,9492</v>
      </c>
      <c r="M11" s="18"/>
    </row>
    <row r="12" spans="1:13">
      <c r="B12" s="5" t="s">
        <v>31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.332031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7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83203125" style="5" customWidth="1"/>
    <col min="14" max="16384" width="9.1640625" style="3"/>
  </cols>
  <sheetData>
    <row r="1" spans="1:13" s="2" customFormat="1" ht="29" customHeight="1">
      <c r="A1" s="42" t="s">
        <v>650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9</v>
      </c>
      <c r="H3" s="34"/>
      <c r="I3" s="34"/>
      <c r="J3" s="34"/>
      <c r="K3" s="34" t="s">
        <v>311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10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30</v>
      </c>
      <c r="B6" s="7" t="s">
        <v>468</v>
      </c>
      <c r="C6" s="7" t="s">
        <v>469</v>
      </c>
      <c r="D6" s="7" t="s">
        <v>470</v>
      </c>
      <c r="E6" s="7" t="s">
        <v>658</v>
      </c>
      <c r="F6" s="7" t="s">
        <v>471</v>
      </c>
      <c r="G6" s="14" t="s">
        <v>89</v>
      </c>
      <c r="H6" s="15" t="s">
        <v>287</v>
      </c>
      <c r="I6" s="14" t="s">
        <v>287</v>
      </c>
      <c r="J6" s="8"/>
      <c r="K6" s="8" t="str">
        <f>"202,5"</f>
        <v>202,5</v>
      </c>
      <c r="L6" s="8" t="str">
        <f>"184,0623"</f>
        <v>184,0623</v>
      </c>
      <c r="M6" s="7" t="s">
        <v>472</v>
      </c>
    </row>
    <row r="7" spans="1:13">
      <c r="B7" s="5" t="s">
        <v>31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Лист5">
    <pageSetUpPr fitToPage="1"/>
  </sheetPr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3.1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1640625" style="5" bestFit="1" customWidth="1"/>
    <col min="7" max="9" width="5.5" style="6" customWidth="1"/>
    <col min="10" max="10" width="4.83203125" style="6" customWidth="1"/>
    <col min="11" max="11" width="4.5" style="6" customWidth="1"/>
    <col min="12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1.1640625" style="5" customWidth="1"/>
    <col min="22" max="16384" width="9.1640625" style="3"/>
  </cols>
  <sheetData>
    <row r="1" spans="1:21" s="2" customFormat="1" ht="29" customHeight="1">
      <c r="A1" s="42" t="s">
        <v>640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7</v>
      </c>
      <c r="H3" s="34"/>
      <c r="I3" s="34"/>
      <c r="J3" s="34"/>
      <c r="K3" s="34" t="s">
        <v>8</v>
      </c>
      <c r="L3" s="34"/>
      <c r="M3" s="34"/>
      <c r="N3" s="34"/>
      <c r="O3" s="34" t="s">
        <v>9</v>
      </c>
      <c r="P3" s="34"/>
      <c r="Q3" s="34"/>
      <c r="R3" s="34"/>
      <c r="S3" s="34" t="s">
        <v>1</v>
      </c>
      <c r="T3" s="34" t="s">
        <v>3</v>
      </c>
      <c r="U3" s="36" t="s">
        <v>2</v>
      </c>
    </row>
    <row r="4" spans="1:21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5"/>
      <c r="T4" s="35"/>
      <c r="U4" s="37"/>
    </row>
    <row r="5" spans="1:21" ht="16">
      <c r="A5" s="38" t="s">
        <v>10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21">
      <c r="A6" s="8" t="s">
        <v>30</v>
      </c>
      <c r="B6" s="7" t="s">
        <v>11</v>
      </c>
      <c r="C6" s="7" t="s">
        <v>12</v>
      </c>
      <c r="D6" s="7" t="s">
        <v>13</v>
      </c>
      <c r="E6" s="7" t="s">
        <v>657</v>
      </c>
      <c r="F6" s="7" t="s">
        <v>14</v>
      </c>
      <c r="G6" s="14" t="s">
        <v>15</v>
      </c>
      <c r="H6" s="14" t="s">
        <v>16</v>
      </c>
      <c r="I6" s="15" t="s">
        <v>17</v>
      </c>
      <c r="J6" s="8"/>
      <c r="K6" s="14" t="s">
        <v>18</v>
      </c>
      <c r="L6" s="15" t="s">
        <v>19</v>
      </c>
      <c r="M6" s="14" t="s">
        <v>19</v>
      </c>
      <c r="N6" s="8"/>
      <c r="O6" s="14" t="s">
        <v>17</v>
      </c>
      <c r="P6" s="14" t="s">
        <v>20</v>
      </c>
      <c r="Q6" s="15" t="s">
        <v>21</v>
      </c>
      <c r="R6" s="8"/>
      <c r="S6" s="8" t="str">
        <f>"400,0"</f>
        <v>400,0</v>
      </c>
      <c r="T6" s="8" t="str">
        <f>"363,6600"</f>
        <v>363,6600</v>
      </c>
      <c r="U6" s="7" t="s">
        <v>22</v>
      </c>
    </row>
    <row r="7" spans="1:21">
      <c r="B7" s="5" t="s">
        <v>31</v>
      </c>
    </row>
  </sheetData>
  <mergeCells count="14"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B3:B4"/>
    <mergeCell ref="E3:E4"/>
    <mergeCell ref="S3:S4"/>
    <mergeCell ref="T3:T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56"/>
  <sheetViews>
    <sheetView topLeftCell="A17" workbookViewId="0">
      <selection activeCell="E41" sqref="E41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4" style="5" bestFit="1" customWidth="1"/>
    <col min="7" max="14" width="5.5" style="6" customWidth="1"/>
    <col min="15" max="15" width="7.83203125" style="6" bestFit="1" customWidth="1"/>
    <col min="16" max="16" width="8.5" style="6" bestFit="1" customWidth="1"/>
    <col min="17" max="17" width="27.83203125" style="5" bestFit="1" customWidth="1"/>
    <col min="18" max="16384" width="9.1640625" style="3"/>
  </cols>
  <sheetData>
    <row r="1" spans="1:17" s="2" customFormat="1" ht="29" customHeight="1">
      <c r="A1" s="42" t="s">
        <v>578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653</v>
      </c>
      <c r="H3" s="34"/>
      <c r="I3" s="34"/>
      <c r="J3" s="34"/>
      <c r="K3" s="34" t="s">
        <v>551</v>
      </c>
      <c r="L3" s="34"/>
      <c r="M3" s="34"/>
      <c r="N3" s="34"/>
      <c r="O3" s="34" t="s">
        <v>1</v>
      </c>
      <c r="P3" s="34" t="s">
        <v>3</v>
      </c>
      <c r="Q3" s="36" t="s">
        <v>2</v>
      </c>
    </row>
    <row r="4" spans="1:17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5"/>
      <c r="P4" s="35"/>
      <c r="Q4" s="37"/>
    </row>
    <row r="5" spans="1:17" ht="16">
      <c r="A5" s="38" t="s">
        <v>46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7">
      <c r="A6" s="17" t="s">
        <v>30</v>
      </c>
      <c r="B6" s="16" t="s">
        <v>538</v>
      </c>
      <c r="C6" s="16" t="s">
        <v>585</v>
      </c>
      <c r="D6" s="16" t="s">
        <v>435</v>
      </c>
      <c r="E6" s="16" t="s">
        <v>662</v>
      </c>
      <c r="F6" s="16" t="s">
        <v>103</v>
      </c>
      <c r="G6" s="22" t="s">
        <v>485</v>
      </c>
      <c r="H6" s="22" t="s">
        <v>252</v>
      </c>
      <c r="I6" s="23" t="s">
        <v>185</v>
      </c>
      <c r="J6" s="17"/>
      <c r="K6" s="22" t="s">
        <v>485</v>
      </c>
      <c r="L6" s="22" t="s">
        <v>480</v>
      </c>
      <c r="M6" s="23" t="s">
        <v>252</v>
      </c>
      <c r="N6" s="17"/>
      <c r="O6" s="17" t="str">
        <f>"57,5"</f>
        <v>57,5</v>
      </c>
      <c r="P6" s="17" t="str">
        <f>"63,6870"</f>
        <v>63,6870</v>
      </c>
      <c r="Q6" s="16" t="s">
        <v>187</v>
      </c>
    </row>
    <row r="7" spans="1:17">
      <c r="A7" s="19" t="s">
        <v>30</v>
      </c>
      <c r="B7" s="18" t="s">
        <v>481</v>
      </c>
      <c r="C7" s="18" t="s">
        <v>482</v>
      </c>
      <c r="D7" s="18" t="s">
        <v>483</v>
      </c>
      <c r="E7" s="18" t="s">
        <v>657</v>
      </c>
      <c r="F7" s="18" t="s">
        <v>36</v>
      </c>
      <c r="G7" s="24" t="s">
        <v>252</v>
      </c>
      <c r="H7" s="25" t="s">
        <v>185</v>
      </c>
      <c r="I7" s="25" t="s">
        <v>185</v>
      </c>
      <c r="J7" s="19"/>
      <c r="K7" s="24" t="s">
        <v>484</v>
      </c>
      <c r="L7" s="25" t="s">
        <v>485</v>
      </c>
      <c r="M7" s="25" t="s">
        <v>485</v>
      </c>
      <c r="N7" s="19"/>
      <c r="O7" s="19" t="str">
        <f>"52,5"</f>
        <v>52,5</v>
      </c>
      <c r="P7" s="19" t="str">
        <f>"64,5488"</f>
        <v>64,5488</v>
      </c>
      <c r="Q7" s="18"/>
    </row>
    <row r="8" spans="1:17">
      <c r="B8" s="5" t="s">
        <v>31</v>
      </c>
    </row>
    <row r="9" spans="1:17" ht="16">
      <c r="A9" s="33" t="s">
        <v>60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7">
      <c r="A10" s="8" t="s">
        <v>30</v>
      </c>
      <c r="B10" s="7" t="s">
        <v>486</v>
      </c>
      <c r="C10" s="7" t="s">
        <v>487</v>
      </c>
      <c r="D10" s="7" t="s">
        <v>248</v>
      </c>
      <c r="E10" s="7" t="s">
        <v>657</v>
      </c>
      <c r="F10" s="7" t="s">
        <v>36</v>
      </c>
      <c r="G10" s="14" t="s">
        <v>186</v>
      </c>
      <c r="H10" s="15" t="s">
        <v>41</v>
      </c>
      <c r="I10" s="8"/>
      <c r="J10" s="8"/>
      <c r="K10" s="14" t="s">
        <v>252</v>
      </c>
      <c r="L10" s="14" t="s">
        <v>185</v>
      </c>
      <c r="M10" s="15" t="s">
        <v>40</v>
      </c>
      <c r="N10" s="8"/>
      <c r="O10" s="8" t="str">
        <f>"70,0"</f>
        <v>70,0</v>
      </c>
      <c r="P10" s="8" t="str">
        <f>"69,4120"</f>
        <v>69,4120</v>
      </c>
      <c r="Q10" s="7"/>
    </row>
    <row r="11" spans="1:17">
      <c r="B11" s="5" t="s">
        <v>31</v>
      </c>
    </row>
    <row r="12" spans="1:17" ht="16">
      <c r="A12" s="33" t="s">
        <v>181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7">
      <c r="A13" s="17" t="s">
        <v>30</v>
      </c>
      <c r="B13" s="16" t="s">
        <v>329</v>
      </c>
      <c r="C13" s="16" t="s">
        <v>586</v>
      </c>
      <c r="D13" s="16" t="s">
        <v>330</v>
      </c>
      <c r="E13" s="16" t="s">
        <v>661</v>
      </c>
      <c r="F13" s="16" t="s">
        <v>103</v>
      </c>
      <c r="G13" s="22" t="s">
        <v>42</v>
      </c>
      <c r="H13" s="23" t="s">
        <v>50</v>
      </c>
      <c r="I13" s="22" t="s">
        <v>50</v>
      </c>
      <c r="J13" s="17"/>
      <c r="K13" s="22" t="s">
        <v>42</v>
      </c>
      <c r="L13" s="22" t="s">
        <v>59</v>
      </c>
      <c r="M13" s="22" t="s">
        <v>493</v>
      </c>
      <c r="N13" s="23" t="s">
        <v>494</v>
      </c>
      <c r="O13" s="17" t="str">
        <f>"98,0"</f>
        <v>98,0</v>
      </c>
      <c r="P13" s="17" t="str">
        <f>"88,4597"</f>
        <v>88,4597</v>
      </c>
      <c r="Q13" s="16" t="s">
        <v>187</v>
      </c>
    </row>
    <row r="14" spans="1:17">
      <c r="A14" s="19" t="s">
        <v>133</v>
      </c>
      <c r="B14" s="18" t="s">
        <v>331</v>
      </c>
      <c r="C14" s="18" t="s">
        <v>587</v>
      </c>
      <c r="D14" s="18" t="s">
        <v>332</v>
      </c>
      <c r="E14" s="18" t="s">
        <v>661</v>
      </c>
      <c r="F14" s="18" t="s">
        <v>103</v>
      </c>
      <c r="G14" s="25" t="s">
        <v>42</v>
      </c>
      <c r="H14" s="25" t="s">
        <v>42</v>
      </c>
      <c r="I14" s="24" t="s">
        <v>42</v>
      </c>
      <c r="J14" s="19"/>
      <c r="K14" s="24" t="s">
        <v>42</v>
      </c>
      <c r="L14" s="24" t="s">
        <v>59</v>
      </c>
      <c r="M14" s="24" t="s">
        <v>491</v>
      </c>
      <c r="N14" s="25" t="s">
        <v>492</v>
      </c>
      <c r="O14" s="19" t="str">
        <f>"93,5"</f>
        <v>93,5</v>
      </c>
      <c r="P14" s="19" t="str">
        <f>"84,0799"</f>
        <v>84,0799</v>
      </c>
      <c r="Q14" s="18" t="s">
        <v>187</v>
      </c>
    </row>
    <row r="15" spans="1:17">
      <c r="B15" s="5" t="s">
        <v>31</v>
      </c>
    </row>
    <row r="16" spans="1:17" ht="16">
      <c r="A16" s="33" t="s">
        <v>60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7">
      <c r="A17" s="17" t="s">
        <v>30</v>
      </c>
      <c r="B17" s="16" t="s">
        <v>333</v>
      </c>
      <c r="C17" s="16" t="s">
        <v>588</v>
      </c>
      <c r="D17" s="16" t="s">
        <v>248</v>
      </c>
      <c r="E17" s="16" t="s">
        <v>661</v>
      </c>
      <c r="F17" s="16" t="s">
        <v>103</v>
      </c>
      <c r="G17" s="22" t="s">
        <v>50</v>
      </c>
      <c r="H17" s="22" t="s">
        <v>51</v>
      </c>
      <c r="I17" s="17"/>
      <c r="J17" s="17"/>
      <c r="K17" s="22" t="s">
        <v>41</v>
      </c>
      <c r="L17" s="22" t="s">
        <v>180</v>
      </c>
      <c r="M17" s="22" t="s">
        <v>42</v>
      </c>
      <c r="N17" s="17"/>
      <c r="O17" s="17" t="str">
        <f>"97,5"</f>
        <v>97,5</v>
      </c>
      <c r="P17" s="17" t="str">
        <f>"81,5977"</f>
        <v>81,5977</v>
      </c>
      <c r="Q17" s="16" t="s">
        <v>187</v>
      </c>
    </row>
    <row r="18" spans="1:17">
      <c r="A18" s="19" t="s">
        <v>30</v>
      </c>
      <c r="B18" s="18" t="s">
        <v>495</v>
      </c>
      <c r="C18" s="18" t="s">
        <v>496</v>
      </c>
      <c r="D18" s="18" t="s">
        <v>497</v>
      </c>
      <c r="E18" s="18" t="s">
        <v>657</v>
      </c>
      <c r="F18" s="18" t="s">
        <v>103</v>
      </c>
      <c r="G18" s="24" t="s">
        <v>41</v>
      </c>
      <c r="H18" s="24" t="s">
        <v>42</v>
      </c>
      <c r="I18" s="25" t="s">
        <v>59</v>
      </c>
      <c r="J18" s="19"/>
      <c r="K18" s="24" t="s">
        <v>40</v>
      </c>
      <c r="L18" s="24" t="s">
        <v>186</v>
      </c>
      <c r="M18" s="25" t="s">
        <v>41</v>
      </c>
      <c r="N18" s="19"/>
      <c r="O18" s="19" t="str">
        <f>"82,5"</f>
        <v>82,5</v>
      </c>
      <c r="P18" s="19" t="str">
        <f>"68,8215"</f>
        <v>68,8215</v>
      </c>
      <c r="Q18" s="18" t="s">
        <v>187</v>
      </c>
    </row>
    <row r="19" spans="1:17">
      <c r="B19" s="5" t="s">
        <v>31</v>
      </c>
    </row>
    <row r="20" spans="1:17" ht="16">
      <c r="A20" s="33" t="s">
        <v>10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7">
      <c r="A21" s="17" t="s">
        <v>30</v>
      </c>
      <c r="B21" s="16" t="s">
        <v>336</v>
      </c>
      <c r="C21" s="16" t="s">
        <v>589</v>
      </c>
      <c r="D21" s="16" t="s">
        <v>337</v>
      </c>
      <c r="E21" s="16" t="s">
        <v>661</v>
      </c>
      <c r="F21" s="16" t="s">
        <v>103</v>
      </c>
      <c r="G21" s="22" t="s">
        <v>51</v>
      </c>
      <c r="H21" s="22" t="s">
        <v>184</v>
      </c>
      <c r="I21" s="22" t="s">
        <v>191</v>
      </c>
      <c r="J21" s="17"/>
      <c r="K21" s="22" t="s">
        <v>184</v>
      </c>
      <c r="L21" s="22" t="s">
        <v>191</v>
      </c>
      <c r="M21" s="23" t="s">
        <v>64</v>
      </c>
      <c r="N21" s="17"/>
      <c r="O21" s="17" t="str">
        <f>"115,0"</f>
        <v>115,0</v>
      </c>
      <c r="P21" s="17" t="str">
        <f>"86,9515"</f>
        <v>86,9515</v>
      </c>
      <c r="Q21" s="16" t="s">
        <v>187</v>
      </c>
    </row>
    <row r="22" spans="1:17">
      <c r="A22" s="19" t="s">
        <v>30</v>
      </c>
      <c r="B22" s="18" t="s">
        <v>336</v>
      </c>
      <c r="C22" s="18" t="s">
        <v>539</v>
      </c>
      <c r="D22" s="18" t="s">
        <v>337</v>
      </c>
      <c r="E22" s="18" t="s">
        <v>657</v>
      </c>
      <c r="F22" s="18" t="s">
        <v>103</v>
      </c>
      <c r="G22" s="24" t="s">
        <v>51</v>
      </c>
      <c r="H22" s="24" t="s">
        <v>184</v>
      </c>
      <c r="I22" s="24" t="s">
        <v>191</v>
      </c>
      <c r="J22" s="19"/>
      <c r="K22" s="19" t="s">
        <v>184</v>
      </c>
      <c r="L22" s="24" t="s">
        <v>191</v>
      </c>
      <c r="M22" s="25" t="s">
        <v>64</v>
      </c>
      <c r="N22" s="19"/>
      <c r="O22" s="19" t="str">
        <f>"115,0"</f>
        <v>115,0</v>
      </c>
      <c r="P22" s="19" t="str">
        <f>"86,9515"</f>
        <v>86,9515</v>
      </c>
      <c r="Q22" s="18" t="s">
        <v>187</v>
      </c>
    </row>
    <row r="23" spans="1:17">
      <c r="B23" s="5" t="s">
        <v>31</v>
      </c>
    </row>
    <row r="24" spans="1:17" ht="16">
      <c r="A24" s="33" t="s">
        <v>69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7">
      <c r="A25" s="17" t="s">
        <v>30</v>
      </c>
      <c r="B25" s="16" t="s">
        <v>342</v>
      </c>
      <c r="C25" s="16" t="s">
        <v>590</v>
      </c>
      <c r="D25" s="16" t="s">
        <v>343</v>
      </c>
      <c r="E25" s="16" t="s">
        <v>661</v>
      </c>
      <c r="F25" s="16" t="s">
        <v>103</v>
      </c>
      <c r="G25" s="22" t="s">
        <v>64</v>
      </c>
      <c r="H25" s="22" t="s">
        <v>66</v>
      </c>
      <c r="I25" s="23" t="s">
        <v>57</v>
      </c>
      <c r="J25" s="17"/>
      <c r="K25" s="22" t="s">
        <v>184</v>
      </c>
      <c r="L25" s="22" t="s">
        <v>64</v>
      </c>
      <c r="M25" s="22" t="s">
        <v>65</v>
      </c>
      <c r="N25" s="17"/>
      <c r="O25" s="17" t="str">
        <f>"127,5"</f>
        <v>127,5</v>
      </c>
      <c r="P25" s="17" t="str">
        <f>"88,2236"</f>
        <v>88,2236</v>
      </c>
      <c r="Q25" s="16" t="s">
        <v>187</v>
      </c>
    </row>
    <row r="26" spans="1:17">
      <c r="A26" s="19" t="s">
        <v>30</v>
      </c>
      <c r="B26" s="18" t="s">
        <v>342</v>
      </c>
      <c r="C26" s="18" t="s">
        <v>540</v>
      </c>
      <c r="D26" s="18" t="s">
        <v>343</v>
      </c>
      <c r="E26" s="18" t="s">
        <v>657</v>
      </c>
      <c r="F26" s="18" t="s">
        <v>103</v>
      </c>
      <c r="G26" s="24" t="s">
        <v>64</v>
      </c>
      <c r="H26" s="24" t="s">
        <v>66</v>
      </c>
      <c r="I26" s="25" t="s">
        <v>57</v>
      </c>
      <c r="J26" s="19"/>
      <c r="K26" s="24" t="s">
        <v>184</v>
      </c>
      <c r="L26" s="24" t="s">
        <v>64</v>
      </c>
      <c r="M26" s="24" t="s">
        <v>65</v>
      </c>
      <c r="N26" s="19"/>
      <c r="O26" s="19" t="str">
        <f>"127,5"</f>
        <v>127,5</v>
      </c>
      <c r="P26" s="19" t="str">
        <f>"88,2236"</f>
        <v>88,2236</v>
      </c>
      <c r="Q26" s="18" t="s">
        <v>187</v>
      </c>
    </row>
    <row r="27" spans="1:17">
      <c r="B27" s="5" t="s">
        <v>31</v>
      </c>
    </row>
    <row r="28" spans="1:17" ht="16">
      <c r="A28" s="33" t="s">
        <v>84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7">
      <c r="A29" s="17" t="s">
        <v>30</v>
      </c>
      <c r="B29" s="16" t="s">
        <v>360</v>
      </c>
      <c r="C29" s="16" t="s">
        <v>591</v>
      </c>
      <c r="D29" s="16" t="s">
        <v>361</v>
      </c>
      <c r="E29" s="16" t="s">
        <v>661</v>
      </c>
      <c r="F29" s="16" t="s">
        <v>362</v>
      </c>
      <c r="G29" s="22" t="s">
        <v>57</v>
      </c>
      <c r="H29" s="22" t="s">
        <v>37</v>
      </c>
      <c r="I29" s="22" t="s">
        <v>38</v>
      </c>
      <c r="J29" s="17"/>
      <c r="K29" s="22" t="s">
        <v>66</v>
      </c>
      <c r="L29" s="22" t="s">
        <v>57</v>
      </c>
      <c r="M29" s="23" t="s">
        <v>504</v>
      </c>
      <c r="N29" s="17"/>
      <c r="O29" s="17" t="str">
        <f>"150,0"</f>
        <v>150,0</v>
      </c>
      <c r="P29" s="17" t="str">
        <f>"96,9975"</f>
        <v>96,9975</v>
      </c>
      <c r="Q29" s="16"/>
    </row>
    <row r="30" spans="1:17">
      <c r="A30" s="21" t="s">
        <v>133</v>
      </c>
      <c r="B30" s="20" t="s">
        <v>505</v>
      </c>
      <c r="C30" s="20" t="s">
        <v>592</v>
      </c>
      <c r="D30" s="20" t="s">
        <v>139</v>
      </c>
      <c r="E30" s="20" t="s">
        <v>661</v>
      </c>
      <c r="F30" s="20" t="s">
        <v>103</v>
      </c>
      <c r="G30" s="26" t="s">
        <v>184</v>
      </c>
      <c r="H30" s="26" t="s">
        <v>64</v>
      </c>
      <c r="I30" s="26" t="s">
        <v>66</v>
      </c>
      <c r="J30" s="21"/>
      <c r="K30" s="26" t="s">
        <v>191</v>
      </c>
      <c r="L30" s="26" t="s">
        <v>64</v>
      </c>
      <c r="M30" s="26" t="s">
        <v>66</v>
      </c>
      <c r="N30" s="21"/>
      <c r="O30" s="21" t="str">
        <f>"130,0"</f>
        <v>130,0</v>
      </c>
      <c r="P30" s="21" t="str">
        <f>"84,4675"</f>
        <v>84,4675</v>
      </c>
      <c r="Q30" s="20" t="s">
        <v>187</v>
      </c>
    </row>
    <row r="31" spans="1:17">
      <c r="A31" s="21" t="s">
        <v>30</v>
      </c>
      <c r="B31" s="20" t="s">
        <v>541</v>
      </c>
      <c r="C31" s="20" t="s">
        <v>542</v>
      </c>
      <c r="D31" s="20" t="s">
        <v>543</v>
      </c>
      <c r="E31" s="20" t="s">
        <v>657</v>
      </c>
      <c r="F31" s="20" t="s">
        <v>544</v>
      </c>
      <c r="G31" s="27" t="s">
        <v>44</v>
      </c>
      <c r="H31" s="26" t="s">
        <v>44</v>
      </c>
      <c r="I31" s="27" t="s">
        <v>18</v>
      </c>
      <c r="J31" s="21"/>
      <c r="K31" s="26" t="s">
        <v>326</v>
      </c>
      <c r="L31" s="26" t="s">
        <v>57</v>
      </c>
      <c r="M31" s="27" t="s">
        <v>204</v>
      </c>
      <c r="N31" s="21"/>
      <c r="O31" s="21" t="str">
        <f>"157,5"</f>
        <v>157,5</v>
      </c>
      <c r="P31" s="21" t="str">
        <f>"103,0050"</f>
        <v>103,0050</v>
      </c>
      <c r="Q31" s="20" t="s">
        <v>619</v>
      </c>
    </row>
    <row r="32" spans="1:17">
      <c r="A32" s="21" t="s">
        <v>133</v>
      </c>
      <c r="B32" s="20" t="s">
        <v>360</v>
      </c>
      <c r="C32" s="20" t="s">
        <v>509</v>
      </c>
      <c r="D32" s="20" t="s">
        <v>361</v>
      </c>
      <c r="E32" s="20" t="s">
        <v>657</v>
      </c>
      <c r="F32" s="20" t="s">
        <v>362</v>
      </c>
      <c r="G32" s="26" t="s">
        <v>57</v>
      </c>
      <c r="H32" s="26" t="s">
        <v>37</v>
      </c>
      <c r="I32" s="26" t="s">
        <v>38</v>
      </c>
      <c r="J32" s="21"/>
      <c r="K32" s="26" t="s">
        <v>66</v>
      </c>
      <c r="L32" s="26" t="s">
        <v>57</v>
      </c>
      <c r="M32" s="27" t="s">
        <v>504</v>
      </c>
      <c r="N32" s="21"/>
      <c r="O32" s="21" t="str">
        <f>"150,0"</f>
        <v>150,0</v>
      </c>
      <c r="P32" s="21" t="str">
        <f>"96,9975"</f>
        <v>96,9975</v>
      </c>
      <c r="Q32" s="20"/>
    </row>
    <row r="33" spans="1:17">
      <c r="A33" s="19" t="s">
        <v>175</v>
      </c>
      <c r="B33" s="18" t="s">
        <v>505</v>
      </c>
      <c r="C33" s="18" t="s">
        <v>545</v>
      </c>
      <c r="D33" s="18" t="s">
        <v>139</v>
      </c>
      <c r="E33" s="18" t="s">
        <v>657</v>
      </c>
      <c r="F33" s="18" t="s">
        <v>103</v>
      </c>
      <c r="G33" s="24" t="s">
        <v>184</v>
      </c>
      <c r="H33" s="24" t="s">
        <v>64</v>
      </c>
      <c r="I33" s="24" t="s">
        <v>66</v>
      </c>
      <c r="J33" s="19"/>
      <c r="K33" s="24" t="s">
        <v>191</v>
      </c>
      <c r="L33" s="24" t="s">
        <v>64</v>
      </c>
      <c r="M33" s="24" t="s">
        <v>66</v>
      </c>
      <c r="N33" s="19"/>
      <c r="O33" s="19" t="str">
        <f>"130,0"</f>
        <v>130,0</v>
      </c>
      <c r="P33" s="19" t="str">
        <f>"84,4675"</f>
        <v>84,4675</v>
      </c>
      <c r="Q33" s="18" t="s">
        <v>187</v>
      </c>
    </row>
    <row r="34" spans="1:17">
      <c r="B34" s="5" t="s">
        <v>31</v>
      </c>
    </row>
    <row r="35" spans="1:17" ht="16">
      <c r="A35" s="33" t="s">
        <v>93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17">
      <c r="A36" s="8" t="s">
        <v>30</v>
      </c>
      <c r="B36" s="7" t="s">
        <v>524</v>
      </c>
      <c r="C36" s="7" t="s">
        <v>525</v>
      </c>
      <c r="D36" s="7" t="s">
        <v>526</v>
      </c>
      <c r="E36" s="7" t="s">
        <v>657</v>
      </c>
      <c r="F36" s="7" t="s">
        <v>103</v>
      </c>
      <c r="G36" s="14" t="s">
        <v>51</v>
      </c>
      <c r="H36" s="14" t="s">
        <v>184</v>
      </c>
      <c r="I36" s="14" t="s">
        <v>191</v>
      </c>
      <c r="J36" s="8"/>
      <c r="K36" s="14" t="s">
        <v>180</v>
      </c>
      <c r="L36" s="14" t="s">
        <v>59</v>
      </c>
      <c r="M36" s="14" t="s">
        <v>50</v>
      </c>
      <c r="N36" s="8"/>
      <c r="O36" s="8" t="str">
        <f>"107,5"</f>
        <v>107,5</v>
      </c>
      <c r="P36" s="8" t="str">
        <f>"66,8811"</f>
        <v>66,8811</v>
      </c>
      <c r="Q36" s="7" t="s">
        <v>187</v>
      </c>
    </row>
    <row r="37" spans="1:17">
      <c r="B37" s="5" t="s">
        <v>31</v>
      </c>
    </row>
    <row r="38" spans="1:17" ht="16">
      <c r="A38" s="33" t="s">
        <v>108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</row>
    <row r="39" spans="1:17">
      <c r="A39" s="17" t="s">
        <v>30</v>
      </c>
      <c r="B39" s="16" t="s">
        <v>488</v>
      </c>
      <c r="C39" s="16" t="s">
        <v>593</v>
      </c>
      <c r="D39" s="16" t="s">
        <v>489</v>
      </c>
      <c r="E39" s="16" t="s">
        <v>658</v>
      </c>
      <c r="F39" s="16" t="s">
        <v>490</v>
      </c>
      <c r="G39" s="22" t="s">
        <v>39</v>
      </c>
      <c r="H39" s="22" t="s">
        <v>18</v>
      </c>
      <c r="I39" s="22" t="s">
        <v>67</v>
      </c>
      <c r="J39" s="17"/>
      <c r="K39" s="22" t="s">
        <v>191</v>
      </c>
      <c r="L39" s="22" t="s">
        <v>65</v>
      </c>
      <c r="M39" s="22" t="s">
        <v>66</v>
      </c>
      <c r="N39" s="17"/>
      <c r="O39" s="17" t="str">
        <f>"157,5"</f>
        <v>157,5</v>
      </c>
      <c r="P39" s="17" t="str">
        <f>"100,3288"</f>
        <v>100,3288</v>
      </c>
      <c r="Q39" s="16"/>
    </row>
    <row r="40" spans="1:17">
      <c r="A40" s="19" t="s">
        <v>133</v>
      </c>
      <c r="B40" s="18" t="s">
        <v>397</v>
      </c>
      <c r="C40" s="18" t="s">
        <v>398</v>
      </c>
      <c r="D40" s="18" t="s">
        <v>399</v>
      </c>
      <c r="E40" s="18" t="s">
        <v>658</v>
      </c>
      <c r="F40" s="18" t="s">
        <v>259</v>
      </c>
      <c r="G40" s="24" t="s">
        <v>57</v>
      </c>
      <c r="H40" s="24" t="s">
        <v>37</v>
      </c>
      <c r="I40" s="24" t="s">
        <v>38</v>
      </c>
      <c r="J40" s="19"/>
      <c r="K40" s="25" t="s">
        <v>191</v>
      </c>
      <c r="L40" s="24" t="s">
        <v>64</v>
      </c>
      <c r="M40" s="25" t="s">
        <v>65</v>
      </c>
      <c r="N40" s="19"/>
      <c r="O40" s="19" t="str">
        <f>"140,0"</f>
        <v>140,0</v>
      </c>
      <c r="P40" s="19" t="str">
        <f>"84,3662"</f>
        <v>84,3662</v>
      </c>
      <c r="Q40" s="18"/>
    </row>
    <row r="41" spans="1:17">
      <c r="B41" s="5" t="s">
        <v>31</v>
      </c>
    </row>
    <row r="42" spans="1:17">
      <c r="B42" s="5" t="s">
        <v>31</v>
      </c>
    </row>
    <row r="43" spans="1:17">
      <c r="B43" s="5" t="s">
        <v>31</v>
      </c>
    </row>
    <row r="44" spans="1:17" ht="18">
      <c r="B44" s="9" t="s">
        <v>23</v>
      </c>
      <c r="C44" s="9"/>
      <c r="F44" s="3"/>
    </row>
    <row r="45" spans="1:17" ht="16">
      <c r="B45" s="10" t="s">
        <v>127</v>
      </c>
      <c r="C45" s="10"/>
      <c r="F45" s="3"/>
    </row>
    <row r="46" spans="1:17" ht="14">
      <c r="B46" s="11"/>
      <c r="C46" s="12" t="s">
        <v>173</v>
      </c>
      <c r="F46" s="3"/>
    </row>
    <row r="47" spans="1:17" ht="14">
      <c r="B47" s="13" t="s">
        <v>25</v>
      </c>
      <c r="C47" s="13" t="s">
        <v>26</v>
      </c>
      <c r="D47" s="13" t="s">
        <v>620</v>
      </c>
      <c r="E47" s="13" t="s">
        <v>27</v>
      </c>
      <c r="F47" s="13" t="s">
        <v>28</v>
      </c>
    </row>
    <row r="48" spans="1:17">
      <c r="B48" s="5" t="s">
        <v>360</v>
      </c>
      <c r="C48" s="5" t="s">
        <v>594</v>
      </c>
      <c r="D48" s="6" t="s">
        <v>130</v>
      </c>
      <c r="E48" s="6" t="s">
        <v>17</v>
      </c>
      <c r="F48" s="6" t="s">
        <v>546</v>
      </c>
    </row>
    <row r="49" spans="2:6">
      <c r="B49" s="5" t="s">
        <v>329</v>
      </c>
      <c r="C49" s="5" t="s">
        <v>594</v>
      </c>
      <c r="D49" s="6" t="s">
        <v>239</v>
      </c>
      <c r="E49" s="6" t="s">
        <v>547</v>
      </c>
      <c r="F49" s="6" t="s">
        <v>548</v>
      </c>
    </row>
    <row r="50" spans="2:6">
      <c r="B50" s="5" t="s">
        <v>342</v>
      </c>
      <c r="C50" s="5" t="s">
        <v>594</v>
      </c>
      <c r="D50" s="6" t="s">
        <v>129</v>
      </c>
      <c r="E50" s="6" t="s">
        <v>381</v>
      </c>
      <c r="F50" s="6" t="s">
        <v>549</v>
      </c>
    </row>
    <row r="52" spans="2:6" ht="14">
      <c r="B52" s="11"/>
      <c r="C52" s="12" t="s">
        <v>24</v>
      </c>
    </row>
    <row r="53" spans="2:6" ht="14">
      <c r="B53" s="13" t="s">
        <v>25</v>
      </c>
      <c r="C53" s="13" t="s">
        <v>26</v>
      </c>
      <c r="D53" s="13" t="s">
        <v>620</v>
      </c>
      <c r="E53" s="13" t="s">
        <v>27</v>
      </c>
      <c r="F53" s="13" t="s">
        <v>28</v>
      </c>
    </row>
    <row r="54" spans="2:6">
      <c r="B54" s="5" t="s">
        <v>541</v>
      </c>
      <c r="C54" s="5" t="s">
        <v>24</v>
      </c>
      <c r="D54" s="6" t="s">
        <v>130</v>
      </c>
      <c r="E54" s="6" t="s">
        <v>118</v>
      </c>
      <c r="F54" s="6" t="s">
        <v>550</v>
      </c>
    </row>
    <row r="55" spans="2:6">
      <c r="B55" s="5" t="s">
        <v>360</v>
      </c>
      <c r="C55" s="5" t="s">
        <v>24</v>
      </c>
      <c r="D55" s="6" t="s">
        <v>130</v>
      </c>
      <c r="E55" s="6" t="s">
        <v>17</v>
      </c>
      <c r="F55" s="6" t="s">
        <v>546</v>
      </c>
    </row>
    <row r="56" spans="2:6">
      <c r="B56" s="5" t="s">
        <v>342</v>
      </c>
      <c r="C56" s="5" t="s">
        <v>24</v>
      </c>
      <c r="D56" s="6" t="s">
        <v>129</v>
      </c>
      <c r="E56" s="6" t="s">
        <v>381</v>
      </c>
      <c r="F56" s="6" t="s">
        <v>549</v>
      </c>
    </row>
  </sheetData>
  <mergeCells count="21"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35:N35"/>
    <mergeCell ref="A38:N38"/>
    <mergeCell ref="B3:B4"/>
    <mergeCell ref="A9:N9"/>
    <mergeCell ref="A12:N12"/>
    <mergeCell ref="A16:N16"/>
    <mergeCell ref="A20:N20"/>
    <mergeCell ref="A24:N24"/>
    <mergeCell ref="A28:N2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2.1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6640625" style="5" bestFit="1" customWidth="1"/>
    <col min="7" max="14" width="5.5" style="6" customWidth="1"/>
    <col min="15" max="15" width="7.83203125" style="6" bestFit="1" customWidth="1"/>
    <col min="16" max="16" width="8.5" style="6" bestFit="1" customWidth="1"/>
    <col min="17" max="17" width="22.83203125" style="5" customWidth="1"/>
    <col min="18" max="16384" width="9.1640625" style="3"/>
  </cols>
  <sheetData>
    <row r="1" spans="1:17" s="2" customFormat="1" ht="29" customHeight="1">
      <c r="A1" s="42" t="s">
        <v>579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653</v>
      </c>
      <c r="H3" s="34"/>
      <c r="I3" s="34"/>
      <c r="J3" s="34"/>
      <c r="K3" s="34" t="s">
        <v>551</v>
      </c>
      <c r="L3" s="34"/>
      <c r="M3" s="34"/>
      <c r="N3" s="34"/>
      <c r="O3" s="34" t="s">
        <v>1</v>
      </c>
      <c r="P3" s="34" t="s">
        <v>3</v>
      </c>
      <c r="Q3" s="36" t="s">
        <v>2</v>
      </c>
    </row>
    <row r="4" spans="1:17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5"/>
      <c r="P4" s="35"/>
      <c r="Q4" s="37"/>
    </row>
    <row r="5" spans="1:17" ht="16">
      <c r="A5" s="38" t="s">
        <v>10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7">
      <c r="A6" s="8" t="s">
        <v>30</v>
      </c>
      <c r="B6" s="7" t="s">
        <v>257</v>
      </c>
      <c r="C6" s="7" t="s">
        <v>258</v>
      </c>
      <c r="D6" s="7" t="s">
        <v>13</v>
      </c>
      <c r="E6" s="7" t="s">
        <v>657</v>
      </c>
      <c r="F6" s="7" t="s">
        <v>259</v>
      </c>
      <c r="G6" s="14" t="s">
        <v>38</v>
      </c>
      <c r="H6" s="14" t="s">
        <v>39</v>
      </c>
      <c r="I6" s="15" t="s">
        <v>44</v>
      </c>
      <c r="J6" s="8"/>
      <c r="K6" s="14" t="s">
        <v>65</v>
      </c>
      <c r="L6" s="14" t="s">
        <v>66</v>
      </c>
      <c r="M6" s="8"/>
      <c r="N6" s="8"/>
      <c r="O6" s="8" t="str">
        <f>"150,0"</f>
        <v>150,0</v>
      </c>
      <c r="P6" s="8" t="str">
        <f>"113,5575"</f>
        <v>113,5575</v>
      </c>
      <c r="Q6" s="7"/>
    </row>
    <row r="7" spans="1:17">
      <c r="B7" s="5" t="s">
        <v>31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10" width="5.5" style="6" customWidth="1"/>
    <col min="11" max="11" width="10.5" style="6" bestFit="1" customWidth="1"/>
    <col min="12" max="12" width="10.33203125" style="6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42" t="s">
        <v>581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653</v>
      </c>
      <c r="H3" s="34"/>
      <c r="I3" s="34"/>
      <c r="J3" s="34"/>
      <c r="K3" s="34" t="s">
        <v>311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46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30</v>
      </c>
      <c r="B6" s="7" t="s">
        <v>481</v>
      </c>
      <c r="C6" s="7" t="s">
        <v>482</v>
      </c>
      <c r="D6" s="7" t="s">
        <v>483</v>
      </c>
      <c r="E6" s="7" t="s">
        <v>657</v>
      </c>
      <c r="F6" s="7" t="s">
        <v>36</v>
      </c>
      <c r="G6" s="14" t="s">
        <v>252</v>
      </c>
      <c r="H6" s="15" t="s">
        <v>185</v>
      </c>
      <c r="I6" s="15" t="s">
        <v>185</v>
      </c>
      <c r="J6" s="8"/>
      <c r="K6" s="8" t="str">
        <f>"30,0"</f>
        <v>30,0</v>
      </c>
      <c r="L6" s="8" t="str">
        <f>"36,8850"</f>
        <v>36,8850</v>
      </c>
      <c r="M6" s="7"/>
    </row>
    <row r="7" spans="1:13">
      <c r="B7" s="5" t="s">
        <v>31</v>
      </c>
    </row>
    <row r="8" spans="1:13" ht="16">
      <c r="A8" s="33" t="s">
        <v>60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30</v>
      </c>
      <c r="B9" s="7" t="s">
        <v>486</v>
      </c>
      <c r="C9" s="7" t="s">
        <v>487</v>
      </c>
      <c r="D9" s="7" t="s">
        <v>248</v>
      </c>
      <c r="E9" s="7" t="s">
        <v>657</v>
      </c>
      <c r="F9" s="7" t="s">
        <v>36</v>
      </c>
      <c r="G9" s="14" t="s">
        <v>186</v>
      </c>
      <c r="H9" s="15" t="s">
        <v>41</v>
      </c>
      <c r="I9" s="8"/>
      <c r="J9" s="8"/>
      <c r="K9" s="8" t="str">
        <f>"37,5"</f>
        <v>37,5</v>
      </c>
      <c r="L9" s="8" t="str">
        <f>"37,1850"</f>
        <v>37,1850</v>
      </c>
      <c r="M9" s="7"/>
    </row>
    <row r="10" spans="1:13">
      <c r="B10" s="5" t="s">
        <v>31</v>
      </c>
    </row>
    <row r="11" spans="1:13" ht="16">
      <c r="A11" s="33" t="s">
        <v>108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3">
      <c r="A12" s="8" t="s">
        <v>30</v>
      </c>
      <c r="B12" s="7" t="s">
        <v>488</v>
      </c>
      <c r="C12" s="7" t="s">
        <v>593</v>
      </c>
      <c r="D12" s="7" t="s">
        <v>489</v>
      </c>
      <c r="E12" s="7" t="s">
        <v>658</v>
      </c>
      <c r="F12" s="7" t="s">
        <v>490</v>
      </c>
      <c r="G12" s="14" t="s">
        <v>39</v>
      </c>
      <c r="H12" s="14" t="s">
        <v>18</v>
      </c>
      <c r="I12" s="14" t="s">
        <v>67</v>
      </c>
      <c r="J12" s="8"/>
      <c r="K12" s="8" t="str">
        <f>"92,5"</f>
        <v>92,5</v>
      </c>
      <c r="L12" s="8" t="str">
        <f>"58,9233"</f>
        <v>58,9233</v>
      </c>
      <c r="M12" s="7"/>
    </row>
    <row r="13" spans="1:13">
      <c r="B13" s="5" t="s">
        <v>31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63"/>
  <sheetViews>
    <sheetView tabSelected="1" workbookViewId="0">
      <selection activeCell="E48" sqref="E48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4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42" t="s">
        <v>580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653</v>
      </c>
      <c r="H3" s="34"/>
      <c r="I3" s="34"/>
      <c r="J3" s="34"/>
      <c r="K3" s="34" t="s">
        <v>311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46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30</v>
      </c>
      <c r="B6" s="7" t="s">
        <v>481</v>
      </c>
      <c r="C6" s="7" t="s">
        <v>482</v>
      </c>
      <c r="D6" s="7" t="s">
        <v>483</v>
      </c>
      <c r="E6" s="7" t="s">
        <v>657</v>
      </c>
      <c r="F6" s="7" t="s">
        <v>36</v>
      </c>
      <c r="G6" s="14" t="s">
        <v>484</v>
      </c>
      <c r="H6" s="15" t="s">
        <v>485</v>
      </c>
      <c r="I6" s="15" t="s">
        <v>485</v>
      </c>
      <c r="J6" s="8"/>
      <c r="K6" s="8" t="str">
        <f>"22,5"</f>
        <v>22,5</v>
      </c>
      <c r="L6" s="8" t="str">
        <f>"27,6638"</f>
        <v>27,6638</v>
      </c>
      <c r="M6" s="7"/>
    </row>
    <row r="7" spans="1:13">
      <c r="B7" s="5" t="s">
        <v>31</v>
      </c>
    </row>
    <row r="8" spans="1:13" ht="16">
      <c r="A8" s="33" t="s">
        <v>60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30</v>
      </c>
      <c r="B9" s="7" t="s">
        <v>486</v>
      </c>
      <c r="C9" s="7" t="s">
        <v>487</v>
      </c>
      <c r="D9" s="7" t="s">
        <v>248</v>
      </c>
      <c r="E9" s="7" t="s">
        <v>657</v>
      </c>
      <c r="F9" s="7" t="s">
        <v>36</v>
      </c>
      <c r="G9" s="14" t="s">
        <v>252</v>
      </c>
      <c r="H9" s="14" t="s">
        <v>185</v>
      </c>
      <c r="I9" s="15" t="s">
        <v>40</v>
      </c>
      <c r="J9" s="8"/>
      <c r="K9" s="8" t="str">
        <f>"32,5"</f>
        <v>32,5</v>
      </c>
      <c r="L9" s="8" t="str">
        <f>"32,2270"</f>
        <v>32,2270</v>
      </c>
      <c r="M9" s="7"/>
    </row>
    <row r="10" spans="1:13">
      <c r="B10" s="5" t="s">
        <v>31</v>
      </c>
    </row>
    <row r="11" spans="1:13" ht="16">
      <c r="A11" s="33" t="s">
        <v>181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3">
      <c r="A12" s="17" t="s">
        <v>30</v>
      </c>
      <c r="B12" s="16" t="s">
        <v>331</v>
      </c>
      <c r="C12" s="16" t="s">
        <v>587</v>
      </c>
      <c r="D12" s="16" t="s">
        <v>332</v>
      </c>
      <c r="E12" s="16" t="s">
        <v>661</v>
      </c>
      <c r="F12" s="16" t="s">
        <v>103</v>
      </c>
      <c r="G12" s="22" t="s">
        <v>42</v>
      </c>
      <c r="H12" s="22" t="s">
        <v>59</v>
      </c>
      <c r="I12" s="22" t="s">
        <v>491</v>
      </c>
      <c r="J12" s="23" t="s">
        <v>492</v>
      </c>
      <c r="K12" s="17" t="str">
        <f>"48,5"</f>
        <v>48,5</v>
      </c>
      <c r="L12" s="17" t="str">
        <f>"43,6136"</f>
        <v>43,6136</v>
      </c>
      <c r="M12" s="16" t="s">
        <v>187</v>
      </c>
    </row>
    <row r="13" spans="1:13">
      <c r="A13" s="19" t="s">
        <v>133</v>
      </c>
      <c r="B13" s="18" t="s">
        <v>329</v>
      </c>
      <c r="C13" s="18" t="s">
        <v>586</v>
      </c>
      <c r="D13" s="18" t="s">
        <v>330</v>
      </c>
      <c r="E13" s="18" t="s">
        <v>661</v>
      </c>
      <c r="F13" s="18" t="s">
        <v>103</v>
      </c>
      <c r="G13" s="24" t="s">
        <v>42</v>
      </c>
      <c r="H13" s="24" t="s">
        <v>59</v>
      </c>
      <c r="I13" s="24" t="s">
        <v>493</v>
      </c>
      <c r="J13" s="25" t="s">
        <v>494</v>
      </c>
      <c r="K13" s="19" t="str">
        <f>"48,0"</f>
        <v>48,0</v>
      </c>
      <c r="L13" s="19" t="str">
        <f>"43,3272"</f>
        <v>43,3272</v>
      </c>
      <c r="M13" s="18" t="s">
        <v>187</v>
      </c>
    </row>
    <row r="14" spans="1:13">
      <c r="B14" s="5" t="s">
        <v>31</v>
      </c>
    </row>
    <row r="15" spans="1:13" ht="16">
      <c r="A15" s="33" t="s">
        <v>60</v>
      </c>
      <c r="B15" s="33"/>
      <c r="C15" s="33"/>
      <c r="D15" s="33"/>
      <c r="E15" s="33"/>
      <c r="F15" s="33"/>
      <c r="G15" s="33"/>
      <c r="H15" s="33"/>
      <c r="I15" s="33"/>
      <c r="J15" s="33"/>
    </row>
    <row r="16" spans="1:13">
      <c r="A16" s="17" t="s">
        <v>30</v>
      </c>
      <c r="B16" s="16" t="s">
        <v>333</v>
      </c>
      <c r="C16" s="16" t="s">
        <v>588</v>
      </c>
      <c r="D16" s="16" t="s">
        <v>248</v>
      </c>
      <c r="E16" s="16" t="s">
        <v>661</v>
      </c>
      <c r="F16" s="16" t="s">
        <v>103</v>
      </c>
      <c r="G16" s="22" t="s">
        <v>41</v>
      </c>
      <c r="H16" s="22" t="s">
        <v>180</v>
      </c>
      <c r="I16" s="22" t="s">
        <v>42</v>
      </c>
      <c r="J16" s="17"/>
      <c r="K16" s="17" t="str">
        <f>"45,0"</f>
        <v>45,0</v>
      </c>
      <c r="L16" s="17" t="str">
        <f>"37,6605"</f>
        <v>37,6605</v>
      </c>
      <c r="M16" s="16" t="s">
        <v>187</v>
      </c>
    </row>
    <row r="17" spans="1:13">
      <c r="A17" s="19" t="s">
        <v>30</v>
      </c>
      <c r="B17" s="18" t="s">
        <v>495</v>
      </c>
      <c r="C17" s="18" t="s">
        <v>496</v>
      </c>
      <c r="D17" s="18" t="s">
        <v>497</v>
      </c>
      <c r="E17" s="18" t="s">
        <v>657</v>
      </c>
      <c r="F17" s="18" t="s">
        <v>103</v>
      </c>
      <c r="G17" s="24" t="s">
        <v>40</v>
      </c>
      <c r="H17" s="24" t="s">
        <v>186</v>
      </c>
      <c r="I17" s="25" t="s">
        <v>41</v>
      </c>
      <c r="J17" s="19"/>
      <c r="K17" s="19" t="str">
        <f>"37,5"</f>
        <v>37,5</v>
      </c>
      <c r="L17" s="19" t="str">
        <f>"31,2825"</f>
        <v>31,2825</v>
      </c>
      <c r="M17" s="18" t="s">
        <v>187</v>
      </c>
    </row>
    <row r="18" spans="1:13">
      <c r="B18" s="5" t="s">
        <v>31</v>
      </c>
    </row>
    <row r="19" spans="1:13" ht="16">
      <c r="A19" s="33" t="s">
        <v>10</v>
      </c>
      <c r="B19" s="33"/>
      <c r="C19" s="33"/>
      <c r="D19" s="33"/>
      <c r="E19" s="33"/>
      <c r="F19" s="33"/>
      <c r="G19" s="33"/>
      <c r="H19" s="33"/>
      <c r="I19" s="33"/>
      <c r="J19" s="33"/>
    </row>
    <row r="20" spans="1:13">
      <c r="A20" s="17" t="s">
        <v>30</v>
      </c>
      <c r="B20" s="16" t="s">
        <v>338</v>
      </c>
      <c r="C20" s="16" t="s">
        <v>595</v>
      </c>
      <c r="D20" s="16" t="s">
        <v>449</v>
      </c>
      <c r="E20" s="16" t="s">
        <v>662</v>
      </c>
      <c r="F20" s="16" t="s">
        <v>103</v>
      </c>
      <c r="G20" s="22" t="s">
        <v>42</v>
      </c>
      <c r="H20" s="22" t="s">
        <v>59</v>
      </c>
      <c r="I20" s="23" t="s">
        <v>50</v>
      </c>
      <c r="J20" s="17"/>
      <c r="K20" s="17" t="str">
        <f>"47,5"</f>
        <v>47,5</v>
      </c>
      <c r="L20" s="17" t="str">
        <f>"37,0880"</f>
        <v>37,0880</v>
      </c>
      <c r="M20" s="16" t="s">
        <v>187</v>
      </c>
    </row>
    <row r="21" spans="1:13">
      <c r="A21" s="21" t="s">
        <v>30</v>
      </c>
      <c r="B21" s="20" t="s">
        <v>336</v>
      </c>
      <c r="C21" s="20" t="s">
        <v>589</v>
      </c>
      <c r="D21" s="20" t="s">
        <v>337</v>
      </c>
      <c r="E21" s="20" t="s">
        <v>661</v>
      </c>
      <c r="F21" s="20" t="s">
        <v>103</v>
      </c>
      <c r="G21" s="26" t="s">
        <v>184</v>
      </c>
      <c r="H21" s="26" t="s">
        <v>191</v>
      </c>
      <c r="I21" s="27" t="s">
        <v>64</v>
      </c>
      <c r="J21" s="21"/>
      <c r="K21" s="21" t="str">
        <f>"57,5"</f>
        <v>57,5</v>
      </c>
      <c r="L21" s="21" t="str">
        <f>"43,4757"</f>
        <v>43,4757</v>
      </c>
      <c r="M21" s="20" t="s">
        <v>187</v>
      </c>
    </row>
    <row r="22" spans="1:13">
      <c r="A22" s="21" t="s">
        <v>30</v>
      </c>
      <c r="B22" s="20" t="s">
        <v>498</v>
      </c>
      <c r="C22" s="20" t="s">
        <v>499</v>
      </c>
      <c r="D22" s="20" t="s">
        <v>500</v>
      </c>
      <c r="E22" s="20" t="s">
        <v>657</v>
      </c>
      <c r="F22" s="20" t="s">
        <v>36</v>
      </c>
      <c r="G22" s="27" t="s">
        <v>59</v>
      </c>
      <c r="H22" s="26" t="s">
        <v>59</v>
      </c>
      <c r="I22" s="27" t="s">
        <v>50</v>
      </c>
      <c r="J22" s="21"/>
      <c r="K22" s="21" t="str">
        <f>"47,5"</f>
        <v>47,5</v>
      </c>
      <c r="L22" s="21" t="str">
        <f>"35,6416"</f>
        <v>35,6416</v>
      </c>
      <c r="M22" s="20"/>
    </row>
    <row r="23" spans="1:13">
      <c r="A23" s="19" t="s">
        <v>133</v>
      </c>
      <c r="B23" s="18" t="s">
        <v>501</v>
      </c>
      <c r="C23" s="18" t="s">
        <v>502</v>
      </c>
      <c r="D23" s="18" t="s">
        <v>503</v>
      </c>
      <c r="E23" s="18" t="s">
        <v>657</v>
      </c>
      <c r="F23" s="18" t="s">
        <v>36</v>
      </c>
      <c r="G23" s="24" t="s">
        <v>180</v>
      </c>
      <c r="H23" s="24" t="s">
        <v>42</v>
      </c>
      <c r="I23" s="25" t="s">
        <v>50</v>
      </c>
      <c r="J23" s="19"/>
      <c r="K23" s="19" t="str">
        <f>"45,0"</f>
        <v>45,0</v>
      </c>
      <c r="L23" s="19" t="str">
        <f>"34,6095"</f>
        <v>34,6095</v>
      </c>
      <c r="M23" s="18"/>
    </row>
    <row r="24" spans="1:13">
      <c r="B24" s="5" t="s">
        <v>31</v>
      </c>
    </row>
    <row r="25" spans="1:13" ht="16">
      <c r="A25" s="33" t="s">
        <v>69</v>
      </c>
      <c r="B25" s="33"/>
      <c r="C25" s="33"/>
      <c r="D25" s="33"/>
      <c r="E25" s="33"/>
      <c r="F25" s="33"/>
      <c r="G25" s="33"/>
      <c r="H25" s="33"/>
      <c r="I25" s="33"/>
      <c r="J25" s="33"/>
    </row>
    <row r="26" spans="1:13">
      <c r="A26" s="8" t="s">
        <v>30</v>
      </c>
      <c r="B26" s="7" t="s">
        <v>342</v>
      </c>
      <c r="C26" s="7" t="s">
        <v>590</v>
      </c>
      <c r="D26" s="7" t="s">
        <v>343</v>
      </c>
      <c r="E26" s="7" t="s">
        <v>661</v>
      </c>
      <c r="F26" s="7" t="s">
        <v>103</v>
      </c>
      <c r="G26" s="14" t="s">
        <v>184</v>
      </c>
      <c r="H26" s="14" t="s">
        <v>64</v>
      </c>
      <c r="I26" s="14" t="s">
        <v>65</v>
      </c>
      <c r="J26" s="8"/>
      <c r="K26" s="8" t="str">
        <f>"62,5"</f>
        <v>62,5</v>
      </c>
      <c r="L26" s="8" t="str">
        <f>"43,2469"</f>
        <v>43,2469</v>
      </c>
      <c r="M26" s="7" t="s">
        <v>187</v>
      </c>
    </row>
    <row r="27" spans="1:13">
      <c r="B27" s="5" t="s">
        <v>31</v>
      </c>
    </row>
    <row r="28" spans="1:13" ht="16">
      <c r="A28" s="33" t="s">
        <v>84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3">
      <c r="A29" s="17" t="s">
        <v>30</v>
      </c>
      <c r="B29" s="16" t="s">
        <v>360</v>
      </c>
      <c r="C29" s="16" t="s">
        <v>591</v>
      </c>
      <c r="D29" s="16" t="s">
        <v>361</v>
      </c>
      <c r="E29" s="16" t="s">
        <v>661</v>
      </c>
      <c r="F29" s="16" t="s">
        <v>362</v>
      </c>
      <c r="G29" s="22" t="s">
        <v>66</v>
      </c>
      <c r="H29" s="22" t="s">
        <v>57</v>
      </c>
      <c r="I29" s="23" t="s">
        <v>504</v>
      </c>
      <c r="J29" s="17"/>
      <c r="K29" s="17" t="str">
        <f>"70,0"</f>
        <v>70,0</v>
      </c>
      <c r="L29" s="17" t="str">
        <f>"45,2655"</f>
        <v>45,2655</v>
      </c>
      <c r="M29" s="16"/>
    </row>
    <row r="30" spans="1:13">
      <c r="A30" s="21" t="s">
        <v>133</v>
      </c>
      <c r="B30" s="20" t="s">
        <v>505</v>
      </c>
      <c r="C30" s="20" t="s">
        <v>592</v>
      </c>
      <c r="D30" s="20" t="s">
        <v>139</v>
      </c>
      <c r="E30" s="20" t="s">
        <v>661</v>
      </c>
      <c r="F30" s="20" t="s">
        <v>103</v>
      </c>
      <c r="G30" s="26" t="s">
        <v>191</v>
      </c>
      <c r="H30" s="26" t="s">
        <v>64</v>
      </c>
      <c r="I30" s="26" t="s">
        <v>66</v>
      </c>
      <c r="J30" s="21"/>
      <c r="K30" s="21" t="str">
        <f>"65,0"</f>
        <v>65,0</v>
      </c>
      <c r="L30" s="21" t="str">
        <f>"42,2337"</f>
        <v>42,2337</v>
      </c>
      <c r="M30" s="20" t="s">
        <v>187</v>
      </c>
    </row>
    <row r="31" spans="1:13">
      <c r="A31" s="21" t="s">
        <v>30</v>
      </c>
      <c r="B31" s="20" t="s">
        <v>506</v>
      </c>
      <c r="C31" s="20" t="s">
        <v>507</v>
      </c>
      <c r="D31" s="20" t="s">
        <v>508</v>
      </c>
      <c r="E31" s="20" t="s">
        <v>657</v>
      </c>
      <c r="F31" s="20" t="s">
        <v>36</v>
      </c>
      <c r="G31" s="26" t="s">
        <v>326</v>
      </c>
      <c r="H31" s="26" t="s">
        <v>57</v>
      </c>
      <c r="I31" s="26" t="s">
        <v>204</v>
      </c>
      <c r="J31" s="21"/>
      <c r="K31" s="21" t="str">
        <f>"72,5"</f>
        <v>72,5</v>
      </c>
      <c r="L31" s="21" t="str">
        <f>"47,5346"</f>
        <v>47,5346</v>
      </c>
      <c r="M31" s="20"/>
    </row>
    <row r="32" spans="1:13">
      <c r="A32" s="21" t="s">
        <v>133</v>
      </c>
      <c r="B32" s="20" t="s">
        <v>360</v>
      </c>
      <c r="C32" s="20" t="s">
        <v>509</v>
      </c>
      <c r="D32" s="20" t="s">
        <v>361</v>
      </c>
      <c r="E32" s="20" t="s">
        <v>657</v>
      </c>
      <c r="F32" s="20" t="s">
        <v>362</v>
      </c>
      <c r="G32" s="26" t="s">
        <v>66</v>
      </c>
      <c r="H32" s="26" t="s">
        <v>57</v>
      </c>
      <c r="I32" s="27" t="s">
        <v>504</v>
      </c>
      <c r="J32" s="21"/>
      <c r="K32" s="21" t="str">
        <f>"70,0"</f>
        <v>70,0</v>
      </c>
      <c r="L32" s="21" t="str">
        <f>"45,2655"</f>
        <v>45,2655</v>
      </c>
      <c r="M32" s="20"/>
    </row>
    <row r="33" spans="1:13">
      <c r="A33" s="21" t="s">
        <v>175</v>
      </c>
      <c r="B33" s="20" t="s">
        <v>510</v>
      </c>
      <c r="C33" s="20" t="s">
        <v>511</v>
      </c>
      <c r="D33" s="20" t="s">
        <v>87</v>
      </c>
      <c r="E33" s="20" t="s">
        <v>657</v>
      </c>
      <c r="F33" s="20" t="s">
        <v>36</v>
      </c>
      <c r="G33" s="26" t="s">
        <v>66</v>
      </c>
      <c r="H33" s="27" t="s">
        <v>57</v>
      </c>
      <c r="I33" s="27" t="s">
        <v>57</v>
      </c>
      <c r="J33" s="21"/>
      <c r="K33" s="21" t="str">
        <f>"65,0"</f>
        <v>65,0</v>
      </c>
      <c r="L33" s="21" t="str">
        <f>"42,8317"</f>
        <v>42,8317</v>
      </c>
      <c r="M33" s="20"/>
    </row>
    <row r="34" spans="1:13">
      <c r="A34" s="21" t="s">
        <v>414</v>
      </c>
      <c r="B34" s="20" t="s">
        <v>512</v>
      </c>
      <c r="C34" s="20" t="s">
        <v>513</v>
      </c>
      <c r="D34" s="20" t="s">
        <v>514</v>
      </c>
      <c r="E34" s="20" t="s">
        <v>657</v>
      </c>
      <c r="F34" s="20" t="s">
        <v>36</v>
      </c>
      <c r="G34" s="26" t="s">
        <v>64</v>
      </c>
      <c r="H34" s="26" t="s">
        <v>65</v>
      </c>
      <c r="I34" s="27" t="s">
        <v>66</v>
      </c>
      <c r="J34" s="21"/>
      <c r="K34" s="21" t="str">
        <f>"62,5"</f>
        <v>62,5</v>
      </c>
      <c r="L34" s="21" t="str">
        <f>"41,3594"</f>
        <v>41,3594</v>
      </c>
      <c r="M34" s="20" t="s">
        <v>618</v>
      </c>
    </row>
    <row r="35" spans="1:13">
      <c r="A35" s="21" t="s">
        <v>415</v>
      </c>
      <c r="B35" s="20" t="s">
        <v>515</v>
      </c>
      <c r="C35" s="20" t="s">
        <v>516</v>
      </c>
      <c r="D35" s="20" t="s">
        <v>517</v>
      </c>
      <c r="E35" s="20" t="s">
        <v>657</v>
      </c>
      <c r="F35" s="20" t="s">
        <v>36</v>
      </c>
      <c r="G35" s="26" t="s">
        <v>184</v>
      </c>
      <c r="H35" s="26" t="s">
        <v>191</v>
      </c>
      <c r="I35" s="27" t="s">
        <v>64</v>
      </c>
      <c r="J35" s="21"/>
      <c r="K35" s="21" t="str">
        <f>"57,5"</f>
        <v>57,5</v>
      </c>
      <c r="L35" s="21" t="str">
        <f>"37,5417"</f>
        <v>37,5417</v>
      </c>
      <c r="M35" s="20"/>
    </row>
    <row r="36" spans="1:13">
      <c r="A36" s="19" t="s">
        <v>30</v>
      </c>
      <c r="B36" s="18" t="s">
        <v>510</v>
      </c>
      <c r="C36" s="18" t="s">
        <v>596</v>
      </c>
      <c r="D36" s="18" t="s">
        <v>87</v>
      </c>
      <c r="E36" s="18" t="s">
        <v>658</v>
      </c>
      <c r="F36" s="18" t="s">
        <v>36</v>
      </c>
      <c r="G36" s="24" t="s">
        <v>66</v>
      </c>
      <c r="H36" s="25" t="s">
        <v>57</v>
      </c>
      <c r="I36" s="25" t="s">
        <v>57</v>
      </c>
      <c r="J36" s="19"/>
      <c r="K36" s="19" t="str">
        <f>"65,0"</f>
        <v>65,0</v>
      </c>
      <c r="L36" s="19" t="str">
        <f>"47,6717"</f>
        <v>47,6717</v>
      </c>
      <c r="M36" s="18"/>
    </row>
    <row r="37" spans="1:13">
      <c r="B37" s="5" t="s">
        <v>31</v>
      </c>
    </row>
    <row r="38" spans="1:13" ht="16">
      <c r="A38" s="33" t="s">
        <v>93</v>
      </c>
      <c r="B38" s="33"/>
      <c r="C38" s="33"/>
      <c r="D38" s="33"/>
      <c r="E38" s="33"/>
      <c r="F38" s="33"/>
      <c r="G38" s="33"/>
      <c r="H38" s="33"/>
      <c r="I38" s="33"/>
      <c r="J38" s="33"/>
    </row>
    <row r="39" spans="1:13">
      <c r="A39" s="17" t="s">
        <v>30</v>
      </c>
      <c r="B39" s="16" t="s">
        <v>518</v>
      </c>
      <c r="C39" s="16" t="s">
        <v>519</v>
      </c>
      <c r="D39" s="16" t="s">
        <v>520</v>
      </c>
      <c r="E39" s="16" t="s">
        <v>657</v>
      </c>
      <c r="F39" s="16" t="s">
        <v>36</v>
      </c>
      <c r="G39" s="22" t="s">
        <v>66</v>
      </c>
      <c r="H39" s="23" t="s">
        <v>204</v>
      </c>
      <c r="I39" s="22" t="s">
        <v>204</v>
      </c>
      <c r="J39" s="17"/>
      <c r="K39" s="17" t="str">
        <f>"72,5"</f>
        <v>72,5</v>
      </c>
      <c r="L39" s="17" t="str">
        <f>"45,1965"</f>
        <v>45,1965</v>
      </c>
      <c r="M39" s="16"/>
    </row>
    <row r="40" spans="1:13">
      <c r="A40" s="21" t="s">
        <v>133</v>
      </c>
      <c r="B40" s="20" t="s">
        <v>521</v>
      </c>
      <c r="C40" s="20" t="s">
        <v>522</v>
      </c>
      <c r="D40" s="20" t="s">
        <v>523</v>
      </c>
      <c r="E40" s="20" t="s">
        <v>657</v>
      </c>
      <c r="F40" s="20" t="s">
        <v>36</v>
      </c>
      <c r="G40" s="26" t="s">
        <v>184</v>
      </c>
      <c r="H40" s="26" t="s">
        <v>64</v>
      </c>
      <c r="I40" s="27" t="s">
        <v>66</v>
      </c>
      <c r="J40" s="21"/>
      <c r="K40" s="21" t="str">
        <f>"60,0"</f>
        <v>60,0</v>
      </c>
      <c r="L40" s="21" t="str">
        <f>"37,2300"</f>
        <v>37,2300</v>
      </c>
      <c r="M40" s="20"/>
    </row>
    <row r="41" spans="1:13">
      <c r="A41" s="21" t="s">
        <v>175</v>
      </c>
      <c r="B41" s="20" t="s">
        <v>456</v>
      </c>
      <c r="C41" s="20" t="s">
        <v>457</v>
      </c>
      <c r="D41" s="20" t="s">
        <v>458</v>
      </c>
      <c r="E41" s="20" t="s">
        <v>657</v>
      </c>
      <c r="F41" s="20" t="s">
        <v>36</v>
      </c>
      <c r="G41" s="26" t="s">
        <v>184</v>
      </c>
      <c r="H41" s="26" t="s">
        <v>191</v>
      </c>
      <c r="I41" s="27" t="s">
        <v>64</v>
      </c>
      <c r="J41" s="21"/>
      <c r="K41" s="21" t="str">
        <f>"57,5"</f>
        <v>57,5</v>
      </c>
      <c r="L41" s="21" t="str">
        <f>"35,7276"</f>
        <v>35,7276</v>
      </c>
      <c r="M41" s="20"/>
    </row>
    <row r="42" spans="1:13">
      <c r="A42" s="19" t="s">
        <v>414</v>
      </c>
      <c r="B42" s="18" t="s">
        <v>524</v>
      </c>
      <c r="C42" s="18" t="s">
        <v>525</v>
      </c>
      <c r="D42" s="18" t="s">
        <v>526</v>
      </c>
      <c r="E42" s="18" t="s">
        <v>657</v>
      </c>
      <c r="F42" s="18" t="s">
        <v>103</v>
      </c>
      <c r="G42" s="24" t="s">
        <v>180</v>
      </c>
      <c r="H42" s="24" t="s">
        <v>59</v>
      </c>
      <c r="I42" s="24" t="s">
        <v>50</v>
      </c>
      <c r="J42" s="19"/>
      <c r="K42" s="19" t="str">
        <f>"50,0"</f>
        <v>50,0</v>
      </c>
      <c r="L42" s="19" t="str">
        <f>"31,1075"</f>
        <v>31,1075</v>
      </c>
      <c r="M42" s="18" t="s">
        <v>187</v>
      </c>
    </row>
    <row r="43" spans="1:13">
      <c r="B43" s="5" t="s">
        <v>31</v>
      </c>
    </row>
    <row r="44" spans="1:13" ht="16">
      <c r="A44" s="33" t="s">
        <v>108</v>
      </c>
      <c r="B44" s="33"/>
      <c r="C44" s="33"/>
      <c r="D44" s="33"/>
      <c r="E44" s="33"/>
      <c r="F44" s="33"/>
      <c r="G44" s="33"/>
      <c r="H44" s="33"/>
      <c r="I44" s="33"/>
      <c r="J44" s="33"/>
    </row>
    <row r="45" spans="1:13">
      <c r="A45" s="17" t="s">
        <v>30</v>
      </c>
      <c r="B45" s="16" t="s">
        <v>527</v>
      </c>
      <c r="C45" s="16" t="s">
        <v>528</v>
      </c>
      <c r="D45" s="16" t="s">
        <v>489</v>
      </c>
      <c r="E45" s="16" t="s">
        <v>657</v>
      </c>
      <c r="F45" s="16" t="s">
        <v>36</v>
      </c>
      <c r="G45" s="22" t="s">
        <v>64</v>
      </c>
      <c r="H45" s="22" t="s">
        <v>65</v>
      </c>
      <c r="I45" s="22" t="s">
        <v>66</v>
      </c>
      <c r="J45" s="17"/>
      <c r="K45" s="17" t="str">
        <f>"65,0"</f>
        <v>65,0</v>
      </c>
      <c r="L45" s="17" t="str">
        <f>"38,7692"</f>
        <v>38,7692</v>
      </c>
      <c r="M45" s="16"/>
    </row>
    <row r="46" spans="1:13">
      <c r="A46" s="21" t="s">
        <v>30</v>
      </c>
      <c r="B46" s="20" t="s">
        <v>529</v>
      </c>
      <c r="C46" s="20" t="s">
        <v>597</v>
      </c>
      <c r="D46" s="20" t="s">
        <v>530</v>
      </c>
      <c r="E46" s="20" t="s">
        <v>658</v>
      </c>
      <c r="F46" s="20" t="s">
        <v>531</v>
      </c>
      <c r="G46" s="27" t="s">
        <v>57</v>
      </c>
      <c r="H46" s="26" t="s">
        <v>57</v>
      </c>
      <c r="I46" s="27" t="s">
        <v>58</v>
      </c>
      <c r="J46" s="21"/>
      <c r="K46" s="21" t="str">
        <f>"70,0"</f>
        <v>70,0</v>
      </c>
      <c r="L46" s="21" t="str">
        <f>"43,2082"</f>
        <v>43,2082</v>
      </c>
      <c r="M46" s="20" t="s">
        <v>532</v>
      </c>
    </row>
    <row r="47" spans="1:13">
      <c r="A47" s="19" t="s">
        <v>133</v>
      </c>
      <c r="B47" s="18" t="s">
        <v>397</v>
      </c>
      <c r="C47" s="18" t="s">
        <v>398</v>
      </c>
      <c r="D47" s="18" t="s">
        <v>399</v>
      </c>
      <c r="E47" s="18" t="s">
        <v>658</v>
      </c>
      <c r="F47" s="18" t="s">
        <v>259</v>
      </c>
      <c r="G47" s="25" t="s">
        <v>191</v>
      </c>
      <c r="H47" s="24" t="s">
        <v>64</v>
      </c>
      <c r="I47" s="25" t="s">
        <v>65</v>
      </c>
      <c r="J47" s="19"/>
      <c r="K47" s="19" t="str">
        <f>"60,0"</f>
        <v>60,0</v>
      </c>
      <c r="L47" s="19" t="str">
        <f>"36,1570"</f>
        <v>36,1570</v>
      </c>
      <c r="M47" s="18"/>
    </row>
    <row r="48" spans="1:13">
      <c r="B48" s="5" t="s">
        <v>31</v>
      </c>
    </row>
    <row r="49" spans="2:6">
      <c r="B49" s="5" t="s">
        <v>31</v>
      </c>
    </row>
    <row r="50" spans="2:6">
      <c r="B50" s="5" t="s">
        <v>31</v>
      </c>
    </row>
    <row r="51" spans="2:6" ht="18">
      <c r="B51" s="9" t="s">
        <v>23</v>
      </c>
      <c r="C51" s="9"/>
      <c r="F51" s="3"/>
    </row>
    <row r="52" spans="2:6" ht="16">
      <c r="B52" s="10" t="s">
        <v>127</v>
      </c>
      <c r="C52" s="10"/>
      <c r="F52" s="3"/>
    </row>
    <row r="53" spans="2:6" ht="14">
      <c r="B53" s="11"/>
      <c r="C53" s="12" t="s">
        <v>173</v>
      </c>
      <c r="F53" s="3"/>
    </row>
    <row r="54" spans="2:6" ht="14">
      <c r="B54" s="13" t="s">
        <v>25</v>
      </c>
      <c r="C54" s="13" t="s">
        <v>26</v>
      </c>
      <c r="D54" s="13" t="s">
        <v>620</v>
      </c>
      <c r="E54" s="13" t="s">
        <v>306</v>
      </c>
      <c r="F54" s="13" t="s">
        <v>28</v>
      </c>
    </row>
    <row r="55" spans="2:6">
      <c r="B55" s="5" t="s">
        <v>360</v>
      </c>
      <c r="C55" s="5" t="s">
        <v>594</v>
      </c>
      <c r="D55" s="6" t="s">
        <v>130</v>
      </c>
      <c r="E55" s="6" t="s">
        <v>57</v>
      </c>
      <c r="F55" s="6" t="s">
        <v>533</v>
      </c>
    </row>
    <row r="56" spans="2:6">
      <c r="B56" s="5" t="s">
        <v>331</v>
      </c>
      <c r="C56" s="5" t="s">
        <v>594</v>
      </c>
      <c r="D56" s="6" t="s">
        <v>239</v>
      </c>
      <c r="E56" s="6" t="s">
        <v>491</v>
      </c>
      <c r="F56" s="6" t="s">
        <v>534</v>
      </c>
    </row>
    <row r="57" spans="2:6">
      <c r="B57" s="5" t="s">
        <v>336</v>
      </c>
      <c r="C57" s="5" t="s">
        <v>594</v>
      </c>
      <c r="D57" s="6" t="s">
        <v>29</v>
      </c>
      <c r="E57" s="6" t="s">
        <v>191</v>
      </c>
      <c r="F57" s="6" t="s">
        <v>535</v>
      </c>
    </row>
    <row r="59" spans="2:6" ht="14">
      <c r="B59" s="11"/>
      <c r="C59" s="12" t="s">
        <v>24</v>
      </c>
    </row>
    <row r="60" spans="2:6" ht="14">
      <c r="B60" s="13" t="s">
        <v>25</v>
      </c>
      <c r="C60" s="13" t="s">
        <v>26</v>
      </c>
      <c r="D60" s="13" t="s">
        <v>620</v>
      </c>
      <c r="E60" s="13" t="s">
        <v>306</v>
      </c>
      <c r="F60" s="13" t="s">
        <v>28</v>
      </c>
    </row>
    <row r="61" spans="2:6">
      <c r="B61" s="5" t="s">
        <v>506</v>
      </c>
      <c r="C61" s="5" t="s">
        <v>24</v>
      </c>
      <c r="D61" s="6" t="s">
        <v>130</v>
      </c>
      <c r="E61" s="6" t="s">
        <v>204</v>
      </c>
      <c r="F61" s="6" t="s">
        <v>536</v>
      </c>
    </row>
    <row r="62" spans="2:6">
      <c r="B62" s="5" t="s">
        <v>360</v>
      </c>
      <c r="C62" s="5" t="s">
        <v>24</v>
      </c>
      <c r="D62" s="6" t="s">
        <v>130</v>
      </c>
      <c r="E62" s="6" t="s">
        <v>57</v>
      </c>
      <c r="F62" s="6" t="s">
        <v>533</v>
      </c>
    </row>
    <row r="63" spans="2:6">
      <c r="B63" s="5" t="s">
        <v>518</v>
      </c>
      <c r="C63" s="5" t="s">
        <v>24</v>
      </c>
      <c r="D63" s="6" t="s">
        <v>131</v>
      </c>
      <c r="E63" s="6" t="s">
        <v>204</v>
      </c>
      <c r="F63" s="6" t="s">
        <v>537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8:J38"/>
    <mergeCell ref="A44:J44"/>
    <mergeCell ref="B3:B4"/>
    <mergeCell ref="A8:J8"/>
    <mergeCell ref="A11:J11"/>
    <mergeCell ref="A15:J15"/>
    <mergeCell ref="A19:J19"/>
    <mergeCell ref="A25:J25"/>
    <mergeCell ref="A28:J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U49"/>
  <sheetViews>
    <sheetView workbookViewId="0">
      <selection activeCell="E39" sqref="E39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4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6.83203125" style="5" bestFit="1" customWidth="1"/>
    <col min="22" max="16384" width="9.1640625" style="3"/>
  </cols>
  <sheetData>
    <row r="1" spans="1:21" s="2" customFormat="1" ht="29" customHeight="1">
      <c r="A1" s="42" t="s">
        <v>641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7</v>
      </c>
      <c r="H3" s="34"/>
      <c r="I3" s="34"/>
      <c r="J3" s="34"/>
      <c r="K3" s="34" t="s">
        <v>8</v>
      </c>
      <c r="L3" s="34"/>
      <c r="M3" s="34"/>
      <c r="N3" s="34"/>
      <c r="O3" s="34" t="s">
        <v>9</v>
      </c>
      <c r="P3" s="34"/>
      <c r="Q3" s="34"/>
      <c r="R3" s="34"/>
      <c r="S3" s="34" t="s">
        <v>1</v>
      </c>
      <c r="T3" s="34" t="s">
        <v>3</v>
      </c>
      <c r="U3" s="36" t="s">
        <v>2</v>
      </c>
    </row>
    <row r="4" spans="1:21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5"/>
      <c r="T4" s="35"/>
      <c r="U4" s="37"/>
    </row>
    <row r="5" spans="1:21" ht="16">
      <c r="A5" s="38" t="s">
        <v>32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21">
      <c r="A6" s="8" t="s">
        <v>30</v>
      </c>
      <c r="B6" s="7" t="s">
        <v>177</v>
      </c>
      <c r="C6" s="7" t="s">
        <v>178</v>
      </c>
      <c r="D6" s="7" t="s">
        <v>179</v>
      </c>
      <c r="E6" s="7" t="s">
        <v>657</v>
      </c>
      <c r="F6" s="7" t="s">
        <v>283</v>
      </c>
      <c r="G6" s="14" t="s">
        <v>39</v>
      </c>
      <c r="H6" s="14" t="s">
        <v>82</v>
      </c>
      <c r="I6" s="15" t="s">
        <v>19</v>
      </c>
      <c r="J6" s="8"/>
      <c r="K6" s="14" t="s">
        <v>180</v>
      </c>
      <c r="L6" s="14" t="s">
        <v>59</v>
      </c>
      <c r="M6" s="15" t="s">
        <v>50</v>
      </c>
      <c r="N6" s="8"/>
      <c r="O6" s="14" t="s">
        <v>38</v>
      </c>
      <c r="P6" s="14" t="s">
        <v>44</v>
      </c>
      <c r="Q6" s="15" t="s">
        <v>67</v>
      </c>
      <c r="R6" s="8"/>
      <c r="S6" s="8" t="str">
        <f>"230,0"</f>
        <v>230,0</v>
      </c>
      <c r="T6" s="8" t="str">
        <f>"277,7710"</f>
        <v>277,7710</v>
      </c>
      <c r="U6" s="7" t="s">
        <v>144</v>
      </c>
    </row>
    <row r="7" spans="1:21">
      <c r="B7" s="5" t="s">
        <v>31</v>
      </c>
    </row>
    <row r="8" spans="1:21" ht="16">
      <c r="A8" s="33" t="s">
        <v>181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1">
      <c r="A9" s="8" t="s">
        <v>30</v>
      </c>
      <c r="B9" s="7" t="s">
        <v>182</v>
      </c>
      <c r="C9" s="7" t="s">
        <v>615</v>
      </c>
      <c r="D9" s="7" t="s">
        <v>183</v>
      </c>
      <c r="E9" s="7" t="s">
        <v>660</v>
      </c>
      <c r="F9" s="7" t="s">
        <v>103</v>
      </c>
      <c r="G9" s="14" t="s">
        <v>184</v>
      </c>
      <c r="H9" s="14" t="s">
        <v>64</v>
      </c>
      <c r="I9" s="14" t="s">
        <v>65</v>
      </c>
      <c r="J9" s="8"/>
      <c r="K9" s="14" t="s">
        <v>185</v>
      </c>
      <c r="L9" s="14" t="s">
        <v>186</v>
      </c>
      <c r="M9" s="14" t="s">
        <v>41</v>
      </c>
      <c r="N9" s="8"/>
      <c r="O9" s="14" t="s">
        <v>66</v>
      </c>
      <c r="P9" s="14" t="s">
        <v>57</v>
      </c>
      <c r="Q9" s="14" t="s">
        <v>37</v>
      </c>
      <c r="R9" s="8"/>
      <c r="S9" s="8" t="str">
        <f>"177,5"</f>
        <v>177,5</v>
      </c>
      <c r="T9" s="8" t="str">
        <f>"190,4930"</f>
        <v>190,4930</v>
      </c>
      <c r="U9" s="7" t="s">
        <v>187</v>
      </c>
    </row>
    <row r="10" spans="1:21">
      <c r="B10" s="5" t="s">
        <v>31</v>
      </c>
    </row>
    <row r="11" spans="1:21" ht="16">
      <c r="A11" s="33" t="s">
        <v>181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21">
      <c r="A12" s="8" t="s">
        <v>30</v>
      </c>
      <c r="B12" s="7" t="s">
        <v>188</v>
      </c>
      <c r="C12" s="7" t="s">
        <v>189</v>
      </c>
      <c r="D12" s="7" t="s">
        <v>190</v>
      </c>
      <c r="E12" s="7" t="s">
        <v>657</v>
      </c>
      <c r="F12" s="7" t="s">
        <v>283</v>
      </c>
      <c r="G12" s="14" t="s">
        <v>75</v>
      </c>
      <c r="H12" s="14" t="s">
        <v>78</v>
      </c>
      <c r="I12" s="14" t="s">
        <v>52</v>
      </c>
      <c r="J12" s="8"/>
      <c r="K12" s="14" t="s">
        <v>51</v>
      </c>
      <c r="L12" s="15" t="s">
        <v>191</v>
      </c>
      <c r="M12" s="15" t="s">
        <v>191</v>
      </c>
      <c r="N12" s="8"/>
      <c r="O12" s="14" t="s">
        <v>19</v>
      </c>
      <c r="P12" s="14" t="s">
        <v>192</v>
      </c>
      <c r="Q12" s="15" t="s">
        <v>78</v>
      </c>
      <c r="R12" s="8"/>
      <c r="S12" s="8" t="str">
        <f>"277,5"</f>
        <v>277,5</v>
      </c>
      <c r="T12" s="8" t="str">
        <f>"250,9571"</f>
        <v>250,9571</v>
      </c>
      <c r="U12" s="7" t="s">
        <v>144</v>
      </c>
    </row>
    <row r="13" spans="1:21">
      <c r="B13" s="5" t="s">
        <v>31</v>
      </c>
    </row>
    <row r="14" spans="1:21" ht="16">
      <c r="A14" s="33" t="s">
        <v>60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21">
      <c r="A15" s="17" t="s">
        <v>30</v>
      </c>
      <c r="B15" s="16" t="s">
        <v>193</v>
      </c>
      <c r="C15" s="16" t="s">
        <v>194</v>
      </c>
      <c r="D15" s="16" t="s">
        <v>195</v>
      </c>
      <c r="E15" s="16" t="s">
        <v>657</v>
      </c>
      <c r="F15" s="16" t="s">
        <v>283</v>
      </c>
      <c r="G15" s="22" t="s">
        <v>72</v>
      </c>
      <c r="H15" s="22" t="s">
        <v>196</v>
      </c>
      <c r="I15" s="23" t="s">
        <v>16</v>
      </c>
      <c r="J15" s="17"/>
      <c r="K15" s="22" t="s">
        <v>51</v>
      </c>
      <c r="L15" s="23" t="s">
        <v>191</v>
      </c>
      <c r="M15" s="23" t="s">
        <v>191</v>
      </c>
      <c r="N15" s="17"/>
      <c r="O15" s="22" t="s">
        <v>19</v>
      </c>
      <c r="P15" s="22" t="s">
        <v>75</v>
      </c>
      <c r="Q15" s="22" t="s">
        <v>72</v>
      </c>
      <c r="R15" s="17"/>
      <c r="S15" s="17" t="str">
        <f>"305,0"</f>
        <v>305,0</v>
      </c>
      <c r="T15" s="17" t="str">
        <f>"304,4968"</f>
        <v>304,4968</v>
      </c>
      <c r="U15" s="16" t="s">
        <v>144</v>
      </c>
    </row>
    <row r="16" spans="1:21">
      <c r="A16" s="19" t="s">
        <v>30</v>
      </c>
      <c r="B16" s="18" t="s">
        <v>197</v>
      </c>
      <c r="C16" s="18" t="s">
        <v>198</v>
      </c>
      <c r="D16" s="18" t="s">
        <v>199</v>
      </c>
      <c r="E16" s="18" t="s">
        <v>658</v>
      </c>
      <c r="F16" s="18" t="s">
        <v>103</v>
      </c>
      <c r="G16" s="25" t="s">
        <v>72</v>
      </c>
      <c r="H16" s="24" t="s">
        <v>72</v>
      </c>
      <c r="I16" s="24" t="s">
        <v>15</v>
      </c>
      <c r="J16" s="19"/>
      <c r="K16" s="24" t="s">
        <v>184</v>
      </c>
      <c r="L16" s="24" t="s">
        <v>191</v>
      </c>
      <c r="M16" s="25" t="s">
        <v>64</v>
      </c>
      <c r="N16" s="19"/>
      <c r="O16" s="24" t="s">
        <v>52</v>
      </c>
      <c r="P16" s="24" t="s">
        <v>73</v>
      </c>
      <c r="Q16" s="25" t="s">
        <v>15</v>
      </c>
      <c r="R16" s="19"/>
      <c r="S16" s="19" t="str">
        <f>"312,5"</f>
        <v>312,5</v>
      </c>
      <c r="T16" s="19" t="str">
        <f>"320,3756"</f>
        <v>320,3756</v>
      </c>
      <c r="U16" s="18" t="s">
        <v>107</v>
      </c>
    </row>
    <row r="17" spans="1:21">
      <c r="B17" s="5" t="s">
        <v>31</v>
      </c>
    </row>
    <row r="18" spans="1:21" ht="16">
      <c r="A18" s="33" t="s">
        <v>69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21">
      <c r="A19" s="8" t="s">
        <v>30</v>
      </c>
      <c r="B19" s="7" t="s">
        <v>200</v>
      </c>
      <c r="C19" s="7" t="s">
        <v>201</v>
      </c>
      <c r="D19" s="7" t="s">
        <v>202</v>
      </c>
      <c r="E19" s="7" t="s">
        <v>657</v>
      </c>
      <c r="F19" s="7" t="s">
        <v>283</v>
      </c>
      <c r="G19" s="14" t="s">
        <v>203</v>
      </c>
      <c r="H19" s="14" t="s">
        <v>83</v>
      </c>
      <c r="I19" s="14" t="s">
        <v>97</v>
      </c>
      <c r="J19" s="8"/>
      <c r="K19" s="14" t="s">
        <v>204</v>
      </c>
      <c r="L19" s="14" t="s">
        <v>58</v>
      </c>
      <c r="M19" s="14" t="s">
        <v>38</v>
      </c>
      <c r="N19" s="8"/>
      <c r="O19" s="14" t="s">
        <v>72</v>
      </c>
      <c r="P19" s="14" t="s">
        <v>15</v>
      </c>
      <c r="Q19" s="14" t="s">
        <v>16</v>
      </c>
      <c r="R19" s="8"/>
      <c r="S19" s="8" t="str">
        <f>"375,0"</f>
        <v>375,0</v>
      </c>
      <c r="T19" s="8" t="str">
        <f>"320,8125"</f>
        <v>320,8125</v>
      </c>
      <c r="U19" s="7" t="s">
        <v>144</v>
      </c>
    </row>
    <row r="20" spans="1:21">
      <c r="B20" s="5" t="s">
        <v>31</v>
      </c>
    </row>
    <row r="21" spans="1:21" ht="16">
      <c r="A21" s="33" t="s">
        <v>69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21">
      <c r="A22" s="8" t="s">
        <v>30</v>
      </c>
      <c r="B22" s="7" t="s">
        <v>205</v>
      </c>
      <c r="C22" s="7" t="s">
        <v>206</v>
      </c>
      <c r="D22" s="7" t="s">
        <v>207</v>
      </c>
      <c r="E22" s="7" t="s">
        <v>657</v>
      </c>
      <c r="F22" s="7" t="s">
        <v>283</v>
      </c>
      <c r="G22" s="14" t="s">
        <v>83</v>
      </c>
      <c r="H22" s="14" t="s">
        <v>20</v>
      </c>
      <c r="I22" s="8"/>
      <c r="J22" s="8"/>
      <c r="K22" s="14" t="s">
        <v>208</v>
      </c>
      <c r="L22" s="14" t="s">
        <v>209</v>
      </c>
      <c r="M22" s="14" t="s">
        <v>72</v>
      </c>
      <c r="N22" s="8"/>
      <c r="O22" s="14" t="s">
        <v>16</v>
      </c>
      <c r="P22" s="14" t="s">
        <v>97</v>
      </c>
      <c r="Q22" s="8"/>
      <c r="R22" s="8"/>
      <c r="S22" s="8" t="str">
        <f>"435,0"</f>
        <v>435,0</v>
      </c>
      <c r="T22" s="8" t="str">
        <f>"313,0695"</f>
        <v>313,0695</v>
      </c>
      <c r="U22" s="7" t="s">
        <v>144</v>
      </c>
    </row>
    <row r="23" spans="1:21">
      <c r="B23" s="5" t="s">
        <v>31</v>
      </c>
    </row>
    <row r="24" spans="1:21" ht="16">
      <c r="A24" s="33" t="s">
        <v>84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21">
      <c r="A25" s="17" t="s">
        <v>30</v>
      </c>
      <c r="B25" s="16" t="s">
        <v>210</v>
      </c>
      <c r="C25" s="16" t="s">
        <v>211</v>
      </c>
      <c r="D25" s="16" t="s">
        <v>212</v>
      </c>
      <c r="E25" s="16" t="s">
        <v>657</v>
      </c>
      <c r="F25" s="16" t="s">
        <v>36</v>
      </c>
      <c r="G25" s="22" t="s">
        <v>89</v>
      </c>
      <c r="H25" s="22" t="s">
        <v>90</v>
      </c>
      <c r="I25" s="17"/>
      <c r="J25" s="17"/>
      <c r="K25" s="23" t="s">
        <v>16</v>
      </c>
      <c r="L25" s="22" t="s">
        <v>16</v>
      </c>
      <c r="M25" s="22" t="s">
        <v>83</v>
      </c>
      <c r="N25" s="17"/>
      <c r="O25" s="23" t="s">
        <v>90</v>
      </c>
      <c r="P25" s="22" t="s">
        <v>90</v>
      </c>
      <c r="Q25" s="22" t="s">
        <v>213</v>
      </c>
      <c r="R25" s="17"/>
      <c r="S25" s="17" t="str">
        <f>"557,5"</f>
        <v>557,5</v>
      </c>
      <c r="T25" s="17" t="str">
        <f>"360,7861"</f>
        <v>360,7861</v>
      </c>
      <c r="U25" s="16"/>
    </row>
    <row r="26" spans="1:21">
      <c r="A26" s="19" t="s">
        <v>133</v>
      </c>
      <c r="B26" s="18" t="s">
        <v>214</v>
      </c>
      <c r="C26" s="18" t="s">
        <v>215</v>
      </c>
      <c r="D26" s="18" t="s">
        <v>216</v>
      </c>
      <c r="E26" s="18" t="s">
        <v>657</v>
      </c>
      <c r="F26" s="18" t="s">
        <v>283</v>
      </c>
      <c r="G26" s="24" t="s">
        <v>20</v>
      </c>
      <c r="H26" s="24" t="s">
        <v>21</v>
      </c>
      <c r="I26" s="24" t="s">
        <v>88</v>
      </c>
      <c r="J26" s="19"/>
      <c r="K26" s="24" t="s">
        <v>75</v>
      </c>
      <c r="L26" s="24" t="s">
        <v>72</v>
      </c>
      <c r="M26" s="25" t="s">
        <v>15</v>
      </c>
      <c r="N26" s="19"/>
      <c r="O26" s="24" t="s">
        <v>20</v>
      </c>
      <c r="P26" s="24" t="s">
        <v>88</v>
      </c>
      <c r="Q26" s="24" t="s">
        <v>89</v>
      </c>
      <c r="R26" s="19"/>
      <c r="S26" s="19" t="str">
        <f>"490,0"</f>
        <v>490,0</v>
      </c>
      <c r="T26" s="19" t="str">
        <f>"326,8300"</f>
        <v>326,8300</v>
      </c>
      <c r="U26" s="18" t="s">
        <v>144</v>
      </c>
    </row>
    <row r="27" spans="1:21">
      <c r="B27" s="5" t="s">
        <v>31</v>
      </c>
    </row>
    <row r="28" spans="1:21" ht="16">
      <c r="A28" s="33" t="s">
        <v>93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</row>
    <row r="29" spans="1:21">
      <c r="A29" s="17" t="s">
        <v>30</v>
      </c>
      <c r="B29" s="16" t="s">
        <v>217</v>
      </c>
      <c r="C29" s="16" t="s">
        <v>218</v>
      </c>
      <c r="D29" s="16" t="s">
        <v>219</v>
      </c>
      <c r="E29" s="16" t="s">
        <v>657</v>
      </c>
      <c r="F29" s="16" t="s">
        <v>283</v>
      </c>
      <c r="G29" s="22" t="s">
        <v>99</v>
      </c>
      <c r="H29" s="23" t="s">
        <v>121</v>
      </c>
      <c r="I29" s="22" t="s">
        <v>121</v>
      </c>
      <c r="J29" s="17"/>
      <c r="K29" s="22" t="s">
        <v>15</v>
      </c>
      <c r="L29" s="22" t="s">
        <v>16</v>
      </c>
      <c r="M29" s="23" t="s">
        <v>83</v>
      </c>
      <c r="N29" s="17"/>
      <c r="O29" s="22" t="s">
        <v>90</v>
      </c>
      <c r="P29" s="22" t="s">
        <v>91</v>
      </c>
      <c r="Q29" s="23" t="s">
        <v>121</v>
      </c>
      <c r="R29" s="17"/>
      <c r="S29" s="17" t="str">
        <f>"590,0"</f>
        <v>590,0</v>
      </c>
      <c r="T29" s="17" t="str">
        <f>"367,3340"</f>
        <v>367,3340</v>
      </c>
      <c r="U29" s="16" t="s">
        <v>144</v>
      </c>
    </row>
    <row r="30" spans="1:21">
      <c r="A30" s="21" t="s">
        <v>133</v>
      </c>
      <c r="B30" s="20" t="s">
        <v>220</v>
      </c>
      <c r="C30" s="20" t="s">
        <v>221</v>
      </c>
      <c r="D30" s="20" t="s">
        <v>222</v>
      </c>
      <c r="E30" s="20" t="s">
        <v>657</v>
      </c>
      <c r="F30" s="20" t="s">
        <v>631</v>
      </c>
      <c r="G30" s="26" t="s">
        <v>104</v>
      </c>
      <c r="H30" s="26" t="s">
        <v>142</v>
      </c>
      <c r="I30" s="26" t="s">
        <v>105</v>
      </c>
      <c r="J30" s="21"/>
      <c r="K30" s="26" t="s">
        <v>97</v>
      </c>
      <c r="L30" s="26" t="s">
        <v>119</v>
      </c>
      <c r="M30" s="27" t="s">
        <v>169</v>
      </c>
      <c r="N30" s="21"/>
      <c r="O30" s="26" t="s">
        <v>91</v>
      </c>
      <c r="P30" s="26" t="s">
        <v>121</v>
      </c>
      <c r="Q30" s="26" t="s">
        <v>92</v>
      </c>
      <c r="R30" s="21"/>
      <c r="S30" s="21" t="str">
        <f>"580,0"</f>
        <v>580,0</v>
      </c>
      <c r="T30" s="21" t="str">
        <f>"357,1060"</f>
        <v>357,1060</v>
      </c>
      <c r="U30" s="20"/>
    </row>
    <row r="31" spans="1:21">
      <c r="A31" s="19" t="s">
        <v>175</v>
      </c>
      <c r="B31" s="18" t="s">
        <v>223</v>
      </c>
      <c r="C31" s="18" t="s">
        <v>224</v>
      </c>
      <c r="D31" s="18" t="s">
        <v>225</v>
      </c>
      <c r="E31" s="18" t="s">
        <v>657</v>
      </c>
      <c r="F31" s="18" t="s">
        <v>36</v>
      </c>
      <c r="G31" s="25" t="s">
        <v>90</v>
      </c>
      <c r="H31" s="25" t="s">
        <v>226</v>
      </c>
      <c r="I31" s="24" t="s">
        <v>226</v>
      </c>
      <c r="J31" s="19"/>
      <c r="K31" s="24" t="s">
        <v>52</v>
      </c>
      <c r="L31" s="24" t="s">
        <v>73</v>
      </c>
      <c r="M31" s="25" t="s">
        <v>15</v>
      </c>
      <c r="N31" s="19"/>
      <c r="O31" s="24" t="s">
        <v>125</v>
      </c>
      <c r="P31" s="25" t="s">
        <v>227</v>
      </c>
      <c r="Q31" s="24" t="s">
        <v>227</v>
      </c>
      <c r="R31" s="19"/>
      <c r="S31" s="19" t="str">
        <f>"552,5"</f>
        <v>552,5</v>
      </c>
      <c r="T31" s="19" t="str">
        <f>"340,5886"</f>
        <v>340,5886</v>
      </c>
      <c r="U31" s="18" t="s">
        <v>582</v>
      </c>
    </row>
    <row r="32" spans="1:21">
      <c r="B32" s="5" t="s">
        <v>31</v>
      </c>
    </row>
    <row r="33" spans="1:21" ht="16">
      <c r="A33" s="33" t="s">
        <v>108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21">
      <c r="A34" s="17" t="s">
        <v>30</v>
      </c>
      <c r="B34" s="16" t="s">
        <v>228</v>
      </c>
      <c r="C34" s="16" t="s">
        <v>229</v>
      </c>
      <c r="D34" s="16" t="s">
        <v>147</v>
      </c>
      <c r="E34" s="16" t="s">
        <v>657</v>
      </c>
      <c r="F34" s="16" t="s">
        <v>283</v>
      </c>
      <c r="G34" s="22" t="s">
        <v>89</v>
      </c>
      <c r="H34" s="22" t="s">
        <v>125</v>
      </c>
      <c r="I34" s="22" t="s">
        <v>99</v>
      </c>
      <c r="J34" s="17"/>
      <c r="K34" s="22" t="s">
        <v>16</v>
      </c>
      <c r="L34" s="22" t="s">
        <v>17</v>
      </c>
      <c r="M34" s="22" t="s">
        <v>20</v>
      </c>
      <c r="N34" s="17"/>
      <c r="O34" s="22" t="s">
        <v>99</v>
      </c>
      <c r="P34" s="22" t="s">
        <v>120</v>
      </c>
      <c r="Q34" s="22" t="s">
        <v>121</v>
      </c>
      <c r="R34" s="17"/>
      <c r="S34" s="17" t="str">
        <f>"605,0"</f>
        <v>605,0</v>
      </c>
      <c r="T34" s="17" t="str">
        <f>"353,6528"</f>
        <v>353,6528</v>
      </c>
      <c r="U34" s="16" t="s">
        <v>144</v>
      </c>
    </row>
    <row r="35" spans="1:21">
      <c r="A35" s="19" t="s">
        <v>133</v>
      </c>
      <c r="B35" s="18" t="s">
        <v>230</v>
      </c>
      <c r="C35" s="18" t="s">
        <v>231</v>
      </c>
      <c r="D35" s="18" t="s">
        <v>232</v>
      </c>
      <c r="E35" s="18" t="s">
        <v>657</v>
      </c>
      <c r="F35" s="18" t="s">
        <v>36</v>
      </c>
      <c r="G35" s="24" t="s">
        <v>90</v>
      </c>
      <c r="H35" s="25" t="s">
        <v>91</v>
      </c>
      <c r="I35" s="25" t="s">
        <v>91</v>
      </c>
      <c r="J35" s="19"/>
      <c r="K35" s="25" t="s">
        <v>83</v>
      </c>
      <c r="L35" s="24" t="s">
        <v>83</v>
      </c>
      <c r="M35" s="25" t="s">
        <v>17</v>
      </c>
      <c r="N35" s="19"/>
      <c r="O35" s="24" t="s">
        <v>91</v>
      </c>
      <c r="P35" s="24" t="s">
        <v>92</v>
      </c>
      <c r="Q35" s="25" t="s">
        <v>233</v>
      </c>
      <c r="R35" s="19"/>
      <c r="S35" s="19" t="str">
        <f>"580,0"</f>
        <v>580,0</v>
      </c>
      <c r="T35" s="19" t="str">
        <f>"340,2570"</f>
        <v>340,2570</v>
      </c>
      <c r="U35" s="18" t="s">
        <v>582</v>
      </c>
    </row>
    <row r="36" spans="1:21">
      <c r="B36" s="5" t="s">
        <v>31</v>
      </c>
    </row>
    <row r="37" spans="1:21" ht="16">
      <c r="A37" s="33" t="s">
        <v>234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21">
      <c r="A38" s="8" t="s">
        <v>30</v>
      </c>
      <c r="B38" s="7" t="s">
        <v>235</v>
      </c>
      <c r="C38" s="7" t="s">
        <v>236</v>
      </c>
      <c r="D38" s="7" t="s">
        <v>237</v>
      </c>
      <c r="E38" s="7" t="s">
        <v>657</v>
      </c>
      <c r="F38" s="7" t="s">
        <v>283</v>
      </c>
      <c r="G38" s="14" t="s">
        <v>143</v>
      </c>
      <c r="H38" s="15" t="s">
        <v>148</v>
      </c>
      <c r="I38" s="14" t="s">
        <v>148</v>
      </c>
      <c r="J38" s="8"/>
      <c r="K38" s="14" t="s">
        <v>20</v>
      </c>
      <c r="L38" s="14" t="s">
        <v>21</v>
      </c>
      <c r="M38" s="14" t="s">
        <v>88</v>
      </c>
      <c r="N38" s="8"/>
      <c r="O38" s="14" t="s">
        <v>143</v>
      </c>
      <c r="P38" s="14" t="s">
        <v>238</v>
      </c>
      <c r="Q38" s="15" t="s">
        <v>151</v>
      </c>
      <c r="R38" s="8"/>
      <c r="S38" s="8" t="str">
        <f>"730,0"</f>
        <v>730,0</v>
      </c>
      <c r="T38" s="8" t="str">
        <f>"397,5507"</f>
        <v>397,5507</v>
      </c>
      <c r="U38" s="7" t="s">
        <v>144</v>
      </c>
    </row>
    <row r="39" spans="1:21">
      <c r="B39" s="5" t="s">
        <v>31</v>
      </c>
    </row>
    <row r="40" spans="1:21">
      <c r="B40" s="5" t="s">
        <v>31</v>
      </c>
    </row>
    <row r="41" spans="1:21">
      <c r="B41" s="5" t="s">
        <v>31</v>
      </c>
    </row>
    <row r="42" spans="1:21" ht="18">
      <c r="B42" s="9" t="s">
        <v>23</v>
      </c>
      <c r="C42" s="9"/>
      <c r="F42" s="3"/>
    </row>
    <row r="43" spans="1:21" ht="16">
      <c r="B43" s="10" t="s">
        <v>127</v>
      </c>
      <c r="C43" s="10"/>
      <c r="F43" s="3"/>
    </row>
    <row r="44" spans="1:21" ht="14">
      <c r="B44" s="11"/>
      <c r="C44" s="12" t="s">
        <v>24</v>
      </c>
      <c r="F44" s="3"/>
    </row>
    <row r="45" spans="1:21" ht="14">
      <c r="B45" s="13" t="s">
        <v>25</v>
      </c>
      <c r="C45" s="13" t="s">
        <v>26</v>
      </c>
      <c r="D45" s="13" t="s">
        <v>620</v>
      </c>
      <c r="E45" s="13" t="s">
        <v>27</v>
      </c>
      <c r="F45" s="13" t="s">
        <v>28</v>
      </c>
    </row>
    <row r="46" spans="1:21">
      <c r="B46" s="5" t="s">
        <v>235</v>
      </c>
      <c r="C46" s="5" t="s">
        <v>24</v>
      </c>
      <c r="D46" s="6" t="s">
        <v>240</v>
      </c>
      <c r="E46" s="6" t="s">
        <v>241</v>
      </c>
      <c r="F46" s="6" t="s">
        <v>242</v>
      </c>
    </row>
    <row r="47" spans="1:21">
      <c r="B47" s="5" t="s">
        <v>217</v>
      </c>
      <c r="C47" s="5" t="s">
        <v>24</v>
      </c>
      <c r="D47" s="6" t="s">
        <v>131</v>
      </c>
      <c r="E47" s="6" t="s">
        <v>243</v>
      </c>
      <c r="F47" s="6" t="s">
        <v>244</v>
      </c>
    </row>
    <row r="48" spans="1:21">
      <c r="B48" s="5" t="s">
        <v>210</v>
      </c>
      <c r="C48" s="5" t="s">
        <v>24</v>
      </c>
      <c r="D48" s="6" t="s">
        <v>130</v>
      </c>
      <c r="E48" s="6" t="s">
        <v>245</v>
      </c>
      <c r="F48" s="6" t="s">
        <v>246</v>
      </c>
    </row>
    <row r="49" spans="2:2">
      <c r="B49" s="5" t="s">
        <v>31</v>
      </c>
    </row>
  </sheetData>
  <mergeCells count="23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8:R28"/>
    <mergeCell ref="A33:R33"/>
    <mergeCell ref="A37:R37"/>
    <mergeCell ref="B3:B4"/>
    <mergeCell ref="A8:R8"/>
    <mergeCell ref="A11:R11"/>
    <mergeCell ref="A14:R14"/>
    <mergeCell ref="A18:R18"/>
    <mergeCell ref="A21:R21"/>
    <mergeCell ref="A24:R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U17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8.16406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9" bestFit="1" customWidth="1"/>
    <col min="20" max="20" width="8.5" style="6" bestFit="1" customWidth="1"/>
    <col min="21" max="21" width="23.33203125" style="5" customWidth="1"/>
    <col min="22" max="16384" width="9.1640625" style="3"/>
  </cols>
  <sheetData>
    <row r="1" spans="1:21" s="2" customFormat="1" ht="29" customHeight="1">
      <c r="A1" s="42" t="s">
        <v>642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7</v>
      </c>
      <c r="H3" s="34"/>
      <c r="I3" s="34"/>
      <c r="J3" s="34"/>
      <c r="K3" s="34" t="s">
        <v>8</v>
      </c>
      <c r="L3" s="34"/>
      <c r="M3" s="34"/>
      <c r="N3" s="34"/>
      <c r="O3" s="34" t="s">
        <v>9</v>
      </c>
      <c r="P3" s="34"/>
      <c r="Q3" s="34"/>
      <c r="R3" s="34"/>
      <c r="S3" s="53" t="s">
        <v>1</v>
      </c>
      <c r="T3" s="34" t="s">
        <v>3</v>
      </c>
      <c r="U3" s="36" t="s">
        <v>2</v>
      </c>
    </row>
    <row r="4" spans="1:21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4"/>
      <c r="T4" s="35"/>
      <c r="U4" s="37"/>
    </row>
    <row r="5" spans="1:21" ht="16">
      <c r="A5" s="38" t="s">
        <v>84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21">
      <c r="A6" s="17" t="s">
        <v>30</v>
      </c>
      <c r="B6" s="16" t="s">
        <v>134</v>
      </c>
      <c r="C6" s="16" t="s">
        <v>616</v>
      </c>
      <c r="D6" s="16" t="s">
        <v>135</v>
      </c>
      <c r="E6" s="16" t="s">
        <v>661</v>
      </c>
      <c r="F6" s="16" t="s">
        <v>14</v>
      </c>
      <c r="G6" s="22" t="s">
        <v>21</v>
      </c>
      <c r="H6" s="22" t="s">
        <v>88</v>
      </c>
      <c r="I6" s="23" t="s">
        <v>136</v>
      </c>
      <c r="J6" s="17"/>
      <c r="K6" s="22" t="s">
        <v>78</v>
      </c>
      <c r="L6" s="22" t="s">
        <v>72</v>
      </c>
      <c r="M6" s="17"/>
      <c r="N6" s="17"/>
      <c r="O6" s="22" t="s">
        <v>91</v>
      </c>
      <c r="P6" s="22" t="s">
        <v>121</v>
      </c>
      <c r="Q6" s="22" t="s">
        <v>92</v>
      </c>
      <c r="R6" s="17"/>
      <c r="S6" s="30" t="str">
        <f>"535,0"</f>
        <v>535,0</v>
      </c>
      <c r="T6" s="17" t="str">
        <f>"346,4928"</f>
        <v>346,4928</v>
      </c>
      <c r="U6" s="16"/>
    </row>
    <row r="7" spans="1:21">
      <c r="A7" s="19" t="s">
        <v>30</v>
      </c>
      <c r="B7" s="18" t="s">
        <v>137</v>
      </c>
      <c r="C7" s="18" t="s">
        <v>138</v>
      </c>
      <c r="D7" s="18" t="s">
        <v>139</v>
      </c>
      <c r="E7" s="18" t="s">
        <v>657</v>
      </c>
      <c r="F7" s="18" t="s">
        <v>283</v>
      </c>
      <c r="G7" s="24" t="s">
        <v>140</v>
      </c>
      <c r="H7" s="25" t="s">
        <v>141</v>
      </c>
      <c r="I7" s="25" t="s">
        <v>141</v>
      </c>
      <c r="J7" s="19"/>
      <c r="K7" s="24" t="s">
        <v>20</v>
      </c>
      <c r="L7" s="24" t="s">
        <v>21</v>
      </c>
      <c r="M7" s="24" t="s">
        <v>142</v>
      </c>
      <c r="N7" s="19"/>
      <c r="O7" s="24" t="s">
        <v>141</v>
      </c>
      <c r="P7" s="25" t="s">
        <v>143</v>
      </c>
      <c r="Q7" s="25" t="s">
        <v>143</v>
      </c>
      <c r="R7" s="19"/>
      <c r="S7" s="31" t="str">
        <f>"665,0"</f>
        <v>665,0</v>
      </c>
      <c r="T7" s="19" t="str">
        <f>"432,0837"</f>
        <v>432,0837</v>
      </c>
      <c r="U7" s="18" t="s">
        <v>144</v>
      </c>
    </row>
    <row r="8" spans="1:21">
      <c r="B8" s="5" t="s">
        <v>31</v>
      </c>
    </row>
    <row r="9" spans="1:21" ht="16">
      <c r="A9" s="33" t="s">
        <v>108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21">
      <c r="A10" s="17" t="s">
        <v>30</v>
      </c>
      <c r="B10" s="16" t="s">
        <v>145</v>
      </c>
      <c r="C10" s="16" t="s">
        <v>146</v>
      </c>
      <c r="D10" s="16" t="s">
        <v>147</v>
      </c>
      <c r="E10" s="16" t="s">
        <v>657</v>
      </c>
      <c r="F10" s="16" t="s">
        <v>14</v>
      </c>
      <c r="G10" s="22" t="s">
        <v>148</v>
      </c>
      <c r="H10" s="22" t="s">
        <v>149</v>
      </c>
      <c r="I10" s="23" t="s">
        <v>150</v>
      </c>
      <c r="J10" s="17"/>
      <c r="K10" s="22" t="s">
        <v>21</v>
      </c>
      <c r="L10" s="22" t="s">
        <v>105</v>
      </c>
      <c r="M10" s="23" t="s">
        <v>136</v>
      </c>
      <c r="N10" s="17"/>
      <c r="O10" s="22" t="s">
        <v>151</v>
      </c>
      <c r="P10" s="23" t="s">
        <v>152</v>
      </c>
      <c r="Q10" s="17"/>
      <c r="R10" s="17"/>
      <c r="S10" s="30" t="str">
        <f>"772,5"</f>
        <v>772,5</v>
      </c>
      <c r="T10" s="17" t="str">
        <f>"451,5649"</f>
        <v>451,5649</v>
      </c>
      <c r="U10" s="16" t="s">
        <v>153</v>
      </c>
    </row>
    <row r="11" spans="1:21">
      <c r="A11" s="21" t="s">
        <v>133</v>
      </c>
      <c r="B11" s="20" t="s">
        <v>154</v>
      </c>
      <c r="C11" s="20" t="s">
        <v>155</v>
      </c>
      <c r="D11" s="20" t="s">
        <v>156</v>
      </c>
      <c r="E11" s="20" t="s">
        <v>657</v>
      </c>
      <c r="F11" s="20" t="s">
        <v>36</v>
      </c>
      <c r="G11" s="27" t="s">
        <v>141</v>
      </c>
      <c r="H11" s="27" t="s">
        <v>141</v>
      </c>
      <c r="I11" s="26" t="s">
        <v>141</v>
      </c>
      <c r="J11" s="21"/>
      <c r="K11" s="26" t="s">
        <v>16</v>
      </c>
      <c r="L11" s="26" t="s">
        <v>83</v>
      </c>
      <c r="M11" s="26" t="s">
        <v>17</v>
      </c>
      <c r="N11" s="21"/>
      <c r="O11" s="26" t="s">
        <v>157</v>
      </c>
      <c r="P11" s="27" t="s">
        <v>158</v>
      </c>
      <c r="Q11" s="26" t="s">
        <v>158</v>
      </c>
      <c r="R11" s="21"/>
      <c r="S11" s="32" t="str">
        <f>"687,5"</f>
        <v>687,5</v>
      </c>
      <c r="T11" s="21" t="str">
        <f>"402,0500"</f>
        <v>402,0500</v>
      </c>
      <c r="U11" s="20" t="s">
        <v>159</v>
      </c>
    </row>
    <row r="12" spans="1:21">
      <c r="A12" s="19" t="s">
        <v>175</v>
      </c>
      <c r="B12" s="18" t="s">
        <v>160</v>
      </c>
      <c r="C12" s="18" t="s">
        <v>161</v>
      </c>
      <c r="D12" s="18" t="s">
        <v>162</v>
      </c>
      <c r="E12" s="18" t="s">
        <v>657</v>
      </c>
      <c r="F12" s="18" t="s">
        <v>623</v>
      </c>
      <c r="G12" s="24" t="s">
        <v>92</v>
      </c>
      <c r="H12" s="24" t="s">
        <v>140</v>
      </c>
      <c r="I12" s="24" t="s">
        <v>126</v>
      </c>
      <c r="J12" s="19"/>
      <c r="K12" s="24" t="s">
        <v>21</v>
      </c>
      <c r="L12" s="24" t="s">
        <v>116</v>
      </c>
      <c r="M12" s="25" t="s">
        <v>142</v>
      </c>
      <c r="N12" s="19"/>
      <c r="O12" s="24" t="s">
        <v>163</v>
      </c>
      <c r="P12" s="24" t="s">
        <v>164</v>
      </c>
      <c r="Q12" s="25" t="s">
        <v>157</v>
      </c>
      <c r="R12" s="19"/>
      <c r="S12" s="31" t="str">
        <f>"687,5"</f>
        <v>687,5</v>
      </c>
      <c r="T12" s="19" t="str">
        <f>"401,0187"</f>
        <v>401,0187</v>
      </c>
      <c r="U12" s="18"/>
    </row>
    <row r="13" spans="1:21">
      <c r="B13" s="5" t="s">
        <v>31</v>
      </c>
    </row>
    <row r="14" spans="1:21" ht="16">
      <c r="A14" s="33" t="s">
        <v>165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21">
      <c r="A15" s="17" t="s">
        <v>30</v>
      </c>
      <c r="B15" s="16" t="s">
        <v>166</v>
      </c>
      <c r="C15" s="16" t="s">
        <v>167</v>
      </c>
      <c r="D15" s="16" t="s">
        <v>168</v>
      </c>
      <c r="E15" s="16" t="s">
        <v>658</v>
      </c>
      <c r="F15" s="16" t="s">
        <v>56</v>
      </c>
      <c r="G15" s="23" t="s">
        <v>121</v>
      </c>
      <c r="H15" s="23" t="s">
        <v>121</v>
      </c>
      <c r="I15" s="22" t="s">
        <v>121</v>
      </c>
      <c r="J15" s="17"/>
      <c r="K15" s="22" t="s">
        <v>97</v>
      </c>
      <c r="L15" s="22" t="s">
        <v>119</v>
      </c>
      <c r="M15" s="22" t="s">
        <v>169</v>
      </c>
      <c r="N15" s="17"/>
      <c r="O15" s="22" t="s">
        <v>99</v>
      </c>
      <c r="P15" s="22" t="s">
        <v>121</v>
      </c>
      <c r="Q15" s="22" t="s">
        <v>140</v>
      </c>
      <c r="R15" s="17"/>
      <c r="S15" s="30" t="str">
        <f>"637,5"</f>
        <v>637,5</v>
      </c>
      <c r="T15" s="17" t="str">
        <f>"397,5384"</f>
        <v>397,5384</v>
      </c>
      <c r="U15" s="16"/>
    </row>
    <row r="16" spans="1:21">
      <c r="A16" s="19" t="s">
        <v>176</v>
      </c>
      <c r="B16" s="18" t="s">
        <v>170</v>
      </c>
      <c r="C16" s="18" t="s">
        <v>171</v>
      </c>
      <c r="D16" s="18" t="s">
        <v>172</v>
      </c>
      <c r="E16" s="18" t="s">
        <v>658</v>
      </c>
      <c r="F16" s="18" t="s">
        <v>14</v>
      </c>
      <c r="G16" s="25" t="s">
        <v>88</v>
      </c>
      <c r="H16" s="25" t="s">
        <v>89</v>
      </c>
      <c r="I16" s="25" t="s">
        <v>89</v>
      </c>
      <c r="J16" s="19"/>
      <c r="K16" s="25"/>
      <c r="L16" s="25"/>
      <c r="M16" s="19"/>
      <c r="N16" s="19"/>
      <c r="O16" s="25"/>
      <c r="P16" s="19"/>
      <c r="Q16" s="19"/>
      <c r="R16" s="19"/>
      <c r="S16" s="31">
        <v>0</v>
      </c>
      <c r="T16" s="19" t="str">
        <f>"0,0000"</f>
        <v>0,0000</v>
      </c>
      <c r="U16" s="18"/>
    </row>
    <row r="17" spans="2:2">
      <c r="B17" s="5" t="s">
        <v>31</v>
      </c>
    </row>
  </sheetData>
  <mergeCells count="16"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9:R9"/>
    <mergeCell ref="A14:R14"/>
    <mergeCell ref="B3:B4"/>
    <mergeCell ref="S3:S4"/>
    <mergeCell ref="T3:T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11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1.83203125" style="5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2.33203125" style="5" customWidth="1"/>
    <col min="18" max="16384" width="9.1640625" style="3"/>
  </cols>
  <sheetData>
    <row r="1" spans="1:17" s="2" customFormat="1" ht="29" customHeight="1">
      <c r="A1" s="42" t="s">
        <v>643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8</v>
      </c>
      <c r="H3" s="34"/>
      <c r="I3" s="34"/>
      <c r="J3" s="34"/>
      <c r="K3" s="34" t="s">
        <v>9</v>
      </c>
      <c r="L3" s="34"/>
      <c r="M3" s="34"/>
      <c r="N3" s="34"/>
      <c r="O3" s="34" t="s">
        <v>1</v>
      </c>
      <c r="P3" s="34" t="s">
        <v>3</v>
      </c>
      <c r="Q3" s="36" t="s">
        <v>2</v>
      </c>
    </row>
    <row r="4" spans="1:17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5"/>
      <c r="P4" s="35"/>
      <c r="Q4" s="37"/>
    </row>
    <row r="5" spans="1:17" ht="16">
      <c r="A5" s="38" t="s">
        <v>60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7">
      <c r="A6" s="8" t="s">
        <v>30</v>
      </c>
      <c r="B6" s="7" t="s">
        <v>473</v>
      </c>
      <c r="C6" s="7" t="s">
        <v>598</v>
      </c>
      <c r="D6" s="7" t="s">
        <v>474</v>
      </c>
      <c r="E6" s="7" t="s">
        <v>661</v>
      </c>
      <c r="F6" s="7" t="s">
        <v>475</v>
      </c>
      <c r="G6" s="14" t="s">
        <v>65</v>
      </c>
      <c r="H6" s="14" t="s">
        <v>326</v>
      </c>
      <c r="I6" s="15" t="s">
        <v>57</v>
      </c>
      <c r="J6" s="8"/>
      <c r="K6" s="14" t="s">
        <v>17</v>
      </c>
      <c r="L6" s="14" t="s">
        <v>97</v>
      </c>
      <c r="M6" s="14" t="s">
        <v>119</v>
      </c>
      <c r="N6" s="8"/>
      <c r="O6" s="8" t="str">
        <f>"230,0"</f>
        <v>230,0</v>
      </c>
      <c r="P6" s="8" t="str">
        <f>"230,2300"</f>
        <v>230,2300</v>
      </c>
      <c r="Q6" s="7" t="s">
        <v>476</v>
      </c>
    </row>
    <row r="7" spans="1:17">
      <c r="B7" s="5" t="s">
        <v>31</v>
      </c>
    </row>
    <row r="8" spans="1:17" ht="16">
      <c r="A8" s="33" t="s">
        <v>93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7">
      <c r="A9" s="17" t="s">
        <v>30</v>
      </c>
      <c r="B9" s="16" t="s">
        <v>477</v>
      </c>
      <c r="C9" s="16" t="s">
        <v>478</v>
      </c>
      <c r="D9" s="16" t="s">
        <v>479</v>
      </c>
      <c r="E9" s="16" t="s">
        <v>657</v>
      </c>
      <c r="F9" s="16" t="s">
        <v>436</v>
      </c>
      <c r="G9" s="22" t="s">
        <v>16</v>
      </c>
      <c r="H9" s="23" t="s">
        <v>83</v>
      </c>
      <c r="I9" s="22" t="s">
        <v>83</v>
      </c>
      <c r="J9" s="17"/>
      <c r="K9" s="22" t="s">
        <v>226</v>
      </c>
      <c r="L9" s="22" t="s">
        <v>91</v>
      </c>
      <c r="M9" s="22" t="s">
        <v>121</v>
      </c>
      <c r="N9" s="17"/>
      <c r="O9" s="17" t="str">
        <f>"375,0"</f>
        <v>375,0</v>
      </c>
      <c r="P9" s="17" t="str">
        <f>"233,9437"</f>
        <v>233,9437</v>
      </c>
      <c r="Q9" s="16" t="s">
        <v>621</v>
      </c>
    </row>
    <row r="10" spans="1:17">
      <c r="A10" s="19" t="s">
        <v>133</v>
      </c>
      <c r="B10" s="18" t="s">
        <v>453</v>
      </c>
      <c r="C10" s="18" t="s">
        <v>454</v>
      </c>
      <c r="D10" s="18" t="s">
        <v>455</v>
      </c>
      <c r="E10" s="18" t="s">
        <v>657</v>
      </c>
      <c r="F10" s="18" t="s">
        <v>292</v>
      </c>
      <c r="G10" s="24" t="s">
        <v>72</v>
      </c>
      <c r="H10" s="24" t="s">
        <v>381</v>
      </c>
      <c r="I10" s="25" t="s">
        <v>196</v>
      </c>
      <c r="J10" s="19"/>
      <c r="K10" s="24" t="s">
        <v>91</v>
      </c>
      <c r="L10" s="24" t="s">
        <v>121</v>
      </c>
      <c r="M10" s="25" t="s">
        <v>92</v>
      </c>
      <c r="N10" s="19"/>
      <c r="O10" s="19" t="str">
        <f>"357,5"</f>
        <v>357,5</v>
      </c>
      <c r="P10" s="19" t="str">
        <f>"220,6847"</f>
        <v>220,6847</v>
      </c>
      <c r="Q10" s="18"/>
    </row>
    <row r="11" spans="1:17">
      <c r="B11" s="5" t="s">
        <v>31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10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8.1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0.1640625" style="5" customWidth="1"/>
    <col min="18" max="16384" width="9.1640625" style="3"/>
  </cols>
  <sheetData>
    <row r="1" spans="1:17" s="2" customFormat="1" ht="29" customHeight="1">
      <c r="A1" s="42" t="s">
        <v>644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8</v>
      </c>
      <c r="H3" s="34"/>
      <c r="I3" s="34"/>
      <c r="J3" s="34"/>
      <c r="K3" s="34" t="s">
        <v>9</v>
      </c>
      <c r="L3" s="34"/>
      <c r="M3" s="34"/>
      <c r="N3" s="34"/>
      <c r="O3" s="34" t="s">
        <v>1</v>
      </c>
      <c r="P3" s="34" t="s">
        <v>3</v>
      </c>
      <c r="Q3" s="36" t="s">
        <v>2</v>
      </c>
    </row>
    <row r="4" spans="1:17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5"/>
      <c r="P4" s="35"/>
      <c r="Q4" s="37"/>
    </row>
    <row r="5" spans="1:17" ht="16">
      <c r="A5" s="38" t="s">
        <v>108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7">
      <c r="A6" s="8" t="s">
        <v>30</v>
      </c>
      <c r="B6" s="7" t="s">
        <v>145</v>
      </c>
      <c r="C6" s="7" t="s">
        <v>146</v>
      </c>
      <c r="D6" s="7" t="s">
        <v>147</v>
      </c>
      <c r="E6" s="7" t="s">
        <v>657</v>
      </c>
      <c r="F6" s="7" t="s">
        <v>14</v>
      </c>
      <c r="G6" s="14" t="s">
        <v>21</v>
      </c>
      <c r="H6" s="14" t="s">
        <v>105</v>
      </c>
      <c r="I6" s="15" t="s">
        <v>136</v>
      </c>
      <c r="J6" s="8"/>
      <c r="K6" s="14" t="s">
        <v>151</v>
      </c>
      <c r="L6" s="15" t="s">
        <v>152</v>
      </c>
      <c r="M6" s="8"/>
      <c r="N6" s="8"/>
      <c r="O6" s="8" t="str">
        <f>"482,5"</f>
        <v>482,5</v>
      </c>
      <c r="P6" s="8" t="str">
        <f>"282,0454"</f>
        <v>282,0454</v>
      </c>
      <c r="Q6" s="7" t="s">
        <v>153</v>
      </c>
    </row>
    <row r="7" spans="1:17">
      <c r="B7" s="5" t="s">
        <v>31</v>
      </c>
    </row>
    <row r="8" spans="1:17" ht="16">
      <c r="A8" s="33" t="s">
        <v>165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7">
      <c r="A9" s="8" t="s">
        <v>176</v>
      </c>
      <c r="B9" s="7" t="s">
        <v>170</v>
      </c>
      <c r="C9" s="7" t="s">
        <v>171</v>
      </c>
      <c r="D9" s="7" t="s">
        <v>172</v>
      </c>
      <c r="E9" s="7" t="s">
        <v>658</v>
      </c>
      <c r="F9" s="7" t="s">
        <v>14</v>
      </c>
      <c r="G9" s="15" t="s">
        <v>20</v>
      </c>
      <c r="H9" s="15" t="s">
        <v>20</v>
      </c>
      <c r="I9" s="8"/>
      <c r="J9" s="8"/>
      <c r="K9" s="15"/>
      <c r="L9" s="8"/>
      <c r="M9" s="8"/>
      <c r="N9" s="8"/>
      <c r="O9" s="28">
        <v>0</v>
      </c>
      <c r="P9" s="8" t="str">
        <f>"0,0000"</f>
        <v>0,0000</v>
      </c>
      <c r="Q9" s="7"/>
    </row>
    <row r="10" spans="1:17">
      <c r="B10" s="5" t="s">
        <v>31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66406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4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33203125" style="5" customWidth="1"/>
    <col min="14" max="16384" width="9.1640625" style="3"/>
  </cols>
  <sheetData>
    <row r="1" spans="1:13" s="2" customFormat="1" ht="29" customHeight="1">
      <c r="A1" s="42" t="s">
        <v>645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7</v>
      </c>
      <c r="H3" s="34"/>
      <c r="I3" s="34"/>
      <c r="J3" s="34"/>
      <c r="K3" s="34" t="s">
        <v>311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60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30</v>
      </c>
      <c r="B6" s="7" t="s">
        <v>197</v>
      </c>
      <c r="C6" s="7" t="s">
        <v>198</v>
      </c>
      <c r="D6" s="7" t="s">
        <v>199</v>
      </c>
      <c r="E6" s="7" t="s">
        <v>658</v>
      </c>
      <c r="F6" s="7" t="s">
        <v>103</v>
      </c>
      <c r="G6" s="15" t="s">
        <v>72</v>
      </c>
      <c r="H6" s="14" t="s">
        <v>72</v>
      </c>
      <c r="I6" s="14" t="s">
        <v>15</v>
      </c>
      <c r="J6" s="8"/>
      <c r="K6" s="8" t="str">
        <f>"130,0"</f>
        <v>130,0</v>
      </c>
      <c r="L6" s="8" t="str">
        <f>"133,2763"</f>
        <v>133,2763</v>
      </c>
      <c r="M6" s="7" t="s">
        <v>107</v>
      </c>
    </row>
    <row r="7" spans="1:13">
      <c r="B7" s="5" t="s">
        <v>31</v>
      </c>
    </row>
    <row r="8" spans="1:13" ht="16">
      <c r="A8" s="33" t="s">
        <v>84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30</v>
      </c>
      <c r="B9" s="7" t="s">
        <v>210</v>
      </c>
      <c r="C9" s="7" t="s">
        <v>211</v>
      </c>
      <c r="D9" s="7" t="s">
        <v>212</v>
      </c>
      <c r="E9" s="7" t="s">
        <v>657</v>
      </c>
      <c r="F9" s="7" t="s">
        <v>36</v>
      </c>
      <c r="G9" s="14" t="s">
        <v>89</v>
      </c>
      <c r="H9" s="14" t="s">
        <v>90</v>
      </c>
      <c r="I9" s="8"/>
      <c r="J9" s="8"/>
      <c r="K9" s="8" t="str">
        <f>"200,0"</f>
        <v>200,0</v>
      </c>
      <c r="L9" s="8" t="str">
        <f>"129,4300"</f>
        <v>129,4300</v>
      </c>
      <c r="M9" s="7"/>
    </row>
    <row r="10" spans="1:13">
      <c r="B10" s="5" t="s">
        <v>31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87"/>
  <sheetViews>
    <sheetView topLeftCell="A33" workbookViewId="0">
      <selection activeCell="E66" sqref="E66"/>
    </sheetView>
  </sheetViews>
  <sheetFormatPr baseColWidth="10" defaultColWidth="9.1640625" defaultRowHeight="13"/>
  <cols>
    <col min="1" max="1" width="7.5" style="5" bestFit="1" customWidth="1"/>
    <col min="2" max="2" width="23.832031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6.6640625" style="5" customWidth="1"/>
    <col min="7" max="9" width="5.5" style="6" customWidth="1"/>
    <col min="10" max="10" width="4.83203125" style="6" customWidth="1"/>
    <col min="11" max="11" width="10.5" style="29" bestFit="1" customWidth="1"/>
    <col min="12" max="12" width="8.5" style="6" bestFit="1" customWidth="1"/>
    <col min="13" max="13" width="32.83203125" style="5" bestFit="1" customWidth="1"/>
    <col min="14" max="16384" width="9.1640625" style="3"/>
  </cols>
  <sheetData>
    <row r="1" spans="1:13" s="2" customFormat="1" ht="29" customHeight="1">
      <c r="A1" s="42" t="s">
        <v>646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8</v>
      </c>
      <c r="H3" s="34"/>
      <c r="I3" s="34"/>
      <c r="J3" s="34"/>
      <c r="K3" s="53" t="s">
        <v>311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54"/>
      <c r="L4" s="35"/>
      <c r="M4" s="37"/>
    </row>
    <row r="5" spans="1:13" ht="16">
      <c r="A5" s="38" t="s">
        <v>46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17" t="s">
        <v>30</v>
      </c>
      <c r="B6" s="16" t="s">
        <v>312</v>
      </c>
      <c r="C6" s="16" t="s">
        <v>313</v>
      </c>
      <c r="D6" s="16" t="s">
        <v>314</v>
      </c>
      <c r="E6" s="16" t="s">
        <v>657</v>
      </c>
      <c r="F6" s="16" t="s">
        <v>315</v>
      </c>
      <c r="G6" s="22" t="s">
        <v>64</v>
      </c>
      <c r="H6" s="22" t="s">
        <v>66</v>
      </c>
      <c r="I6" s="23" t="s">
        <v>57</v>
      </c>
      <c r="J6" s="17"/>
      <c r="K6" s="30" t="str">
        <f>"65,0"</f>
        <v>65,0</v>
      </c>
      <c r="L6" s="17" t="str">
        <f>"72,8780"</f>
        <v>72,8780</v>
      </c>
      <c r="M6" s="16" t="s">
        <v>624</v>
      </c>
    </row>
    <row r="7" spans="1:13">
      <c r="A7" s="19" t="s">
        <v>133</v>
      </c>
      <c r="B7" s="18" t="s">
        <v>316</v>
      </c>
      <c r="C7" s="18" t="s">
        <v>317</v>
      </c>
      <c r="D7" s="18" t="s">
        <v>318</v>
      </c>
      <c r="E7" s="18" t="s">
        <v>657</v>
      </c>
      <c r="F7" s="18" t="s">
        <v>36</v>
      </c>
      <c r="G7" s="24" t="s">
        <v>42</v>
      </c>
      <c r="H7" s="24" t="s">
        <v>50</v>
      </c>
      <c r="I7" s="24" t="s">
        <v>191</v>
      </c>
      <c r="J7" s="19"/>
      <c r="K7" s="31" t="str">
        <f>"57,5"</f>
        <v>57,5</v>
      </c>
      <c r="L7" s="19" t="str">
        <f>"65,5787"</f>
        <v>65,5787</v>
      </c>
      <c r="M7" s="18" t="s">
        <v>625</v>
      </c>
    </row>
    <row r="8" spans="1:13">
      <c r="B8" s="5" t="s">
        <v>31</v>
      </c>
    </row>
    <row r="9" spans="1:13" ht="16">
      <c r="A9" s="33" t="s">
        <v>60</v>
      </c>
      <c r="B9" s="33"/>
      <c r="C9" s="33"/>
      <c r="D9" s="33"/>
      <c r="E9" s="33"/>
      <c r="F9" s="33"/>
      <c r="G9" s="33"/>
      <c r="H9" s="33"/>
      <c r="I9" s="33"/>
      <c r="J9" s="33"/>
    </row>
    <row r="10" spans="1:13">
      <c r="A10" s="17" t="s">
        <v>30</v>
      </c>
      <c r="B10" s="16" t="s">
        <v>247</v>
      </c>
      <c r="C10" s="16" t="s">
        <v>602</v>
      </c>
      <c r="D10" s="16" t="s">
        <v>248</v>
      </c>
      <c r="E10" s="16" t="s">
        <v>661</v>
      </c>
      <c r="F10" s="16" t="s">
        <v>14</v>
      </c>
      <c r="G10" s="22" t="s">
        <v>58</v>
      </c>
      <c r="H10" s="22" t="s">
        <v>38</v>
      </c>
      <c r="I10" s="23" t="s">
        <v>43</v>
      </c>
      <c r="J10" s="17"/>
      <c r="K10" s="30" t="str">
        <f>"80,0"</f>
        <v>80,0</v>
      </c>
      <c r="L10" s="17" t="str">
        <f>"79,3280"</f>
        <v>79,3280</v>
      </c>
      <c r="M10" s="16" t="s">
        <v>249</v>
      </c>
    </row>
    <row r="11" spans="1:13">
      <c r="A11" s="21" t="s">
        <v>30</v>
      </c>
      <c r="B11" s="20" t="s">
        <v>247</v>
      </c>
      <c r="C11" s="20" t="s">
        <v>319</v>
      </c>
      <c r="D11" s="20" t="s">
        <v>248</v>
      </c>
      <c r="E11" s="20" t="s">
        <v>657</v>
      </c>
      <c r="F11" s="20" t="s">
        <v>14</v>
      </c>
      <c r="G11" s="26" t="s">
        <v>58</v>
      </c>
      <c r="H11" s="26" t="s">
        <v>38</v>
      </c>
      <c r="I11" s="27" t="s">
        <v>43</v>
      </c>
      <c r="J11" s="21"/>
      <c r="K11" s="32" t="str">
        <f>"80,0"</f>
        <v>80,0</v>
      </c>
      <c r="L11" s="21" t="str">
        <f>"79,3280"</f>
        <v>79,3280</v>
      </c>
      <c r="M11" s="20" t="s">
        <v>249</v>
      </c>
    </row>
    <row r="12" spans="1:13">
      <c r="A12" s="19" t="s">
        <v>133</v>
      </c>
      <c r="B12" s="18" t="s">
        <v>320</v>
      </c>
      <c r="C12" s="18" t="s">
        <v>321</v>
      </c>
      <c r="D12" s="18" t="s">
        <v>322</v>
      </c>
      <c r="E12" s="18" t="s">
        <v>657</v>
      </c>
      <c r="F12" s="18" t="s">
        <v>323</v>
      </c>
      <c r="G12" s="24" t="s">
        <v>57</v>
      </c>
      <c r="H12" s="25" t="s">
        <v>37</v>
      </c>
      <c r="I12" s="25" t="s">
        <v>37</v>
      </c>
      <c r="J12" s="19"/>
      <c r="K12" s="31" t="str">
        <f>"70,0"</f>
        <v>70,0</v>
      </c>
      <c r="L12" s="19" t="str">
        <f>"69,9790"</f>
        <v>69,9790</v>
      </c>
      <c r="M12" s="18" t="s">
        <v>583</v>
      </c>
    </row>
    <row r="13" spans="1:13">
      <c r="B13" s="5" t="s">
        <v>31</v>
      </c>
    </row>
    <row r="14" spans="1:13" ht="16">
      <c r="A14" s="33" t="s">
        <v>181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3">
      <c r="A15" s="17" t="s">
        <v>30</v>
      </c>
      <c r="B15" s="16" t="s">
        <v>324</v>
      </c>
      <c r="C15" s="16" t="s">
        <v>603</v>
      </c>
      <c r="D15" s="16" t="s">
        <v>325</v>
      </c>
      <c r="E15" s="16" t="s">
        <v>663</v>
      </c>
      <c r="F15" s="16" t="s">
        <v>56</v>
      </c>
      <c r="G15" s="22" t="s">
        <v>64</v>
      </c>
      <c r="H15" s="22" t="s">
        <v>66</v>
      </c>
      <c r="I15" s="22" t="s">
        <v>326</v>
      </c>
      <c r="J15" s="17"/>
      <c r="K15" s="30" t="str">
        <f>"67,5"</f>
        <v>67,5</v>
      </c>
      <c r="L15" s="17" t="str">
        <f>"62,7311"</f>
        <v>62,7311</v>
      </c>
      <c r="M15" s="16" t="s">
        <v>626</v>
      </c>
    </row>
    <row r="16" spans="1:13">
      <c r="A16" s="21" t="s">
        <v>133</v>
      </c>
      <c r="B16" s="20" t="s">
        <v>327</v>
      </c>
      <c r="C16" s="20" t="s">
        <v>604</v>
      </c>
      <c r="D16" s="20" t="s">
        <v>328</v>
      </c>
      <c r="E16" s="20" t="s">
        <v>663</v>
      </c>
      <c r="F16" s="20" t="s">
        <v>56</v>
      </c>
      <c r="G16" s="26" t="s">
        <v>186</v>
      </c>
      <c r="H16" s="26" t="s">
        <v>41</v>
      </c>
      <c r="I16" s="27" t="s">
        <v>42</v>
      </c>
      <c r="J16" s="21"/>
      <c r="K16" s="32" t="str">
        <f>"40,0"</f>
        <v>40,0</v>
      </c>
      <c r="L16" s="21" t="str">
        <f>"37,7780"</f>
        <v>37,7780</v>
      </c>
      <c r="M16" s="20" t="s">
        <v>626</v>
      </c>
    </row>
    <row r="17" spans="1:13">
      <c r="A17" s="21" t="s">
        <v>30</v>
      </c>
      <c r="B17" s="20" t="s">
        <v>329</v>
      </c>
      <c r="C17" s="20" t="s">
        <v>586</v>
      </c>
      <c r="D17" s="20" t="s">
        <v>330</v>
      </c>
      <c r="E17" s="20" t="s">
        <v>661</v>
      </c>
      <c r="F17" s="20" t="s">
        <v>103</v>
      </c>
      <c r="G17" s="26" t="s">
        <v>64</v>
      </c>
      <c r="H17" s="26" t="s">
        <v>66</v>
      </c>
      <c r="I17" s="21"/>
      <c r="J17" s="21"/>
      <c r="K17" s="32" t="str">
        <f>"65,0"</f>
        <v>65,0</v>
      </c>
      <c r="L17" s="21" t="str">
        <f>"58,6722"</f>
        <v>58,6722</v>
      </c>
      <c r="M17" s="20" t="s">
        <v>187</v>
      </c>
    </row>
    <row r="18" spans="1:13">
      <c r="A18" s="19" t="s">
        <v>133</v>
      </c>
      <c r="B18" s="18" t="s">
        <v>331</v>
      </c>
      <c r="C18" s="18" t="s">
        <v>587</v>
      </c>
      <c r="D18" s="18" t="s">
        <v>332</v>
      </c>
      <c r="E18" s="18" t="s">
        <v>661</v>
      </c>
      <c r="F18" s="18" t="s">
        <v>103</v>
      </c>
      <c r="G18" s="24" t="s">
        <v>184</v>
      </c>
      <c r="H18" s="24" t="s">
        <v>64</v>
      </c>
      <c r="I18" s="19"/>
      <c r="J18" s="19"/>
      <c r="K18" s="31" t="str">
        <f>"60,0"</f>
        <v>60,0</v>
      </c>
      <c r="L18" s="19" t="str">
        <f>"53,9550"</f>
        <v>53,9550</v>
      </c>
      <c r="M18" s="18" t="s">
        <v>187</v>
      </c>
    </row>
    <row r="19" spans="1:13">
      <c r="B19" s="5" t="s">
        <v>31</v>
      </c>
    </row>
    <row r="20" spans="1:13" ht="16">
      <c r="A20" s="33" t="s">
        <v>60</v>
      </c>
      <c r="B20" s="33"/>
      <c r="C20" s="33"/>
      <c r="D20" s="33"/>
      <c r="E20" s="33"/>
      <c r="F20" s="33"/>
      <c r="G20" s="33"/>
      <c r="H20" s="33"/>
      <c r="I20" s="33"/>
      <c r="J20" s="33"/>
    </row>
    <row r="21" spans="1:13">
      <c r="A21" s="8" t="s">
        <v>30</v>
      </c>
      <c r="B21" s="7" t="s">
        <v>333</v>
      </c>
      <c r="C21" s="7" t="s">
        <v>588</v>
      </c>
      <c r="D21" s="7" t="s">
        <v>248</v>
      </c>
      <c r="E21" s="7" t="s">
        <v>661</v>
      </c>
      <c r="F21" s="7" t="s">
        <v>103</v>
      </c>
      <c r="G21" s="15" t="s">
        <v>38</v>
      </c>
      <c r="H21" s="14" t="s">
        <v>39</v>
      </c>
      <c r="I21" s="14" t="s">
        <v>18</v>
      </c>
      <c r="J21" s="8"/>
      <c r="K21" s="28" t="str">
        <f>"90,0"</f>
        <v>90,0</v>
      </c>
      <c r="L21" s="8" t="str">
        <f>"75,3210"</f>
        <v>75,3210</v>
      </c>
      <c r="M21" s="7" t="s">
        <v>187</v>
      </c>
    </row>
    <row r="22" spans="1:13">
      <c r="B22" s="5" t="s">
        <v>31</v>
      </c>
    </row>
    <row r="23" spans="1:13" ht="16">
      <c r="A23" s="33" t="s">
        <v>10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3">
      <c r="A24" s="17" t="s">
        <v>30</v>
      </c>
      <c r="B24" s="16" t="s">
        <v>334</v>
      </c>
      <c r="C24" s="16" t="s">
        <v>605</v>
      </c>
      <c r="D24" s="16" t="s">
        <v>335</v>
      </c>
      <c r="E24" s="16" t="s">
        <v>663</v>
      </c>
      <c r="F24" s="16" t="s">
        <v>323</v>
      </c>
      <c r="G24" s="23" t="s">
        <v>38</v>
      </c>
      <c r="H24" s="22" t="s">
        <v>38</v>
      </c>
      <c r="I24" s="22" t="s">
        <v>39</v>
      </c>
      <c r="J24" s="17"/>
      <c r="K24" s="30" t="str">
        <f>"85,0"</f>
        <v>85,0</v>
      </c>
      <c r="L24" s="17" t="str">
        <f>"66,7377"</f>
        <v>66,7377</v>
      </c>
      <c r="M24" s="16" t="s">
        <v>627</v>
      </c>
    </row>
    <row r="25" spans="1:13">
      <c r="A25" s="21" t="s">
        <v>30</v>
      </c>
      <c r="B25" s="20" t="s">
        <v>336</v>
      </c>
      <c r="C25" s="20" t="s">
        <v>589</v>
      </c>
      <c r="D25" s="20" t="s">
        <v>337</v>
      </c>
      <c r="E25" s="20" t="s">
        <v>661</v>
      </c>
      <c r="F25" s="20" t="s">
        <v>103</v>
      </c>
      <c r="G25" s="26" t="s">
        <v>192</v>
      </c>
      <c r="H25" s="26" t="s">
        <v>209</v>
      </c>
      <c r="I25" s="27" t="s">
        <v>78</v>
      </c>
      <c r="J25" s="21"/>
      <c r="K25" s="32" t="str">
        <f>"112,5"</f>
        <v>112,5</v>
      </c>
      <c r="L25" s="21" t="str">
        <f>"85,0612"</f>
        <v>85,0612</v>
      </c>
      <c r="M25" s="20" t="s">
        <v>187</v>
      </c>
    </row>
    <row r="26" spans="1:13">
      <c r="A26" s="19" t="s">
        <v>30</v>
      </c>
      <c r="B26" s="18" t="s">
        <v>253</v>
      </c>
      <c r="C26" s="18" t="s">
        <v>254</v>
      </c>
      <c r="D26" s="18" t="s">
        <v>255</v>
      </c>
      <c r="E26" s="18" t="s">
        <v>657</v>
      </c>
      <c r="F26" s="18" t="s">
        <v>632</v>
      </c>
      <c r="G26" s="24" t="s">
        <v>118</v>
      </c>
      <c r="H26" s="24" t="s">
        <v>256</v>
      </c>
      <c r="I26" s="25" t="s">
        <v>119</v>
      </c>
      <c r="J26" s="19"/>
      <c r="K26" s="31" t="str">
        <f>"160,0"</f>
        <v>160,0</v>
      </c>
      <c r="L26" s="19" t="str">
        <f>"120,3520"</f>
        <v>120,3520</v>
      </c>
      <c r="M26" s="18"/>
    </row>
    <row r="27" spans="1:13">
      <c r="B27" s="5" t="s">
        <v>31</v>
      </c>
    </row>
    <row r="28" spans="1:13" ht="16">
      <c r="A28" s="33" t="s">
        <v>69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3">
      <c r="A29" s="17" t="s">
        <v>30</v>
      </c>
      <c r="B29" s="16" t="s">
        <v>340</v>
      </c>
      <c r="C29" s="16" t="s">
        <v>606</v>
      </c>
      <c r="D29" s="16" t="s">
        <v>341</v>
      </c>
      <c r="E29" s="16" t="s">
        <v>663</v>
      </c>
      <c r="F29" s="16" t="s">
        <v>56</v>
      </c>
      <c r="G29" s="23" t="s">
        <v>326</v>
      </c>
      <c r="H29" s="22" t="s">
        <v>57</v>
      </c>
      <c r="I29" s="23" t="s">
        <v>204</v>
      </c>
      <c r="J29" s="17"/>
      <c r="K29" s="30" t="str">
        <f>"70,0"</f>
        <v>70,0</v>
      </c>
      <c r="L29" s="17" t="str">
        <f>"48,5345"</f>
        <v>48,5345</v>
      </c>
      <c r="M29" s="16" t="s">
        <v>626</v>
      </c>
    </row>
    <row r="30" spans="1:13">
      <c r="A30" s="21" t="s">
        <v>30</v>
      </c>
      <c r="B30" s="20" t="s">
        <v>76</v>
      </c>
      <c r="C30" s="20" t="s">
        <v>607</v>
      </c>
      <c r="D30" s="20" t="s">
        <v>77</v>
      </c>
      <c r="E30" s="20" t="s">
        <v>659</v>
      </c>
      <c r="F30" s="20" t="s">
        <v>36</v>
      </c>
      <c r="G30" s="26" t="s">
        <v>37</v>
      </c>
      <c r="H30" s="26" t="s">
        <v>38</v>
      </c>
      <c r="I30" s="26" t="s">
        <v>43</v>
      </c>
      <c r="J30" s="21"/>
      <c r="K30" s="32" t="str">
        <f>"82,5"</f>
        <v>82,5</v>
      </c>
      <c r="L30" s="21" t="str">
        <f>"56,8054"</f>
        <v>56,8054</v>
      </c>
      <c r="M30" s="20" t="s">
        <v>628</v>
      </c>
    </row>
    <row r="31" spans="1:13">
      <c r="A31" s="21" t="s">
        <v>30</v>
      </c>
      <c r="B31" s="20" t="s">
        <v>342</v>
      </c>
      <c r="C31" s="20" t="s">
        <v>590</v>
      </c>
      <c r="D31" s="20" t="s">
        <v>343</v>
      </c>
      <c r="E31" s="20" t="s">
        <v>661</v>
      </c>
      <c r="F31" s="20" t="s">
        <v>103</v>
      </c>
      <c r="G31" s="26" t="s">
        <v>52</v>
      </c>
      <c r="H31" s="27" t="s">
        <v>72</v>
      </c>
      <c r="I31" s="26" t="s">
        <v>72</v>
      </c>
      <c r="J31" s="21"/>
      <c r="K31" s="32" t="str">
        <f>"120,0"</f>
        <v>120,0</v>
      </c>
      <c r="L31" s="21" t="str">
        <f>"83,0340"</f>
        <v>83,0340</v>
      </c>
      <c r="M31" s="20" t="s">
        <v>187</v>
      </c>
    </row>
    <row r="32" spans="1:13">
      <c r="A32" s="21" t="s">
        <v>176</v>
      </c>
      <c r="B32" s="20" t="s">
        <v>344</v>
      </c>
      <c r="C32" s="20" t="s">
        <v>608</v>
      </c>
      <c r="D32" s="20" t="s">
        <v>345</v>
      </c>
      <c r="E32" s="20" t="s">
        <v>661</v>
      </c>
      <c r="F32" s="20" t="s">
        <v>14</v>
      </c>
      <c r="G32" s="27" t="s">
        <v>74</v>
      </c>
      <c r="H32" s="27" t="s">
        <v>209</v>
      </c>
      <c r="I32" s="27" t="s">
        <v>209</v>
      </c>
      <c r="J32" s="21"/>
      <c r="K32" s="32">
        <v>0</v>
      </c>
      <c r="L32" s="21" t="str">
        <f>"0,0000"</f>
        <v>0,0000</v>
      </c>
      <c r="M32" s="20"/>
    </row>
    <row r="33" spans="1:13">
      <c r="A33" s="21" t="s">
        <v>30</v>
      </c>
      <c r="B33" s="20" t="s">
        <v>346</v>
      </c>
      <c r="C33" s="20" t="s">
        <v>347</v>
      </c>
      <c r="D33" s="20" t="s">
        <v>348</v>
      </c>
      <c r="E33" s="20" t="s">
        <v>657</v>
      </c>
      <c r="F33" s="20" t="s">
        <v>349</v>
      </c>
      <c r="G33" s="26" t="s">
        <v>17</v>
      </c>
      <c r="H33" s="26" t="s">
        <v>97</v>
      </c>
      <c r="I33" s="26" t="s">
        <v>119</v>
      </c>
      <c r="J33" s="21"/>
      <c r="K33" s="32" t="str">
        <f>"162,5"</f>
        <v>162,5</v>
      </c>
      <c r="L33" s="21" t="str">
        <f>"115,0337"</f>
        <v>115,0337</v>
      </c>
      <c r="M33" s="20" t="s">
        <v>350</v>
      </c>
    </row>
    <row r="34" spans="1:13">
      <c r="A34" s="21" t="s">
        <v>133</v>
      </c>
      <c r="B34" s="20" t="s">
        <v>351</v>
      </c>
      <c r="C34" s="20" t="s">
        <v>352</v>
      </c>
      <c r="D34" s="20" t="s">
        <v>353</v>
      </c>
      <c r="E34" s="20" t="s">
        <v>657</v>
      </c>
      <c r="F34" s="20" t="s">
        <v>36</v>
      </c>
      <c r="G34" s="26" t="s">
        <v>72</v>
      </c>
      <c r="H34" s="26" t="s">
        <v>15</v>
      </c>
      <c r="I34" s="27" t="s">
        <v>203</v>
      </c>
      <c r="J34" s="21"/>
      <c r="K34" s="32" t="str">
        <f>"130,0"</f>
        <v>130,0</v>
      </c>
      <c r="L34" s="21" t="str">
        <f>"94,7440"</f>
        <v>94,7440</v>
      </c>
      <c r="M34" s="20"/>
    </row>
    <row r="35" spans="1:13">
      <c r="A35" s="21" t="s">
        <v>175</v>
      </c>
      <c r="B35" s="20" t="s">
        <v>354</v>
      </c>
      <c r="C35" s="20" t="s">
        <v>355</v>
      </c>
      <c r="D35" s="20" t="s">
        <v>356</v>
      </c>
      <c r="E35" s="20" t="s">
        <v>657</v>
      </c>
      <c r="F35" s="20" t="s">
        <v>36</v>
      </c>
      <c r="G35" s="26" t="s">
        <v>82</v>
      </c>
      <c r="H35" s="26" t="s">
        <v>19</v>
      </c>
      <c r="I35" s="26" t="s">
        <v>74</v>
      </c>
      <c r="J35" s="21"/>
      <c r="K35" s="32" t="str">
        <f>"105,0"</f>
        <v>105,0</v>
      </c>
      <c r="L35" s="21" t="str">
        <f>"73,1693"</f>
        <v>73,1693</v>
      </c>
      <c r="M35" s="20" t="s">
        <v>582</v>
      </c>
    </row>
    <row r="36" spans="1:13">
      <c r="A36" s="19" t="s">
        <v>414</v>
      </c>
      <c r="B36" s="18" t="s">
        <v>357</v>
      </c>
      <c r="C36" s="18" t="s">
        <v>358</v>
      </c>
      <c r="D36" s="18" t="s">
        <v>359</v>
      </c>
      <c r="E36" s="18" t="s">
        <v>657</v>
      </c>
      <c r="F36" s="18" t="s">
        <v>14</v>
      </c>
      <c r="G36" s="24" t="s">
        <v>39</v>
      </c>
      <c r="H36" s="25" t="s">
        <v>208</v>
      </c>
      <c r="I36" s="25" t="s">
        <v>208</v>
      </c>
      <c r="J36" s="19"/>
      <c r="K36" s="31" t="str">
        <f>"85,0"</f>
        <v>85,0</v>
      </c>
      <c r="L36" s="19" t="str">
        <f>"63,1423"</f>
        <v>63,1423</v>
      </c>
      <c r="M36" s="18" t="s">
        <v>629</v>
      </c>
    </row>
    <row r="37" spans="1:13">
      <c r="B37" s="5" t="s">
        <v>31</v>
      </c>
    </row>
    <row r="38" spans="1:13" ht="16">
      <c r="A38" s="33" t="s">
        <v>84</v>
      </c>
      <c r="B38" s="33"/>
      <c r="C38" s="33"/>
      <c r="D38" s="33"/>
      <c r="E38" s="33"/>
      <c r="F38" s="33"/>
      <c r="G38" s="33"/>
      <c r="H38" s="33"/>
      <c r="I38" s="33"/>
      <c r="J38" s="33"/>
    </row>
    <row r="39" spans="1:13">
      <c r="A39" s="17" t="s">
        <v>30</v>
      </c>
      <c r="B39" s="16" t="s">
        <v>360</v>
      </c>
      <c r="C39" s="16" t="s">
        <v>591</v>
      </c>
      <c r="D39" s="16" t="s">
        <v>361</v>
      </c>
      <c r="E39" s="16" t="s">
        <v>661</v>
      </c>
      <c r="F39" s="16" t="s">
        <v>362</v>
      </c>
      <c r="G39" s="22" t="s">
        <v>203</v>
      </c>
      <c r="H39" s="22" t="s">
        <v>16</v>
      </c>
      <c r="I39" s="23" t="s">
        <v>83</v>
      </c>
      <c r="J39" s="17"/>
      <c r="K39" s="30" t="str">
        <f>"140,0"</f>
        <v>140,0</v>
      </c>
      <c r="L39" s="17" t="str">
        <f>"90,5310"</f>
        <v>90,5310</v>
      </c>
      <c r="M39" s="16"/>
    </row>
    <row r="40" spans="1:13">
      <c r="A40" s="21" t="s">
        <v>30</v>
      </c>
      <c r="B40" s="20" t="s">
        <v>363</v>
      </c>
      <c r="C40" s="20" t="s">
        <v>364</v>
      </c>
      <c r="D40" s="20" t="s">
        <v>365</v>
      </c>
      <c r="E40" s="20" t="s">
        <v>657</v>
      </c>
      <c r="F40" s="20" t="s">
        <v>36</v>
      </c>
      <c r="G40" s="26" t="s">
        <v>83</v>
      </c>
      <c r="H40" s="26" t="s">
        <v>17</v>
      </c>
      <c r="I40" s="26" t="s">
        <v>112</v>
      </c>
      <c r="J40" s="21"/>
      <c r="K40" s="32" t="str">
        <f>"152,5"</f>
        <v>152,5</v>
      </c>
      <c r="L40" s="21" t="str">
        <f>"99,3233"</f>
        <v>99,3233</v>
      </c>
      <c r="M40" s="20"/>
    </row>
    <row r="41" spans="1:13">
      <c r="A41" s="21" t="s">
        <v>133</v>
      </c>
      <c r="B41" s="20" t="s">
        <v>210</v>
      </c>
      <c r="C41" s="20" t="s">
        <v>211</v>
      </c>
      <c r="D41" s="20" t="s">
        <v>212</v>
      </c>
      <c r="E41" s="20" t="s">
        <v>657</v>
      </c>
      <c r="F41" s="20" t="s">
        <v>36</v>
      </c>
      <c r="G41" s="27" t="s">
        <v>16</v>
      </c>
      <c r="H41" s="26" t="s">
        <v>16</v>
      </c>
      <c r="I41" s="26" t="s">
        <v>83</v>
      </c>
      <c r="J41" s="21"/>
      <c r="K41" s="32" t="str">
        <f>"145,0"</f>
        <v>145,0</v>
      </c>
      <c r="L41" s="21" t="str">
        <f>"93,8367"</f>
        <v>93,8367</v>
      </c>
      <c r="M41" s="20"/>
    </row>
    <row r="42" spans="1:13">
      <c r="A42" s="21" t="s">
        <v>175</v>
      </c>
      <c r="B42" s="20" t="s">
        <v>366</v>
      </c>
      <c r="C42" s="20" t="s">
        <v>367</v>
      </c>
      <c r="D42" s="20" t="s">
        <v>368</v>
      </c>
      <c r="E42" s="20" t="s">
        <v>657</v>
      </c>
      <c r="F42" s="20" t="s">
        <v>36</v>
      </c>
      <c r="G42" s="26" t="s">
        <v>75</v>
      </c>
      <c r="H42" s="27" t="s">
        <v>72</v>
      </c>
      <c r="I42" s="27" t="s">
        <v>72</v>
      </c>
      <c r="J42" s="21"/>
      <c r="K42" s="32" t="str">
        <f>"110,0"</f>
        <v>110,0</v>
      </c>
      <c r="L42" s="21" t="str">
        <f>"71,4175"</f>
        <v>71,4175</v>
      </c>
      <c r="M42" s="20" t="s">
        <v>582</v>
      </c>
    </row>
    <row r="43" spans="1:13">
      <c r="A43" s="19" t="s">
        <v>30</v>
      </c>
      <c r="B43" s="18" t="s">
        <v>369</v>
      </c>
      <c r="C43" s="18" t="s">
        <v>370</v>
      </c>
      <c r="D43" s="18" t="s">
        <v>371</v>
      </c>
      <c r="E43" s="18" t="s">
        <v>664</v>
      </c>
      <c r="F43" s="18" t="s">
        <v>36</v>
      </c>
      <c r="G43" s="24" t="s">
        <v>72</v>
      </c>
      <c r="H43" s="24" t="s">
        <v>106</v>
      </c>
      <c r="I43" s="24" t="s">
        <v>73</v>
      </c>
      <c r="J43" s="19"/>
      <c r="K43" s="31" t="str">
        <f>"125,0"</f>
        <v>125,0</v>
      </c>
      <c r="L43" s="19" t="str">
        <f>"125,0216"</f>
        <v>125,0216</v>
      </c>
      <c r="M43" s="18" t="s">
        <v>372</v>
      </c>
    </row>
    <row r="44" spans="1:13">
      <c r="B44" s="5" t="s">
        <v>31</v>
      </c>
    </row>
    <row r="45" spans="1:13" ht="16">
      <c r="A45" s="33" t="s">
        <v>93</v>
      </c>
      <c r="B45" s="33"/>
      <c r="C45" s="33"/>
      <c r="D45" s="33"/>
      <c r="E45" s="33"/>
      <c r="F45" s="33"/>
      <c r="G45" s="33"/>
      <c r="H45" s="33"/>
      <c r="I45" s="33"/>
      <c r="J45" s="33"/>
    </row>
    <row r="46" spans="1:13">
      <c r="A46" s="17" t="s">
        <v>30</v>
      </c>
      <c r="B46" s="16" t="s">
        <v>373</v>
      </c>
      <c r="C46" s="16" t="s">
        <v>609</v>
      </c>
      <c r="D46" s="16" t="s">
        <v>219</v>
      </c>
      <c r="E46" s="16" t="s">
        <v>661</v>
      </c>
      <c r="F46" s="16" t="s">
        <v>103</v>
      </c>
      <c r="G46" s="22" t="s">
        <v>18</v>
      </c>
      <c r="H46" s="22" t="s">
        <v>19</v>
      </c>
      <c r="I46" s="23" t="s">
        <v>74</v>
      </c>
      <c r="J46" s="17"/>
      <c r="K46" s="30" t="str">
        <f>"100,0"</f>
        <v>100,0</v>
      </c>
      <c r="L46" s="17" t="str">
        <f>"62,2600"</f>
        <v>62,2600</v>
      </c>
      <c r="M46" s="16" t="s">
        <v>187</v>
      </c>
    </row>
    <row r="47" spans="1:13">
      <c r="A47" s="21" t="s">
        <v>30</v>
      </c>
      <c r="B47" s="20" t="s">
        <v>374</v>
      </c>
      <c r="C47" s="20" t="s">
        <v>375</v>
      </c>
      <c r="D47" s="20" t="s">
        <v>376</v>
      </c>
      <c r="E47" s="20" t="s">
        <v>657</v>
      </c>
      <c r="F47" s="20" t="s">
        <v>377</v>
      </c>
      <c r="G47" s="26" t="s">
        <v>104</v>
      </c>
      <c r="H47" s="26" t="s">
        <v>142</v>
      </c>
      <c r="I47" s="26" t="s">
        <v>88</v>
      </c>
      <c r="J47" s="21"/>
      <c r="K47" s="32" t="str">
        <f>"180,0"</f>
        <v>180,0</v>
      </c>
      <c r="L47" s="21" t="str">
        <f>"111,2580"</f>
        <v>111,2580</v>
      </c>
      <c r="M47" s="20"/>
    </row>
    <row r="48" spans="1:13">
      <c r="A48" s="21" t="s">
        <v>133</v>
      </c>
      <c r="B48" s="20" t="s">
        <v>220</v>
      </c>
      <c r="C48" s="20" t="s">
        <v>221</v>
      </c>
      <c r="D48" s="20" t="s">
        <v>222</v>
      </c>
      <c r="E48" s="20" t="s">
        <v>657</v>
      </c>
      <c r="F48" s="20" t="s">
        <v>631</v>
      </c>
      <c r="G48" s="26" t="s">
        <v>97</v>
      </c>
      <c r="H48" s="26" t="s">
        <v>119</v>
      </c>
      <c r="I48" s="27" t="s">
        <v>169</v>
      </c>
      <c r="J48" s="21"/>
      <c r="K48" s="32" t="str">
        <f>"162,5"</f>
        <v>162,5</v>
      </c>
      <c r="L48" s="21" t="str">
        <f>"100,0513"</f>
        <v>100,0513</v>
      </c>
      <c r="M48" s="20"/>
    </row>
    <row r="49" spans="1:13">
      <c r="A49" s="21" t="s">
        <v>175</v>
      </c>
      <c r="B49" s="20" t="s">
        <v>378</v>
      </c>
      <c r="C49" s="20" t="s">
        <v>379</v>
      </c>
      <c r="D49" s="20" t="s">
        <v>380</v>
      </c>
      <c r="E49" s="20" t="s">
        <v>657</v>
      </c>
      <c r="F49" s="20" t="s">
        <v>349</v>
      </c>
      <c r="G49" s="26" t="s">
        <v>381</v>
      </c>
      <c r="H49" s="26" t="s">
        <v>196</v>
      </c>
      <c r="I49" s="26" t="s">
        <v>203</v>
      </c>
      <c r="J49" s="21"/>
      <c r="K49" s="32" t="str">
        <f>"135,0"</f>
        <v>135,0</v>
      </c>
      <c r="L49" s="21" t="str">
        <f>"86,1570"</f>
        <v>86,1570</v>
      </c>
      <c r="M49" s="20"/>
    </row>
    <row r="50" spans="1:13">
      <c r="A50" s="21" t="s">
        <v>414</v>
      </c>
      <c r="B50" s="20" t="s">
        <v>382</v>
      </c>
      <c r="C50" s="20" t="s">
        <v>383</v>
      </c>
      <c r="D50" s="20" t="s">
        <v>273</v>
      </c>
      <c r="E50" s="20" t="s">
        <v>657</v>
      </c>
      <c r="F50" s="20" t="s">
        <v>14</v>
      </c>
      <c r="G50" s="26" t="s">
        <v>73</v>
      </c>
      <c r="H50" s="27" t="s">
        <v>203</v>
      </c>
      <c r="I50" s="26" t="s">
        <v>203</v>
      </c>
      <c r="J50" s="21"/>
      <c r="K50" s="32" t="str">
        <f>"135,0"</f>
        <v>135,0</v>
      </c>
      <c r="L50" s="21" t="str">
        <f>"83,1668"</f>
        <v>83,1668</v>
      </c>
      <c r="M50" s="20"/>
    </row>
    <row r="51" spans="1:13">
      <c r="A51" s="21" t="s">
        <v>415</v>
      </c>
      <c r="B51" s="20" t="s">
        <v>384</v>
      </c>
      <c r="C51" s="20" t="s">
        <v>385</v>
      </c>
      <c r="D51" s="20" t="s">
        <v>277</v>
      </c>
      <c r="E51" s="20" t="s">
        <v>657</v>
      </c>
      <c r="F51" s="20" t="s">
        <v>14</v>
      </c>
      <c r="G51" s="26" t="s">
        <v>78</v>
      </c>
      <c r="H51" s="26" t="s">
        <v>73</v>
      </c>
      <c r="I51" s="26" t="s">
        <v>196</v>
      </c>
      <c r="J51" s="21"/>
      <c r="K51" s="32" t="str">
        <f>"132,5"</f>
        <v>132,5</v>
      </c>
      <c r="L51" s="21" t="str">
        <f>"81,0701"</f>
        <v>81,0701</v>
      </c>
      <c r="M51" s="20" t="s">
        <v>350</v>
      </c>
    </row>
    <row r="52" spans="1:13">
      <c r="A52" s="19" t="s">
        <v>416</v>
      </c>
      <c r="B52" s="18" t="s">
        <v>386</v>
      </c>
      <c r="C52" s="18" t="s">
        <v>387</v>
      </c>
      <c r="D52" s="18" t="s">
        <v>388</v>
      </c>
      <c r="E52" s="18" t="s">
        <v>657</v>
      </c>
      <c r="F52" s="18" t="s">
        <v>36</v>
      </c>
      <c r="G52" s="24" t="s">
        <v>72</v>
      </c>
      <c r="H52" s="25" t="s">
        <v>196</v>
      </c>
      <c r="I52" s="25" t="s">
        <v>196</v>
      </c>
      <c r="J52" s="19"/>
      <c r="K52" s="31" t="str">
        <f>"120,0"</f>
        <v>120,0</v>
      </c>
      <c r="L52" s="19" t="str">
        <f>"74,3100"</f>
        <v>74,3100</v>
      </c>
      <c r="M52" s="18" t="s">
        <v>389</v>
      </c>
    </row>
    <row r="53" spans="1:13">
      <c r="B53" s="5" t="s">
        <v>31</v>
      </c>
    </row>
    <row r="54" spans="1:13" ht="16">
      <c r="A54" s="33" t="s">
        <v>108</v>
      </c>
      <c r="B54" s="33"/>
      <c r="C54" s="33"/>
      <c r="D54" s="33"/>
      <c r="E54" s="33"/>
      <c r="F54" s="33"/>
      <c r="G54" s="33"/>
      <c r="H54" s="33"/>
      <c r="I54" s="33"/>
      <c r="J54" s="33"/>
    </row>
    <row r="55" spans="1:13">
      <c r="A55" s="17" t="s">
        <v>30</v>
      </c>
      <c r="B55" s="16" t="s">
        <v>390</v>
      </c>
      <c r="C55" s="16" t="s">
        <v>610</v>
      </c>
      <c r="D55" s="16" t="s">
        <v>391</v>
      </c>
      <c r="E55" s="16" t="s">
        <v>663</v>
      </c>
      <c r="F55" s="16" t="s">
        <v>36</v>
      </c>
      <c r="G55" s="22" t="s">
        <v>19</v>
      </c>
      <c r="H55" s="23" t="s">
        <v>74</v>
      </c>
      <c r="I55" s="23" t="s">
        <v>74</v>
      </c>
      <c r="J55" s="17"/>
      <c r="K55" s="30" t="str">
        <f>"100,0"</f>
        <v>100,0</v>
      </c>
      <c r="L55" s="17" t="str">
        <f>"60,2950"</f>
        <v>60,2950</v>
      </c>
      <c r="M55" s="16" t="s">
        <v>628</v>
      </c>
    </row>
    <row r="56" spans="1:13">
      <c r="A56" s="21" t="s">
        <v>30</v>
      </c>
      <c r="B56" s="20" t="s">
        <v>392</v>
      </c>
      <c r="C56" s="20" t="s">
        <v>393</v>
      </c>
      <c r="D56" s="20" t="s">
        <v>394</v>
      </c>
      <c r="E56" s="20" t="s">
        <v>657</v>
      </c>
      <c r="F56" s="20" t="s">
        <v>395</v>
      </c>
      <c r="G56" s="26" t="s">
        <v>105</v>
      </c>
      <c r="H56" s="26" t="s">
        <v>396</v>
      </c>
      <c r="I56" s="27" t="s">
        <v>89</v>
      </c>
      <c r="J56" s="21"/>
      <c r="K56" s="32" t="str">
        <f>"187,5"</f>
        <v>187,5</v>
      </c>
      <c r="L56" s="21" t="str">
        <f>"110,8312"</f>
        <v>110,8312</v>
      </c>
      <c r="M56" s="20" t="s">
        <v>630</v>
      </c>
    </row>
    <row r="57" spans="1:13">
      <c r="A57" s="21" t="s">
        <v>30</v>
      </c>
      <c r="B57" s="20" t="s">
        <v>113</v>
      </c>
      <c r="C57" s="20" t="s">
        <v>114</v>
      </c>
      <c r="D57" s="20" t="s">
        <v>115</v>
      </c>
      <c r="E57" s="20" t="s">
        <v>658</v>
      </c>
      <c r="F57" s="20" t="s">
        <v>103</v>
      </c>
      <c r="G57" s="26" t="s">
        <v>118</v>
      </c>
      <c r="H57" s="26" t="s">
        <v>119</v>
      </c>
      <c r="I57" s="27" t="s">
        <v>104</v>
      </c>
      <c r="J57" s="21"/>
      <c r="K57" s="32" t="str">
        <f>"162,5"</f>
        <v>162,5</v>
      </c>
      <c r="L57" s="21" t="str">
        <f>"102,2383"</f>
        <v>102,2383</v>
      </c>
      <c r="M57" s="20"/>
    </row>
    <row r="58" spans="1:13">
      <c r="A58" s="21" t="s">
        <v>133</v>
      </c>
      <c r="B58" s="20" t="s">
        <v>122</v>
      </c>
      <c r="C58" s="20" t="s">
        <v>123</v>
      </c>
      <c r="D58" s="20" t="s">
        <v>124</v>
      </c>
      <c r="E58" s="20" t="s">
        <v>658</v>
      </c>
      <c r="F58" s="20" t="s">
        <v>103</v>
      </c>
      <c r="G58" s="26" t="s">
        <v>16</v>
      </c>
      <c r="H58" s="26" t="s">
        <v>83</v>
      </c>
      <c r="I58" s="26" t="s">
        <v>17</v>
      </c>
      <c r="J58" s="21"/>
      <c r="K58" s="32" t="str">
        <f>"150,0"</f>
        <v>150,0</v>
      </c>
      <c r="L58" s="21" t="str">
        <f>"96,7965"</f>
        <v>96,7965</v>
      </c>
      <c r="M58" s="20"/>
    </row>
    <row r="59" spans="1:13">
      <c r="A59" s="19" t="s">
        <v>175</v>
      </c>
      <c r="B59" s="18" t="s">
        <v>397</v>
      </c>
      <c r="C59" s="18" t="s">
        <v>398</v>
      </c>
      <c r="D59" s="18" t="s">
        <v>399</v>
      </c>
      <c r="E59" s="18" t="s">
        <v>658</v>
      </c>
      <c r="F59" s="18" t="s">
        <v>259</v>
      </c>
      <c r="G59" s="24" t="s">
        <v>16</v>
      </c>
      <c r="H59" s="24" t="s">
        <v>83</v>
      </c>
      <c r="I59" s="25" t="s">
        <v>267</v>
      </c>
      <c r="J59" s="19"/>
      <c r="K59" s="31" t="str">
        <f>"145,0"</f>
        <v>145,0</v>
      </c>
      <c r="L59" s="19" t="str">
        <f>"87,3793"</f>
        <v>87,3793</v>
      </c>
      <c r="M59" s="18"/>
    </row>
    <row r="60" spans="1:13">
      <c r="B60" s="5" t="s">
        <v>31</v>
      </c>
    </row>
    <row r="61" spans="1:13" ht="16">
      <c r="A61" s="33" t="s">
        <v>165</v>
      </c>
      <c r="B61" s="33"/>
      <c r="C61" s="33"/>
      <c r="D61" s="33"/>
      <c r="E61" s="33"/>
      <c r="F61" s="33"/>
      <c r="G61" s="33"/>
      <c r="H61" s="33"/>
      <c r="I61" s="33"/>
      <c r="J61" s="33"/>
    </row>
    <row r="62" spans="1:13">
      <c r="A62" s="8" t="s">
        <v>30</v>
      </c>
      <c r="B62" s="7" t="s">
        <v>400</v>
      </c>
      <c r="C62" s="7" t="s">
        <v>611</v>
      </c>
      <c r="D62" s="7" t="s">
        <v>401</v>
      </c>
      <c r="E62" s="7" t="s">
        <v>660</v>
      </c>
      <c r="F62" s="7" t="s">
        <v>56</v>
      </c>
      <c r="G62" s="14" t="s">
        <v>83</v>
      </c>
      <c r="H62" s="14" t="s">
        <v>17</v>
      </c>
      <c r="I62" s="15" t="s">
        <v>97</v>
      </c>
      <c r="J62" s="8"/>
      <c r="K62" s="28" t="str">
        <f>"150,0"</f>
        <v>150,0</v>
      </c>
      <c r="L62" s="8" t="str">
        <f>"86,9475"</f>
        <v>86,9475</v>
      </c>
      <c r="M62" s="7"/>
    </row>
    <row r="63" spans="1:13">
      <c r="B63" s="5" t="s">
        <v>31</v>
      </c>
    </row>
    <row r="64" spans="1:13" ht="16">
      <c r="A64" s="33" t="s">
        <v>296</v>
      </c>
      <c r="B64" s="33"/>
      <c r="C64" s="33"/>
      <c r="D64" s="33"/>
      <c r="E64" s="33"/>
      <c r="F64" s="33"/>
      <c r="G64" s="33"/>
      <c r="H64" s="33"/>
      <c r="I64" s="33"/>
      <c r="J64" s="33"/>
    </row>
    <row r="65" spans="1:13">
      <c r="A65" s="8" t="s">
        <v>30</v>
      </c>
      <c r="B65" s="7" t="s">
        <v>402</v>
      </c>
      <c r="C65" s="7" t="s">
        <v>403</v>
      </c>
      <c r="D65" s="7" t="s">
        <v>404</v>
      </c>
      <c r="E65" s="7" t="s">
        <v>657</v>
      </c>
      <c r="F65" s="7" t="s">
        <v>405</v>
      </c>
      <c r="G65" s="14" t="s">
        <v>169</v>
      </c>
      <c r="H65" s="15" t="s">
        <v>117</v>
      </c>
      <c r="I65" s="15" t="s">
        <v>117</v>
      </c>
      <c r="J65" s="8"/>
      <c r="K65" s="28" t="str">
        <f>"167,5"</f>
        <v>167,5</v>
      </c>
      <c r="L65" s="8" t="str">
        <f>"92,0580"</f>
        <v>92,0580</v>
      </c>
      <c r="M65" s="7"/>
    </row>
    <row r="66" spans="1:13">
      <c r="B66" s="5" t="s">
        <v>31</v>
      </c>
    </row>
    <row r="67" spans="1:13">
      <c r="B67" s="5" t="s">
        <v>31</v>
      </c>
    </row>
    <row r="68" spans="1:13">
      <c r="B68" s="5" t="s">
        <v>31</v>
      </c>
    </row>
    <row r="69" spans="1:13" ht="18">
      <c r="B69" s="9" t="s">
        <v>23</v>
      </c>
      <c r="C69" s="9"/>
      <c r="F69" s="3"/>
    </row>
    <row r="70" spans="1:13" ht="16">
      <c r="B70" s="10" t="s">
        <v>127</v>
      </c>
      <c r="C70" s="10"/>
      <c r="F70" s="3"/>
    </row>
    <row r="71" spans="1:13" ht="14">
      <c r="B71" s="11"/>
      <c r="C71" s="12" t="s">
        <v>128</v>
      </c>
      <c r="F71" s="3"/>
    </row>
    <row r="72" spans="1:13" ht="14">
      <c r="B72" s="13" t="s">
        <v>25</v>
      </c>
      <c r="C72" s="13" t="s">
        <v>26</v>
      </c>
      <c r="D72" s="13" t="s">
        <v>620</v>
      </c>
      <c r="E72" s="13" t="s">
        <v>306</v>
      </c>
      <c r="F72" s="13" t="s">
        <v>28</v>
      </c>
    </row>
    <row r="73" spans="1:13">
      <c r="B73" s="5" t="s">
        <v>400</v>
      </c>
      <c r="C73" s="5" t="s">
        <v>612</v>
      </c>
      <c r="D73" s="6" t="s">
        <v>174</v>
      </c>
      <c r="E73" s="6" t="s">
        <v>17</v>
      </c>
      <c r="F73" s="6" t="s">
        <v>406</v>
      </c>
    </row>
    <row r="74" spans="1:13">
      <c r="B74" s="5" t="s">
        <v>334</v>
      </c>
      <c r="C74" s="5" t="s">
        <v>601</v>
      </c>
      <c r="D74" s="6" t="s">
        <v>29</v>
      </c>
      <c r="E74" s="6" t="s">
        <v>39</v>
      </c>
      <c r="F74" s="6" t="s">
        <v>407</v>
      </c>
    </row>
    <row r="75" spans="1:13">
      <c r="B75" s="5" t="s">
        <v>324</v>
      </c>
      <c r="C75" s="5" t="s">
        <v>601</v>
      </c>
      <c r="D75" s="6" t="s">
        <v>239</v>
      </c>
      <c r="E75" s="6" t="s">
        <v>326</v>
      </c>
      <c r="F75" s="6" t="s">
        <v>408</v>
      </c>
    </row>
    <row r="77" spans="1:13" ht="14">
      <c r="B77" s="11"/>
      <c r="C77" s="12" t="s">
        <v>173</v>
      </c>
    </row>
    <row r="78" spans="1:13" ht="14">
      <c r="B78" s="13" t="s">
        <v>25</v>
      </c>
      <c r="C78" s="13" t="s">
        <v>26</v>
      </c>
      <c r="D78" s="13" t="s">
        <v>620</v>
      </c>
      <c r="E78" s="13" t="s">
        <v>306</v>
      </c>
      <c r="F78" s="13" t="s">
        <v>28</v>
      </c>
    </row>
    <row r="79" spans="1:13">
      <c r="B79" s="5" t="s">
        <v>360</v>
      </c>
      <c r="C79" s="5" t="s">
        <v>594</v>
      </c>
      <c r="D79" s="6" t="s">
        <v>130</v>
      </c>
      <c r="E79" s="6" t="s">
        <v>16</v>
      </c>
      <c r="F79" s="6" t="s">
        <v>409</v>
      </c>
    </row>
    <row r="80" spans="1:13">
      <c r="B80" s="5" t="s">
        <v>336</v>
      </c>
      <c r="C80" s="5" t="s">
        <v>594</v>
      </c>
      <c r="D80" s="6" t="s">
        <v>29</v>
      </c>
      <c r="E80" s="6" t="s">
        <v>209</v>
      </c>
      <c r="F80" s="6" t="s">
        <v>410</v>
      </c>
    </row>
    <row r="81" spans="2:6">
      <c r="B81" s="5" t="s">
        <v>342</v>
      </c>
      <c r="C81" s="5" t="s">
        <v>594</v>
      </c>
      <c r="D81" s="6" t="s">
        <v>129</v>
      </c>
      <c r="E81" s="6" t="s">
        <v>72</v>
      </c>
      <c r="F81" s="6" t="s">
        <v>411</v>
      </c>
    </row>
    <row r="83" spans="2:6" ht="14">
      <c r="B83" s="11"/>
      <c r="C83" s="12" t="s">
        <v>24</v>
      </c>
    </row>
    <row r="84" spans="2:6" ht="14">
      <c r="B84" s="13" t="s">
        <v>25</v>
      </c>
      <c r="C84" s="13" t="s">
        <v>26</v>
      </c>
      <c r="D84" s="13" t="s">
        <v>620</v>
      </c>
      <c r="E84" s="13" t="s">
        <v>306</v>
      </c>
      <c r="F84" s="13" t="s">
        <v>28</v>
      </c>
    </row>
    <row r="85" spans="2:6">
      <c r="B85" s="5" t="s">
        <v>253</v>
      </c>
      <c r="C85" s="5" t="s">
        <v>24</v>
      </c>
      <c r="D85" s="6" t="s">
        <v>29</v>
      </c>
      <c r="E85" s="6" t="s">
        <v>20</v>
      </c>
      <c r="F85" s="6" t="s">
        <v>309</v>
      </c>
    </row>
    <row r="86" spans="2:6">
      <c r="B86" s="5" t="s">
        <v>346</v>
      </c>
      <c r="C86" s="5" t="s">
        <v>24</v>
      </c>
      <c r="D86" s="6" t="s">
        <v>129</v>
      </c>
      <c r="E86" s="6" t="s">
        <v>119</v>
      </c>
      <c r="F86" s="6" t="s">
        <v>412</v>
      </c>
    </row>
    <row r="87" spans="2:6">
      <c r="B87" s="5" t="s">
        <v>374</v>
      </c>
      <c r="C87" s="5" t="s">
        <v>24</v>
      </c>
      <c r="D87" s="6" t="s">
        <v>131</v>
      </c>
      <c r="E87" s="6" t="s">
        <v>88</v>
      </c>
      <c r="F87" s="6" t="s">
        <v>413</v>
      </c>
    </row>
  </sheetData>
  <mergeCells count="22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45:J45"/>
    <mergeCell ref="A54:J54"/>
    <mergeCell ref="A61:J61"/>
    <mergeCell ref="A64:J64"/>
    <mergeCell ref="B3:B4"/>
    <mergeCell ref="A9:J9"/>
    <mergeCell ref="A14:J14"/>
    <mergeCell ref="A20:J20"/>
    <mergeCell ref="A23:J23"/>
    <mergeCell ref="A28:J28"/>
    <mergeCell ref="A38:J3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46"/>
  <sheetViews>
    <sheetView topLeftCell="A12" workbookViewId="0">
      <selection activeCell="E37" sqref="E37"/>
    </sheetView>
  </sheetViews>
  <sheetFormatPr baseColWidth="10" defaultColWidth="9.1640625" defaultRowHeight="13"/>
  <cols>
    <col min="1" max="1" width="7.5" style="5" bestFit="1" customWidth="1"/>
    <col min="2" max="2" width="23.832031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6.6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6.83203125" style="5" bestFit="1" customWidth="1"/>
    <col min="14" max="16384" width="9.1640625" style="3"/>
  </cols>
  <sheetData>
    <row r="1" spans="1:13" s="2" customFormat="1" ht="29" customHeight="1">
      <c r="A1" s="42" t="s">
        <v>647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654</v>
      </c>
      <c r="B3" s="40" t="s">
        <v>0</v>
      </c>
      <c r="C3" s="52" t="s">
        <v>655</v>
      </c>
      <c r="D3" s="52" t="s">
        <v>6</v>
      </c>
      <c r="E3" s="34" t="s">
        <v>656</v>
      </c>
      <c r="F3" s="34" t="s">
        <v>5</v>
      </c>
      <c r="G3" s="34" t="s">
        <v>8</v>
      </c>
      <c r="H3" s="34"/>
      <c r="I3" s="34"/>
      <c r="J3" s="34"/>
      <c r="K3" s="34" t="s">
        <v>311</v>
      </c>
      <c r="L3" s="34" t="s">
        <v>3</v>
      </c>
      <c r="M3" s="36" t="s">
        <v>2</v>
      </c>
    </row>
    <row r="4" spans="1:13" s="1" customFormat="1" ht="21" customHeight="1" thickBot="1">
      <c r="A4" s="51"/>
      <c r="B4" s="41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60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30</v>
      </c>
      <c r="B6" s="7" t="s">
        <v>247</v>
      </c>
      <c r="C6" s="7" t="s">
        <v>602</v>
      </c>
      <c r="D6" s="7" t="s">
        <v>248</v>
      </c>
      <c r="E6" s="7" t="s">
        <v>661</v>
      </c>
      <c r="F6" s="7" t="s">
        <v>14</v>
      </c>
      <c r="G6" s="14" t="s">
        <v>58</v>
      </c>
      <c r="H6" s="14" t="s">
        <v>38</v>
      </c>
      <c r="I6" s="15" t="s">
        <v>43</v>
      </c>
      <c r="J6" s="8"/>
      <c r="K6" s="8" t="str">
        <f>"80,0"</f>
        <v>80,0</v>
      </c>
      <c r="L6" s="8" t="str">
        <f>"79,3280"</f>
        <v>79,3280</v>
      </c>
      <c r="M6" s="7" t="s">
        <v>249</v>
      </c>
    </row>
    <row r="7" spans="1:13">
      <c r="B7" s="5" t="s">
        <v>31</v>
      </c>
    </row>
    <row r="8" spans="1:13" ht="16">
      <c r="A8" s="33" t="s">
        <v>46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30</v>
      </c>
      <c r="B9" s="7" t="s">
        <v>250</v>
      </c>
      <c r="C9" s="7" t="s">
        <v>613</v>
      </c>
      <c r="D9" s="7" t="s">
        <v>251</v>
      </c>
      <c r="E9" s="7" t="s">
        <v>663</v>
      </c>
      <c r="F9" s="7" t="s">
        <v>56</v>
      </c>
      <c r="G9" s="14" t="s">
        <v>252</v>
      </c>
      <c r="H9" s="14" t="s">
        <v>40</v>
      </c>
      <c r="I9" s="14" t="s">
        <v>186</v>
      </c>
      <c r="J9" s="8"/>
      <c r="K9" s="8" t="str">
        <f>"37,5"</f>
        <v>37,5</v>
      </c>
      <c r="L9" s="8" t="str">
        <f>"49,6631"</f>
        <v>49,6631</v>
      </c>
      <c r="M9" s="7" t="s">
        <v>626</v>
      </c>
    </row>
    <row r="10" spans="1:13">
      <c r="B10" s="5" t="s">
        <v>31</v>
      </c>
    </row>
    <row r="11" spans="1:13" ht="16">
      <c r="A11" s="33" t="s">
        <v>10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3">
      <c r="A12" s="17" t="s">
        <v>30</v>
      </c>
      <c r="B12" s="16" t="s">
        <v>253</v>
      </c>
      <c r="C12" s="16" t="s">
        <v>254</v>
      </c>
      <c r="D12" s="16" t="s">
        <v>255</v>
      </c>
      <c r="E12" s="16" t="s">
        <v>657</v>
      </c>
      <c r="F12" s="16" t="s">
        <v>633</v>
      </c>
      <c r="G12" s="22" t="s">
        <v>118</v>
      </c>
      <c r="H12" s="22" t="s">
        <v>256</v>
      </c>
      <c r="I12" s="23" t="s">
        <v>119</v>
      </c>
      <c r="J12" s="17"/>
      <c r="K12" s="17" t="str">
        <f>"160,0"</f>
        <v>160,0</v>
      </c>
      <c r="L12" s="17" t="str">
        <f>"120,3520"</f>
        <v>120,3520</v>
      </c>
      <c r="M12" s="16"/>
    </row>
    <row r="13" spans="1:13">
      <c r="A13" s="21" t="s">
        <v>133</v>
      </c>
      <c r="B13" s="20" t="s">
        <v>257</v>
      </c>
      <c r="C13" s="20" t="s">
        <v>258</v>
      </c>
      <c r="D13" s="20" t="s">
        <v>13</v>
      </c>
      <c r="E13" s="20" t="s">
        <v>657</v>
      </c>
      <c r="F13" s="20" t="s">
        <v>259</v>
      </c>
      <c r="G13" s="26" t="s">
        <v>17</v>
      </c>
      <c r="H13" s="26" t="s">
        <v>97</v>
      </c>
      <c r="I13" s="27" t="s">
        <v>20</v>
      </c>
      <c r="J13" s="21"/>
      <c r="K13" s="21" t="str">
        <f>"155,0"</f>
        <v>155,0</v>
      </c>
      <c r="L13" s="21" t="str">
        <f>"117,3427"</f>
        <v>117,3427</v>
      </c>
      <c r="M13" s="20"/>
    </row>
    <row r="14" spans="1:13">
      <c r="A14" s="19" t="s">
        <v>30</v>
      </c>
      <c r="B14" s="18" t="s">
        <v>260</v>
      </c>
      <c r="C14" s="18" t="s">
        <v>261</v>
      </c>
      <c r="D14" s="18" t="s">
        <v>262</v>
      </c>
      <c r="E14" s="18" t="s">
        <v>664</v>
      </c>
      <c r="F14" s="18" t="s">
        <v>14</v>
      </c>
      <c r="G14" s="24" t="s">
        <v>18</v>
      </c>
      <c r="H14" s="24" t="s">
        <v>82</v>
      </c>
      <c r="I14" s="24" t="s">
        <v>19</v>
      </c>
      <c r="J14" s="19"/>
      <c r="K14" s="19" t="str">
        <f>"100,0"</f>
        <v>100,0</v>
      </c>
      <c r="L14" s="19" t="str">
        <f>"114,5414"</f>
        <v>114,5414</v>
      </c>
      <c r="M14" s="18" t="s">
        <v>263</v>
      </c>
    </row>
    <row r="15" spans="1:13">
      <c r="B15" s="5" t="s">
        <v>31</v>
      </c>
    </row>
    <row r="16" spans="1:13" ht="16">
      <c r="A16" s="33" t="s">
        <v>84</v>
      </c>
      <c r="B16" s="33"/>
      <c r="C16" s="33"/>
      <c r="D16" s="33"/>
      <c r="E16" s="33"/>
      <c r="F16" s="33"/>
      <c r="G16" s="33"/>
      <c r="H16" s="33"/>
      <c r="I16" s="33"/>
      <c r="J16" s="33"/>
    </row>
    <row r="17" spans="1:13">
      <c r="A17" s="8" t="s">
        <v>30</v>
      </c>
      <c r="B17" s="7" t="s">
        <v>264</v>
      </c>
      <c r="C17" s="7" t="s">
        <v>265</v>
      </c>
      <c r="D17" s="7" t="s">
        <v>266</v>
      </c>
      <c r="E17" s="7" t="s">
        <v>657</v>
      </c>
      <c r="F17" s="7" t="s">
        <v>14</v>
      </c>
      <c r="G17" s="14" t="s">
        <v>16</v>
      </c>
      <c r="H17" s="14" t="s">
        <v>267</v>
      </c>
      <c r="I17" s="15" t="s">
        <v>97</v>
      </c>
      <c r="J17" s="8"/>
      <c r="K17" s="8" t="str">
        <f>"147,5"</f>
        <v>147,5</v>
      </c>
      <c r="L17" s="8" t="str">
        <f>"96,8633"</f>
        <v>96,8633</v>
      </c>
      <c r="M17" s="7"/>
    </row>
    <row r="18" spans="1:13">
      <c r="B18" s="5" t="s">
        <v>31</v>
      </c>
    </row>
    <row r="19" spans="1:13" ht="16">
      <c r="A19" s="33" t="s">
        <v>93</v>
      </c>
      <c r="B19" s="33"/>
      <c r="C19" s="33"/>
      <c r="D19" s="33"/>
      <c r="E19" s="33"/>
      <c r="F19" s="33"/>
      <c r="G19" s="33"/>
      <c r="H19" s="33"/>
      <c r="I19" s="33"/>
      <c r="J19" s="33"/>
    </row>
    <row r="20" spans="1:13">
      <c r="A20" s="17" t="s">
        <v>30</v>
      </c>
      <c r="B20" s="16" t="s">
        <v>268</v>
      </c>
      <c r="C20" s="16" t="s">
        <v>269</v>
      </c>
      <c r="D20" s="16" t="s">
        <v>270</v>
      </c>
      <c r="E20" s="16" t="s">
        <v>657</v>
      </c>
      <c r="F20" s="16" t="s">
        <v>36</v>
      </c>
      <c r="G20" s="22" t="s">
        <v>21</v>
      </c>
      <c r="H20" s="22" t="s">
        <v>142</v>
      </c>
      <c r="I20" s="22" t="s">
        <v>88</v>
      </c>
      <c r="J20" s="17"/>
      <c r="K20" s="17" t="str">
        <f>"180,0"</f>
        <v>180,0</v>
      </c>
      <c r="L20" s="17" t="str">
        <f>"115,0560"</f>
        <v>115,0560</v>
      </c>
      <c r="M20" s="16" t="s">
        <v>635</v>
      </c>
    </row>
    <row r="21" spans="1:13">
      <c r="A21" s="21" t="s">
        <v>133</v>
      </c>
      <c r="B21" s="20" t="s">
        <v>271</v>
      </c>
      <c r="C21" s="20" t="s">
        <v>272</v>
      </c>
      <c r="D21" s="20" t="s">
        <v>273</v>
      </c>
      <c r="E21" s="20" t="s">
        <v>657</v>
      </c>
      <c r="F21" s="20" t="s">
        <v>274</v>
      </c>
      <c r="G21" s="26" t="s">
        <v>17</v>
      </c>
      <c r="H21" s="26" t="s">
        <v>20</v>
      </c>
      <c r="I21" s="26" t="s">
        <v>104</v>
      </c>
      <c r="J21" s="21"/>
      <c r="K21" s="21" t="str">
        <f>"165,0"</f>
        <v>165,0</v>
      </c>
      <c r="L21" s="21" t="str">
        <f>"101,6483"</f>
        <v>101,6483</v>
      </c>
      <c r="M21" s="20" t="s">
        <v>636</v>
      </c>
    </row>
    <row r="22" spans="1:13">
      <c r="A22" s="19" t="s">
        <v>176</v>
      </c>
      <c r="B22" s="18" t="s">
        <v>275</v>
      </c>
      <c r="C22" s="18" t="s">
        <v>276</v>
      </c>
      <c r="D22" s="18" t="s">
        <v>277</v>
      </c>
      <c r="E22" s="18" t="s">
        <v>657</v>
      </c>
      <c r="F22" s="18" t="s">
        <v>36</v>
      </c>
      <c r="G22" s="25" t="s">
        <v>89</v>
      </c>
      <c r="H22" s="25" t="s">
        <v>89</v>
      </c>
      <c r="I22" s="25" t="s">
        <v>89</v>
      </c>
      <c r="J22" s="19"/>
      <c r="K22" s="19" t="str">
        <f>"0.00"</f>
        <v>0.00</v>
      </c>
      <c r="L22" s="19" t="str">
        <f>"0,0000"</f>
        <v>0,0000</v>
      </c>
      <c r="M22" s="18"/>
    </row>
    <row r="23" spans="1:13">
      <c r="B23" s="5" t="s">
        <v>31</v>
      </c>
    </row>
    <row r="24" spans="1:13" ht="16">
      <c r="A24" s="33" t="s">
        <v>108</v>
      </c>
      <c r="B24" s="33"/>
      <c r="C24" s="33"/>
      <c r="D24" s="33"/>
      <c r="E24" s="33"/>
      <c r="F24" s="33"/>
      <c r="G24" s="33"/>
      <c r="H24" s="33"/>
      <c r="I24" s="33"/>
      <c r="J24" s="33"/>
    </row>
    <row r="25" spans="1:13">
      <c r="A25" s="17" t="s">
        <v>30</v>
      </c>
      <c r="B25" s="16" t="s">
        <v>278</v>
      </c>
      <c r="C25" s="16" t="s">
        <v>614</v>
      </c>
      <c r="D25" s="16" t="s">
        <v>279</v>
      </c>
      <c r="E25" s="16" t="s">
        <v>661</v>
      </c>
      <c r="F25" s="16" t="s">
        <v>634</v>
      </c>
      <c r="G25" s="22" t="s">
        <v>203</v>
      </c>
      <c r="H25" s="22" t="s">
        <v>83</v>
      </c>
      <c r="I25" s="22" t="s">
        <v>112</v>
      </c>
      <c r="J25" s="17"/>
      <c r="K25" s="17" t="str">
        <f>"152,5"</f>
        <v>152,5</v>
      </c>
      <c r="L25" s="17" t="str">
        <f>"88,8770"</f>
        <v>88,8770</v>
      </c>
      <c r="M25" s="16" t="s">
        <v>637</v>
      </c>
    </row>
    <row r="26" spans="1:13">
      <c r="A26" s="21" t="s">
        <v>30</v>
      </c>
      <c r="B26" s="20" t="s">
        <v>280</v>
      </c>
      <c r="C26" s="20" t="s">
        <v>281</v>
      </c>
      <c r="D26" s="20" t="s">
        <v>282</v>
      </c>
      <c r="E26" s="20" t="s">
        <v>657</v>
      </c>
      <c r="F26" s="20" t="s">
        <v>283</v>
      </c>
      <c r="G26" s="26" t="s">
        <v>90</v>
      </c>
      <c r="H26" s="27" t="s">
        <v>226</v>
      </c>
      <c r="I26" s="27" t="s">
        <v>226</v>
      </c>
      <c r="J26" s="21"/>
      <c r="K26" s="21" t="str">
        <f>"200,0"</f>
        <v>200,0</v>
      </c>
      <c r="L26" s="21" t="str">
        <f>"116,4100"</f>
        <v>116,4100</v>
      </c>
      <c r="M26" s="20"/>
    </row>
    <row r="27" spans="1:13">
      <c r="A27" s="21" t="s">
        <v>133</v>
      </c>
      <c r="B27" s="20" t="s">
        <v>284</v>
      </c>
      <c r="C27" s="20" t="s">
        <v>285</v>
      </c>
      <c r="D27" s="20" t="s">
        <v>156</v>
      </c>
      <c r="E27" s="20" t="s">
        <v>657</v>
      </c>
      <c r="F27" s="20" t="s">
        <v>283</v>
      </c>
      <c r="G27" s="26" t="s">
        <v>136</v>
      </c>
      <c r="H27" s="26" t="s">
        <v>286</v>
      </c>
      <c r="I27" s="27" t="s">
        <v>287</v>
      </c>
      <c r="J27" s="21"/>
      <c r="K27" s="21" t="str">
        <f>"195,0"</f>
        <v>195,0</v>
      </c>
      <c r="L27" s="21" t="str">
        <f>"114,0360"</f>
        <v>114,0360</v>
      </c>
      <c r="M27" s="20" t="s">
        <v>288</v>
      </c>
    </row>
    <row r="28" spans="1:13">
      <c r="A28" s="19" t="s">
        <v>175</v>
      </c>
      <c r="B28" s="18" t="s">
        <v>289</v>
      </c>
      <c r="C28" s="18" t="s">
        <v>290</v>
      </c>
      <c r="D28" s="18" t="s">
        <v>291</v>
      </c>
      <c r="E28" s="18" t="s">
        <v>657</v>
      </c>
      <c r="F28" s="18" t="s">
        <v>292</v>
      </c>
      <c r="G28" s="24" t="s">
        <v>104</v>
      </c>
      <c r="H28" s="24" t="s">
        <v>116</v>
      </c>
      <c r="I28" s="24" t="s">
        <v>88</v>
      </c>
      <c r="J28" s="19"/>
      <c r="K28" s="19" t="str">
        <f>"180,0"</f>
        <v>180,0</v>
      </c>
      <c r="L28" s="19" t="str">
        <f>"106,6590"</f>
        <v>106,6590</v>
      </c>
      <c r="M28" s="18"/>
    </row>
    <row r="29" spans="1:13">
      <c r="B29" s="5" t="s">
        <v>31</v>
      </c>
    </row>
    <row r="30" spans="1:13" ht="16">
      <c r="A30" s="33" t="s">
        <v>165</v>
      </c>
      <c r="B30" s="33"/>
      <c r="C30" s="33"/>
      <c r="D30" s="33"/>
      <c r="E30" s="33"/>
      <c r="F30" s="33"/>
      <c r="G30" s="33"/>
      <c r="H30" s="33"/>
      <c r="I30" s="33"/>
      <c r="J30" s="33"/>
    </row>
    <row r="31" spans="1:13">
      <c r="A31" s="17" t="s">
        <v>176</v>
      </c>
      <c r="B31" s="16" t="s">
        <v>170</v>
      </c>
      <c r="C31" s="16" t="s">
        <v>171</v>
      </c>
      <c r="D31" s="16" t="s">
        <v>172</v>
      </c>
      <c r="E31" s="16" t="s">
        <v>658</v>
      </c>
      <c r="F31" s="16" t="s">
        <v>14</v>
      </c>
      <c r="G31" s="23" t="s">
        <v>20</v>
      </c>
      <c r="H31" s="23" t="s">
        <v>20</v>
      </c>
      <c r="I31" s="17"/>
      <c r="J31" s="17"/>
      <c r="K31" s="17" t="str">
        <f>"0.00"</f>
        <v>0.00</v>
      </c>
      <c r="L31" s="17" t="str">
        <f>"0,0000"</f>
        <v>0,0000</v>
      </c>
      <c r="M31" s="16"/>
    </row>
    <row r="32" spans="1:13">
      <c r="A32" s="19" t="s">
        <v>30</v>
      </c>
      <c r="B32" s="18" t="s">
        <v>293</v>
      </c>
      <c r="C32" s="18" t="s">
        <v>294</v>
      </c>
      <c r="D32" s="18" t="s">
        <v>295</v>
      </c>
      <c r="E32" s="18" t="s">
        <v>665</v>
      </c>
      <c r="F32" s="18" t="s">
        <v>631</v>
      </c>
      <c r="G32" s="24" t="s">
        <v>21</v>
      </c>
      <c r="H32" s="24" t="s">
        <v>88</v>
      </c>
      <c r="I32" s="24" t="s">
        <v>136</v>
      </c>
      <c r="J32" s="19"/>
      <c r="K32" s="19" t="str">
        <f>"185,0"</f>
        <v>185,0</v>
      </c>
      <c r="L32" s="19" t="str">
        <f>"129,7995"</f>
        <v>129,7995</v>
      </c>
      <c r="M32" s="18"/>
    </row>
    <row r="33" spans="1:13">
      <c r="B33" s="5" t="s">
        <v>31</v>
      </c>
    </row>
    <row r="34" spans="1:13" ht="16">
      <c r="A34" s="33" t="s">
        <v>296</v>
      </c>
      <c r="B34" s="33"/>
      <c r="C34" s="33"/>
      <c r="D34" s="33"/>
      <c r="E34" s="33"/>
      <c r="F34" s="33"/>
      <c r="G34" s="33"/>
      <c r="H34" s="33"/>
      <c r="I34" s="33"/>
      <c r="J34" s="33"/>
    </row>
    <row r="35" spans="1:13">
      <c r="A35" s="17" t="s">
        <v>30</v>
      </c>
      <c r="B35" s="16" t="s">
        <v>297</v>
      </c>
      <c r="C35" s="16" t="s">
        <v>298</v>
      </c>
      <c r="D35" s="16" t="s">
        <v>299</v>
      </c>
      <c r="E35" s="16" t="s">
        <v>657</v>
      </c>
      <c r="F35" s="16" t="s">
        <v>300</v>
      </c>
      <c r="G35" s="22" t="s">
        <v>91</v>
      </c>
      <c r="H35" s="22" t="s">
        <v>120</v>
      </c>
      <c r="I35" s="22" t="s">
        <v>301</v>
      </c>
      <c r="J35" s="17"/>
      <c r="K35" s="17" t="str">
        <f>"227,5"</f>
        <v>227,5</v>
      </c>
      <c r="L35" s="17" t="str">
        <f>"127,7526"</f>
        <v>127,7526</v>
      </c>
      <c r="M35" s="16" t="s">
        <v>302</v>
      </c>
    </row>
    <row r="36" spans="1:13">
      <c r="A36" s="19" t="s">
        <v>176</v>
      </c>
      <c r="B36" s="18" t="s">
        <v>303</v>
      </c>
      <c r="C36" s="18" t="s">
        <v>304</v>
      </c>
      <c r="D36" s="18" t="s">
        <v>305</v>
      </c>
      <c r="E36" s="18" t="s">
        <v>657</v>
      </c>
      <c r="F36" s="18" t="s">
        <v>36</v>
      </c>
      <c r="G36" s="25" t="s">
        <v>89</v>
      </c>
      <c r="H36" s="25" t="s">
        <v>89</v>
      </c>
      <c r="I36" s="25" t="s">
        <v>89</v>
      </c>
      <c r="J36" s="19"/>
      <c r="K36" s="19" t="str">
        <f>"0.00"</f>
        <v>0.00</v>
      </c>
      <c r="L36" s="19" t="str">
        <f>"0,0000"</f>
        <v>0,0000</v>
      </c>
      <c r="M36" s="18" t="s">
        <v>582</v>
      </c>
    </row>
    <row r="37" spans="1:13">
      <c r="B37" s="5" t="s">
        <v>31</v>
      </c>
    </row>
    <row r="38" spans="1:13">
      <c r="B38" s="5" t="s">
        <v>31</v>
      </c>
    </row>
    <row r="39" spans="1:13">
      <c r="B39" s="5" t="s">
        <v>31</v>
      </c>
    </row>
    <row r="40" spans="1:13" ht="18">
      <c r="B40" s="9" t="s">
        <v>23</v>
      </c>
      <c r="C40" s="9"/>
      <c r="F40" s="3"/>
    </row>
    <row r="41" spans="1:13" ht="16">
      <c r="B41" s="10" t="s">
        <v>127</v>
      </c>
      <c r="C41" s="10"/>
      <c r="F41" s="3"/>
    </row>
    <row r="42" spans="1:13" ht="14">
      <c r="B42" s="11"/>
      <c r="C42" s="12" t="s">
        <v>24</v>
      </c>
      <c r="F42" s="3"/>
    </row>
    <row r="43" spans="1:13" ht="14">
      <c r="B43" s="13" t="s">
        <v>25</v>
      </c>
      <c r="C43" s="13" t="s">
        <v>26</v>
      </c>
      <c r="D43" s="13" t="s">
        <v>620</v>
      </c>
      <c r="E43" s="13" t="s">
        <v>306</v>
      </c>
      <c r="F43" s="13" t="s">
        <v>28</v>
      </c>
    </row>
    <row r="44" spans="1:13">
      <c r="B44" s="5" t="s">
        <v>297</v>
      </c>
      <c r="C44" s="5" t="s">
        <v>24</v>
      </c>
      <c r="D44" s="6" t="s">
        <v>307</v>
      </c>
      <c r="E44" s="6" t="s">
        <v>301</v>
      </c>
      <c r="F44" s="6" t="s">
        <v>308</v>
      </c>
    </row>
    <row r="45" spans="1:13">
      <c r="B45" s="5" t="s">
        <v>253</v>
      </c>
      <c r="C45" s="5" t="s">
        <v>24</v>
      </c>
      <c r="D45" s="6" t="s">
        <v>29</v>
      </c>
      <c r="E45" s="6" t="s">
        <v>20</v>
      </c>
      <c r="F45" s="6" t="s">
        <v>309</v>
      </c>
    </row>
    <row r="46" spans="1:13">
      <c r="B46" s="5" t="s">
        <v>257</v>
      </c>
      <c r="C46" s="5" t="s">
        <v>24</v>
      </c>
      <c r="D46" s="6" t="s">
        <v>29</v>
      </c>
      <c r="E46" s="6" t="s">
        <v>97</v>
      </c>
      <c r="F46" s="6" t="s">
        <v>310</v>
      </c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4:J34"/>
    <mergeCell ref="B3:B4"/>
    <mergeCell ref="A8:J8"/>
    <mergeCell ref="A11:J11"/>
    <mergeCell ref="A16:J16"/>
    <mergeCell ref="A19:J19"/>
    <mergeCell ref="A24:J24"/>
    <mergeCell ref="A30:J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GPA ПЛ без экипировки ДК</vt:lpstr>
      <vt:lpstr>GPA ПЛ без экипировки</vt:lpstr>
      <vt:lpstr>GPA ПЛ в бинтах ДК</vt:lpstr>
      <vt:lpstr>GPA ПЛ в бинтах</vt:lpstr>
      <vt:lpstr>GPA Двоеборье без экип ДК</vt:lpstr>
      <vt:lpstr>GPA Двоеборье без экип</vt:lpstr>
      <vt:lpstr>GPA Присед в бинтах ДК</vt:lpstr>
      <vt:lpstr>GPA Жим без экипировки ДК</vt:lpstr>
      <vt:lpstr>GPA Жим без экипировки</vt:lpstr>
      <vt:lpstr>IPO Жим однослой ДК</vt:lpstr>
      <vt:lpstr>IPO Жим многослой</vt:lpstr>
      <vt:lpstr>СПР Жим софт однопетельная ДК</vt:lpstr>
      <vt:lpstr>СПР Жим софт однопетельная</vt:lpstr>
      <vt:lpstr>СПР Жим софт многопетельная ДК</vt:lpstr>
      <vt:lpstr>СПР Жим софт многопетельная</vt:lpstr>
      <vt:lpstr>СПР Жим СФО</vt:lpstr>
      <vt:lpstr>GPA Тяга без экипировки ДК</vt:lpstr>
      <vt:lpstr>GPA Тяга без экипировки</vt:lpstr>
      <vt:lpstr>IPO Тяга в экипировке</vt:lpstr>
      <vt:lpstr>СПР Пауэрспорт ДК</vt:lpstr>
      <vt:lpstr>СПР Пауэрспорт</vt:lpstr>
      <vt:lpstr>СПР Жим стоя ДК</vt:lpstr>
      <vt:lpstr>СПР Подъем на бицепс ДК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2021-12-25T21:13:50Z</dcterms:modified>
</cp:coreProperties>
</file>