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5" windowWidth="11340" windowHeight="9690" activeTab="1"/>
  </bookViews>
  <sheets>
    <sheet name="Лист18" sheetId="23" r:id="rId1"/>
    <sheet name="AWPA m.ply PL" sheetId="22" r:id="rId2"/>
    <sheet name="AWPA s.ply PL" sheetId="21" r:id="rId3"/>
    <sheet name="AWPA raw PL" sheetId="20" r:id="rId4"/>
    <sheet name="AWPA m.ply BP" sheetId="19" r:id="rId5"/>
    <sheet name="AWPA s.ply BP" sheetId="18" r:id="rId6"/>
    <sheet name="AWPA raw BP" sheetId="17" r:id="rId7"/>
    <sheet name="AWPA m.ply DL" sheetId="16" r:id="rId8"/>
    <sheet name="AWPA s.ply DL" sheetId="15" r:id="rId9"/>
    <sheet name="AWPA raw DL" sheetId="14" r:id="rId10"/>
    <sheet name="WPA m.ply PL" sheetId="13" r:id="rId11"/>
    <sheet name="WPA s.ply PL" sheetId="12" r:id="rId12"/>
    <sheet name="WPA raw PL" sheetId="11" r:id="rId13"/>
    <sheet name="WPA m.ply BP" sheetId="10" r:id="rId14"/>
    <sheet name="WPA s.ply BP" sheetId="9" r:id="rId15"/>
    <sheet name="WPA raw BP" sheetId="8" r:id="rId16"/>
    <sheet name="WPA m.ply DL" sheetId="7" r:id="rId17"/>
    <sheet name="WPA s.ply DL" sheetId="6" r:id="rId18"/>
    <sheet name="WPA raw DL" sheetId="5" r:id="rId19"/>
  </sheets>
  <definedNames>
    <definedName name="_FilterDatabase" localSheetId="18" hidden="1">'WPA raw DL'!$A$1:$K$3</definedName>
  </definedNames>
  <calcPr calcId="145621" refMode="R1C1"/>
</workbook>
</file>

<file path=xl/calcChain.xml><?xml version="1.0" encoding="utf-8"?>
<calcChain xmlns="http://schemas.openxmlformats.org/spreadsheetml/2006/main">
  <c r="T16" i="21" l="1"/>
  <c r="S16" i="21"/>
  <c r="D16" i="21"/>
  <c r="T15" i="21"/>
  <c r="S15" i="21"/>
  <c r="D15" i="21"/>
  <c r="T12" i="21"/>
  <c r="S12" i="21"/>
  <c r="D12" i="21"/>
  <c r="T9" i="21"/>
  <c r="S9" i="21"/>
  <c r="D9" i="21"/>
  <c r="T6" i="21"/>
  <c r="S6" i="21"/>
  <c r="D6" i="21"/>
  <c r="T50" i="20"/>
  <c r="S50" i="20"/>
  <c r="D50" i="20"/>
  <c r="T49" i="20"/>
  <c r="S49" i="20"/>
  <c r="D49" i="20"/>
  <c r="T46" i="20"/>
  <c r="S46" i="20"/>
  <c r="D46" i="20"/>
  <c r="T45" i="20"/>
  <c r="S45" i="20"/>
  <c r="D45" i="20"/>
  <c r="T44" i="20"/>
  <c r="S44" i="20"/>
  <c r="D44" i="20"/>
  <c r="T43" i="20"/>
  <c r="S43" i="20"/>
  <c r="D43" i="20"/>
  <c r="T40" i="20"/>
  <c r="S40" i="20"/>
  <c r="D40" i="20"/>
  <c r="T39" i="20"/>
  <c r="S39" i="20"/>
  <c r="D39" i="20"/>
  <c r="T38" i="20"/>
  <c r="S38" i="20"/>
  <c r="D38" i="20"/>
  <c r="T35" i="20"/>
  <c r="S35" i="20"/>
  <c r="D35" i="20"/>
  <c r="T34" i="20"/>
  <c r="S34" i="20"/>
  <c r="D34" i="20"/>
  <c r="T33" i="20"/>
  <c r="S33" i="20"/>
  <c r="D33" i="20"/>
  <c r="T30" i="20"/>
  <c r="S30" i="20"/>
  <c r="D30" i="20"/>
  <c r="T29" i="20"/>
  <c r="S29" i="20"/>
  <c r="D29" i="20"/>
  <c r="T28" i="20"/>
  <c r="S28" i="20"/>
  <c r="D28" i="20"/>
  <c r="T27" i="20"/>
  <c r="S27" i="20"/>
  <c r="D27" i="20"/>
  <c r="T26" i="20"/>
  <c r="S26" i="20"/>
  <c r="D26" i="20"/>
  <c r="T23" i="20"/>
  <c r="S23" i="20"/>
  <c r="D23" i="20"/>
  <c r="T20" i="20"/>
  <c r="S20" i="20"/>
  <c r="D20" i="20"/>
  <c r="T17" i="20"/>
  <c r="S17" i="20"/>
  <c r="D17" i="20"/>
  <c r="T14" i="20"/>
  <c r="S14" i="20"/>
  <c r="D14" i="20"/>
  <c r="T13" i="20"/>
  <c r="S13" i="20"/>
  <c r="D13" i="20"/>
  <c r="T10" i="20"/>
  <c r="S10" i="20"/>
  <c r="D10" i="20"/>
  <c r="T9" i="20"/>
  <c r="S9" i="20"/>
  <c r="D9" i="20"/>
  <c r="T8" i="20"/>
  <c r="S8" i="20"/>
  <c r="D8" i="20"/>
  <c r="T7" i="20"/>
  <c r="S7" i="20"/>
  <c r="D7" i="20"/>
  <c r="T6" i="20"/>
  <c r="S6" i="20"/>
  <c r="D6" i="20"/>
  <c r="L9" i="18"/>
  <c r="K9" i="18"/>
  <c r="D9" i="18"/>
  <c r="L6" i="18"/>
  <c r="K6" i="18"/>
  <c r="D6" i="18"/>
  <c r="L88" i="17"/>
  <c r="K88" i="17"/>
  <c r="D88" i="17"/>
  <c r="L87" i="17"/>
  <c r="K87" i="17"/>
  <c r="D87" i="17"/>
  <c r="L84" i="17"/>
  <c r="K84" i="17"/>
  <c r="D84" i="17"/>
  <c r="L83" i="17"/>
  <c r="K83" i="17"/>
  <c r="D83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4" i="17"/>
  <c r="K74" i="17"/>
  <c r="D74" i="17"/>
  <c r="L73" i="17"/>
  <c r="K73" i="17"/>
  <c r="D73" i="17"/>
  <c r="L72" i="17"/>
  <c r="K72" i="17"/>
  <c r="D72" i="17"/>
  <c r="L71" i="17"/>
  <c r="K71" i="17"/>
  <c r="D71" i="17"/>
  <c r="L70" i="17"/>
  <c r="K70" i="17"/>
  <c r="D70" i="17"/>
  <c r="L69" i="17"/>
  <c r="K69" i="17"/>
  <c r="D69" i="17"/>
  <c r="L68" i="17"/>
  <c r="K68" i="17"/>
  <c r="D68" i="17"/>
  <c r="L65" i="17"/>
  <c r="K65" i="17"/>
  <c r="D65" i="17"/>
  <c r="L64" i="17"/>
  <c r="K64" i="17"/>
  <c r="D64" i="17"/>
  <c r="L63" i="17"/>
  <c r="K63" i="17"/>
  <c r="D63" i="17"/>
  <c r="L62" i="17"/>
  <c r="K62" i="17"/>
  <c r="D62" i="17"/>
  <c r="L61" i="17"/>
  <c r="K61" i="17"/>
  <c r="D61" i="17"/>
  <c r="L60" i="17"/>
  <c r="K60" i="17"/>
  <c r="D60" i="17"/>
  <c r="L59" i="17"/>
  <c r="K59" i="17"/>
  <c r="D59" i="17"/>
  <c r="L58" i="17"/>
  <c r="K58" i="17"/>
  <c r="D58" i="17"/>
  <c r="L57" i="17"/>
  <c r="K57" i="17"/>
  <c r="D57" i="17"/>
  <c r="L56" i="17"/>
  <c r="K56" i="17"/>
  <c r="D56" i="17"/>
  <c r="L55" i="17"/>
  <c r="K55" i="17"/>
  <c r="D55" i="17"/>
  <c r="L52" i="17"/>
  <c r="K52" i="17"/>
  <c r="D52" i="17"/>
  <c r="L51" i="17"/>
  <c r="K51" i="17"/>
  <c r="D51" i="17"/>
  <c r="L50" i="17"/>
  <c r="K50" i="17"/>
  <c r="D50" i="17"/>
  <c r="L49" i="17"/>
  <c r="K49" i="17"/>
  <c r="D49" i="17"/>
  <c r="L48" i="17"/>
  <c r="K48" i="17"/>
  <c r="D48" i="17"/>
  <c r="L47" i="17"/>
  <c r="K47" i="17"/>
  <c r="D47" i="17"/>
  <c r="L46" i="17"/>
  <c r="K46" i="17"/>
  <c r="D46" i="17"/>
  <c r="L45" i="17"/>
  <c r="K45" i="17"/>
  <c r="D45" i="17"/>
  <c r="L44" i="17"/>
  <c r="K44" i="17"/>
  <c r="D44" i="17"/>
  <c r="L43" i="17"/>
  <c r="K43" i="17"/>
  <c r="D43" i="17"/>
  <c r="L40" i="17"/>
  <c r="K40" i="17"/>
  <c r="D40" i="17"/>
  <c r="L39" i="17"/>
  <c r="K39" i="17"/>
  <c r="D39" i="17"/>
  <c r="L38" i="17"/>
  <c r="K38" i="17"/>
  <c r="D38" i="17"/>
  <c r="L37" i="17"/>
  <c r="K37" i="17"/>
  <c r="D37" i="17"/>
  <c r="L34" i="17"/>
  <c r="K34" i="17"/>
  <c r="D34" i="17"/>
  <c r="L33" i="17"/>
  <c r="K33" i="17"/>
  <c r="D33" i="17"/>
  <c r="L32" i="17"/>
  <c r="K32" i="17"/>
  <c r="D32" i="17"/>
  <c r="L31" i="17"/>
  <c r="K31" i="17"/>
  <c r="D31" i="17"/>
  <c r="L30" i="17"/>
  <c r="K30" i="17"/>
  <c r="D30" i="17"/>
  <c r="L29" i="17"/>
  <c r="K29" i="17"/>
  <c r="D29" i="17"/>
  <c r="L28" i="17"/>
  <c r="K28" i="17"/>
  <c r="D28" i="17"/>
  <c r="L27" i="17"/>
  <c r="K27" i="17"/>
  <c r="D27" i="17"/>
  <c r="L24" i="17"/>
  <c r="K24" i="17"/>
  <c r="D24" i="17"/>
  <c r="L21" i="17"/>
  <c r="K21" i="17"/>
  <c r="D21" i="17"/>
  <c r="L18" i="17"/>
  <c r="K18" i="17"/>
  <c r="D18" i="17"/>
  <c r="L15" i="17"/>
  <c r="K15" i="17"/>
  <c r="D15" i="17"/>
  <c r="L12" i="17"/>
  <c r="K12" i="17"/>
  <c r="D12" i="17"/>
  <c r="L9" i="17"/>
  <c r="K9" i="17"/>
  <c r="D9" i="17"/>
  <c r="L6" i="17"/>
  <c r="K6" i="17"/>
  <c r="D6" i="17"/>
  <c r="L15" i="15"/>
  <c r="K15" i="15"/>
  <c r="D15" i="15"/>
  <c r="L12" i="15"/>
  <c r="K12" i="15"/>
  <c r="D12" i="15"/>
  <c r="L9" i="15"/>
  <c r="K9" i="15"/>
  <c r="D9" i="15"/>
  <c r="L6" i="15"/>
  <c r="K6" i="15"/>
  <c r="D6" i="15"/>
  <c r="L48" i="14"/>
  <c r="K48" i="14"/>
  <c r="D48" i="14"/>
  <c r="L45" i="14"/>
  <c r="K45" i="14"/>
  <c r="D45" i="14"/>
  <c r="L44" i="14"/>
  <c r="K44" i="14"/>
  <c r="D44" i="14"/>
  <c r="L43" i="14"/>
  <c r="K43" i="14"/>
  <c r="D43" i="14"/>
  <c r="L40" i="14"/>
  <c r="K40" i="14"/>
  <c r="D40" i="14"/>
  <c r="L39" i="14"/>
  <c r="K39" i="14"/>
  <c r="D39" i="14"/>
  <c r="L38" i="14"/>
  <c r="K38" i="14"/>
  <c r="D38" i="14"/>
  <c r="L35" i="14"/>
  <c r="K35" i="14"/>
  <c r="D35" i="14"/>
  <c r="L34" i="14"/>
  <c r="K34" i="14"/>
  <c r="D34" i="14"/>
  <c r="L33" i="14"/>
  <c r="K33" i="14"/>
  <c r="D33" i="14"/>
  <c r="L32" i="14"/>
  <c r="K32" i="14"/>
  <c r="D32" i="14"/>
  <c r="L31" i="14"/>
  <c r="K31" i="14"/>
  <c r="D31" i="14"/>
  <c r="L30" i="14"/>
  <c r="K30" i="14"/>
  <c r="D30" i="14"/>
  <c r="L27" i="14"/>
  <c r="K27" i="14"/>
  <c r="D27" i="14"/>
  <c r="L24" i="14"/>
  <c r="K24" i="14"/>
  <c r="D24" i="14"/>
  <c r="L23" i="14"/>
  <c r="K23" i="14"/>
  <c r="D23" i="14"/>
  <c r="L22" i="14"/>
  <c r="K22" i="14"/>
  <c r="D22" i="14"/>
  <c r="L19" i="14"/>
  <c r="K19" i="14"/>
  <c r="D19" i="14"/>
  <c r="L18" i="14"/>
  <c r="K18" i="14"/>
  <c r="D18" i="14"/>
  <c r="L15" i="14"/>
  <c r="K15" i="14"/>
  <c r="D15" i="14"/>
  <c r="L12" i="14"/>
  <c r="K12" i="14"/>
  <c r="D12" i="14"/>
  <c r="L9" i="14"/>
  <c r="K9" i="14"/>
  <c r="D9" i="14"/>
  <c r="L6" i="14"/>
  <c r="K6" i="14"/>
  <c r="D6" i="14"/>
  <c r="T10" i="12"/>
  <c r="S10" i="12"/>
  <c r="D10" i="12"/>
  <c r="T7" i="12"/>
  <c r="S7" i="12"/>
  <c r="D7" i="12"/>
  <c r="T6" i="12"/>
  <c r="S6" i="12"/>
  <c r="D6" i="12"/>
  <c r="T25" i="11"/>
  <c r="S25" i="11"/>
  <c r="D25" i="11"/>
  <c r="T24" i="11"/>
  <c r="S24" i="11"/>
  <c r="D24" i="11"/>
  <c r="T21" i="11"/>
  <c r="S21" i="11"/>
  <c r="D21" i="11"/>
  <c r="T20" i="11"/>
  <c r="S20" i="11"/>
  <c r="D20" i="11"/>
  <c r="T17" i="11"/>
  <c r="S17" i="11"/>
  <c r="D17" i="11"/>
  <c r="T16" i="11"/>
  <c r="S16" i="11"/>
  <c r="D16" i="11"/>
  <c r="T15" i="11"/>
  <c r="S15" i="11"/>
  <c r="D15" i="11"/>
  <c r="T14" i="11"/>
  <c r="S14" i="11"/>
  <c r="D14" i="11"/>
  <c r="T13" i="11"/>
  <c r="S13" i="11"/>
  <c r="D13" i="11"/>
  <c r="T10" i="11"/>
  <c r="S10" i="11"/>
  <c r="D10" i="11"/>
  <c r="T7" i="11"/>
  <c r="S7" i="11"/>
  <c r="D7" i="11"/>
  <c r="T6" i="11"/>
  <c r="S6" i="11"/>
  <c r="D6" i="11"/>
  <c r="L11" i="9"/>
  <c r="K11" i="9"/>
  <c r="D11" i="9"/>
  <c r="L8" i="9"/>
  <c r="K8" i="9"/>
  <c r="D8" i="9"/>
  <c r="L7" i="9"/>
  <c r="K7" i="9"/>
  <c r="D7" i="9"/>
  <c r="L6" i="9"/>
  <c r="K6" i="9"/>
  <c r="D6" i="9"/>
  <c r="L40" i="8"/>
  <c r="K40" i="8"/>
  <c r="D40" i="8"/>
  <c r="L39" i="8"/>
  <c r="K39" i="8"/>
  <c r="D39" i="8"/>
  <c r="L38" i="8"/>
  <c r="K38" i="8"/>
  <c r="D38" i="8"/>
  <c r="L37" i="8"/>
  <c r="K37" i="8"/>
  <c r="D37" i="8"/>
  <c r="L34" i="8"/>
  <c r="K34" i="8"/>
  <c r="D34" i="8"/>
  <c r="L33" i="8"/>
  <c r="K33" i="8"/>
  <c r="D33" i="8"/>
  <c r="L32" i="8"/>
  <c r="K32" i="8"/>
  <c r="D32" i="8"/>
  <c r="L31" i="8"/>
  <c r="K31" i="8"/>
  <c r="D31" i="8"/>
  <c r="L30" i="8"/>
  <c r="K30" i="8"/>
  <c r="D30" i="8"/>
  <c r="L27" i="8"/>
  <c r="K27" i="8"/>
  <c r="D27" i="8"/>
  <c r="L26" i="8"/>
  <c r="K26" i="8"/>
  <c r="D26" i="8"/>
  <c r="L25" i="8"/>
  <c r="K25" i="8"/>
  <c r="D25" i="8"/>
  <c r="L24" i="8"/>
  <c r="K24" i="8"/>
  <c r="D24" i="8"/>
  <c r="L23" i="8"/>
  <c r="K23" i="8"/>
  <c r="D23" i="8"/>
  <c r="L20" i="8"/>
  <c r="K20" i="8"/>
  <c r="D20" i="8"/>
  <c r="L19" i="8"/>
  <c r="K19" i="8"/>
  <c r="D19" i="8"/>
  <c r="L16" i="8"/>
  <c r="K16" i="8"/>
  <c r="D16" i="8"/>
  <c r="L15" i="8"/>
  <c r="K15" i="8"/>
  <c r="D15" i="8"/>
  <c r="L12" i="8"/>
  <c r="K12" i="8"/>
  <c r="D12" i="8"/>
  <c r="L9" i="8"/>
  <c r="K9" i="8"/>
  <c r="D9" i="8"/>
  <c r="L6" i="8"/>
  <c r="K6" i="8"/>
  <c r="D6" i="8"/>
  <c r="L6" i="6"/>
  <c r="K6" i="6"/>
  <c r="D6" i="6"/>
  <c r="L29" i="5"/>
  <c r="K29" i="5"/>
  <c r="D29" i="5"/>
  <c r="L28" i="5"/>
  <c r="K28" i="5"/>
  <c r="D28" i="5"/>
  <c r="L27" i="5"/>
  <c r="K27" i="5"/>
  <c r="D27" i="5"/>
  <c r="L26" i="5"/>
  <c r="K26" i="5"/>
  <c r="D26" i="5"/>
  <c r="L23" i="5"/>
  <c r="K23" i="5"/>
  <c r="D23" i="5"/>
  <c r="L22" i="5"/>
  <c r="K22" i="5"/>
  <c r="D22" i="5"/>
  <c r="L19" i="5"/>
  <c r="K19" i="5"/>
  <c r="D19" i="5"/>
  <c r="L18" i="5"/>
  <c r="K18" i="5"/>
  <c r="D18" i="5"/>
  <c r="L15" i="5"/>
  <c r="K15" i="5"/>
  <c r="D15" i="5"/>
  <c r="L12" i="5"/>
  <c r="K12" i="5"/>
  <c r="D12" i="5"/>
  <c r="L11" i="5"/>
  <c r="K11" i="5"/>
  <c r="D11" i="5"/>
  <c r="L10" i="5"/>
  <c r="K10" i="5"/>
  <c r="D10" i="5"/>
  <c r="L7" i="5"/>
  <c r="K7" i="5"/>
  <c r="D7" i="5"/>
  <c r="L6" i="5"/>
  <c r="K6" i="5"/>
  <c r="D6" i="5"/>
</calcChain>
</file>

<file path=xl/sharedStrings.xml><?xml version="1.0" encoding="utf-8"?>
<sst xmlns="http://schemas.openxmlformats.org/spreadsheetml/2006/main" count="3149" uniqueCount="960">
  <si>
    <t>Name</t>
  </si>
  <si>
    <t>Team</t>
  </si>
  <si>
    <t>Town</t>
  </si>
  <si>
    <t>Squat</t>
  </si>
  <si>
    <t>Benchpress</t>
  </si>
  <si>
    <t>Deadlift</t>
  </si>
  <si>
    <t>Coach</t>
  </si>
  <si>
    <t>Pts</t>
  </si>
  <si>
    <t>Rec</t>
  </si>
  <si>
    <t>Body
weight</t>
  </si>
  <si>
    <t>Coef</t>
  </si>
  <si>
    <t>Total</t>
  </si>
  <si>
    <t>Age Class
Bith date/Age</t>
  </si>
  <si>
    <t>открытый чемпионат Азии
WPA raw deadlift
Владивосток/Приморский край 1 - 2 февраля 2019 г.</t>
  </si>
  <si>
    <t>Shv/Mel</t>
  </si>
  <si>
    <t>Town/Region</t>
  </si>
  <si>
    <t>Body Weight Category  75</t>
  </si>
  <si>
    <t>Ivashchenko Vladislav</t>
  </si>
  <si>
    <t>1. Ivashchenko Vladislav</t>
  </si>
  <si>
    <t>Open (22.10.1993)/25</t>
  </si>
  <si>
    <t>67,70</t>
  </si>
  <si>
    <t>lichno</t>
  </si>
  <si>
    <t>Vladivostok/Primorskiy kray</t>
  </si>
  <si>
    <t>180,0</t>
  </si>
  <si>
    <t>190,0</t>
  </si>
  <si>
    <t>202,5</t>
  </si>
  <si>
    <t>-. Petruk Aleksandr</t>
  </si>
  <si>
    <t>Open (18.09.1978)/40</t>
  </si>
  <si>
    <t>75,00</t>
  </si>
  <si>
    <t>Body Weight Category  82.5</t>
  </si>
  <si>
    <t>Zimin Yaroslav</t>
  </si>
  <si>
    <t>1. Zimin Yaroslav</t>
  </si>
  <si>
    <t>Juniors 20-23 (09.07.1998)/20</t>
  </si>
  <si>
    <t>82,10</t>
  </si>
  <si>
    <t>Artem/Primorskiy kray</t>
  </si>
  <si>
    <t>245,0</t>
  </si>
  <si>
    <t>260,0</t>
  </si>
  <si>
    <t>292,5</t>
  </si>
  <si>
    <t>Rayevskiy Aleksandr</t>
  </si>
  <si>
    <t>1. Rayevskiy Aleksandr</t>
  </si>
  <si>
    <t>Open (20.07.1983)/35</t>
  </si>
  <si>
    <t>77,90</t>
  </si>
  <si>
    <t>Khabarovsk/Khabarovskiy kray</t>
  </si>
  <si>
    <t>270,0</t>
  </si>
  <si>
    <t>272,5</t>
  </si>
  <si>
    <t>Sub Masters 33-39 (20.07.1983)/35</t>
  </si>
  <si>
    <t>Body Weight Category  90</t>
  </si>
  <si>
    <t>Martyuchenko Dmitriy</t>
  </si>
  <si>
    <t>1. Martyuchenko Dmitriy</t>
  </si>
  <si>
    <t>Masters 45-49 (29.10.1972)/46</t>
  </si>
  <si>
    <t>88,20</t>
  </si>
  <si>
    <t>240,0</t>
  </si>
  <si>
    <t>255,0</t>
  </si>
  <si>
    <t>265,0</t>
  </si>
  <si>
    <t>Body Weight Category  100</t>
  </si>
  <si>
    <t>Trubovich Konstantin</t>
  </si>
  <si>
    <t>1. Trubovich Konstantin</t>
  </si>
  <si>
    <t>Teen 16-17 (30.03.2001)/17</t>
  </si>
  <si>
    <t>91,20</t>
  </si>
  <si>
    <t>195,0</t>
  </si>
  <si>
    <t>205,0</t>
  </si>
  <si>
    <t>210,0</t>
  </si>
  <si>
    <t>Sidorov Vyacheslav</t>
  </si>
  <si>
    <t>1. Sidorov Vyacheslav</t>
  </si>
  <si>
    <t>Masters 40-44 (01.11.1978)/40</t>
  </si>
  <si>
    <t>97,10</t>
  </si>
  <si>
    <t>200,0</t>
  </si>
  <si>
    <t>220,0</t>
  </si>
  <si>
    <t>Body Weight Category  110</t>
  </si>
  <si>
    <t>Volkov Aleksandr</t>
  </si>
  <si>
    <t>1. Volkov Aleksandr</t>
  </si>
  <si>
    <t>Open (07.11.1987)/31</t>
  </si>
  <si>
    <t>103,30</t>
  </si>
  <si>
    <t>285,0</t>
  </si>
  <si>
    <t>295,0</t>
  </si>
  <si>
    <t>Molochko Oleg</t>
  </si>
  <si>
    <t>1. Molochko Oleg</t>
  </si>
  <si>
    <t>Masters 40-44 (28.07.1976)/42</t>
  </si>
  <si>
    <t>109,60</t>
  </si>
  <si>
    <t>230,0</t>
  </si>
  <si>
    <t>247,5</t>
  </si>
  <si>
    <t>Body Weight Category  125</t>
  </si>
  <si>
    <t>Rychkov Yevgeniy</t>
  </si>
  <si>
    <t>1. Rychkov Yevgeniy</t>
  </si>
  <si>
    <t>Open (15.11.1987)/31</t>
  </si>
  <si>
    <t>120,90</t>
  </si>
  <si>
    <t>Arsenyev/Primorskiy kray</t>
  </si>
  <si>
    <t>275,0</t>
  </si>
  <si>
    <t>Ovchinnikov Fedor</t>
  </si>
  <si>
    <t>1. Ovchinnikov Fedor</t>
  </si>
  <si>
    <t>Masters 45-49 (11.07.1971)/47</t>
  </si>
  <si>
    <t>118,20</t>
  </si>
  <si>
    <t>280,0</t>
  </si>
  <si>
    <t>300,0</t>
  </si>
  <si>
    <t>320,0</t>
  </si>
  <si>
    <t>Kayekhtin Andrey</t>
  </si>
  <si>
    <t>1. Kayekhtin Andrey</t>
  </si>
  <si>
    <t>Masters 50-54 (04.12.1968)/50</t>
  </si>
  <si>
    <t>117,70</t>
  </si>
  <si>
    <t>290,0</t>
  </si>
  <si>
    <t>Belykh Vladimir</t>
  </si>
  <si>
    <t>1. Belykh Vladimir</t>
  </si>
  <si>
    <t>Masters 60-64 (24.04.1958)/60</t>
  </si>
  <si>
    <t>114,80</t>
  </si>
  <si>
    <t>Meet director:</t>
  </si>
  <si>
    <t>Head secretary:</t>
  </si>
  <si>
    <t>Head Referee:</t>
  </si>
  <si>
    <t>Side Referyy Left:</t>
  </si>
  <si>
    <t>Side Referyy Right:</t>
  </si>
  <si>
    <t>Fligth secretary:</t>
  </si>
  <si>
    <t>List absolute winners</t>
  </si>
  <si>
    <t>Man</t>
  </si>
  <si>
    <t>Teen</t>
  </si>
  <si>
    <t>Age class</t>
  </si>
  <si>
    <t>WC</t>
  </si>
  <si>
    <t>Totall</t>
  </si>
  <si>
    <t>Teen 16-17</t>
  </si>
  <si>
    <t>100,0</t>
  </si>
  <si>
    <t>121,9680</t>
  </si>
  <si>
    <t>Juniors</t>
  </si>
  <si>
    <t>Juniors 20-23</t>
  </si>
  <si>
    <t>82,5</t>
  </si>
  <si>
    <t>161,5640</t>
  </si>
  <si>
    <t>Open</t>
  </si>
  <si>
    <t>175,8715</t>
  </si>
  <si>
    <t>110,0</t>
  </si>
  <si>
    <t>155,8665</t>
  </si>
  <si>
    <t>125,0</t>
  </si>
  <si>
    <t>155,1995</t>
  </si>
  <si>
    <t>75,0</t>
  </si>
  <si>
    <t>137,5410</t>
  </si>
  <si>
    <t>Sub</t>
  </si>
  <si>
    <t>Sub Masters 33-39</t>
  </si>
  <si>
    <t>Masters</t>
  </si>
  <si>
    <t>Masters 45-49</t>
  </si>
  <si>
    <t>184,7140</t>
  </si>
  <si>
    <t>Masters 50-54</t>
  </si>
  <si>
    <t>179,9499</t>
  </si>
  <si>
    <t>Masters 60-64</t>
  </si>
  <si>
    <t>174,8964</t>
  </si>
  <si>
    <t>90,0</t>
  </si>
  <si>
    <t>161,5398</t>
  </si>
  <si>
    <t>Masters 40-44</t>
  </si>
  <si>
    <t>124,6216</t>
  </si>
  <si>
    <t>123,5520</t>
  </si>
  <si>
    <t>Result</t>
  </si>
  <si>
    <t>открытый чемпионат Азии
WPA single ply deadlift
Владивосток/Приморский край 1 - 2 февраля 2019 г.</t>
  </si>
  <si>
    <t>Mamedov Aleksandr</t>
  </si>
  <si>
    <t>1. Mamedov Aleksandr</t>
  </si>
  <si>
    <t>Open (25.11.1988)/30</t>
  </si>
  <si>
    <t>80,40</t>
  </si>
  <si>
    <t>225,0</t>
  </si>
  <si>
    <t>235,0</t>
  </si>
  <si>
    <t>141,9075</t>
  </si>
  <si>
    <t>открытый чемпионат Азии
WPA multi ply deadlift
Владивосток/Приморский край 1 - 2 февраля 2019 г.</t>
  </si>
  <si>
    <t>открытый чемпионат Азии
WPA raw benchpress
Владивосток/Приморский край 1 - 2 февраля 2019 г.</t>
  </si>
  <si>
    <t>Body Weight Category  44</t>
  </si>
  <si>
    <t>Kalandarova Nadezhda</t>
  </si>
  <si>
    <t>1. Kalandarova Nadezhda</t>
  </si>
  <si>
    <t>Teen 13-15 (04.03.2005)/13</t>
  </si>
  <si>
    <t>32,30</t>
  </si>
  <si>
    <t>Ussuriysk/Primorskiy kray</t>
  </si>
  <si>
    <t>20,0</t>
  </si>
  <si>
    <t>22,5</t>
  </si>
  <si>
    <t>25,0</t>
  </si>
  <si>
    <t>Chekanova Yevgeniya</t>
  </si>
  <si>
    <t>1. Chekanova Yevgeniya</t>
  </si>
  <si>
    <t>Masters 45-49 (01.02.1972)/47</t>
  </si>
  <si>
    <t>71,90</t>
  </si>
  <si>
    <t>Nakhodka/Primorskiy kray</t>
  </si>
  <si>
    <t>45,0</t>
  </si>
  <si>
    <t>50,0</t>
  </si>
  <si>
    <t>55,0</t>
  </si>
  <si>
    <t>Zozulya Konstantin</t>
  </si>
  <si>
    <t>1. Zozulya Konstantin</t>
  </si>
  <si>
    <t>Open (09.04.1993)/25</t>
  </si>
  <si>
    <t>74,60</t>
  </si>
  <si>
    <t>172,5</t>
  </si>
  <si>
    <t>Ibragimov Konstantin</t>
  </si>
  <si>
    <t>1. Ibragimov Konstantin</t>
  </si>
  <si>
    <t>Open (18.07.1986)/32</t>
  </si>
  <si>
    <t>81,10</t>
  </si>
  <si>
    <t>135,0</t>
  </si>
  <si>
    <t>140,0</t>
  </si>
  <si>
    <t>147,5</t>
  </si>
  <si>
    <t>Konyakhin Ivan</t>
  </si>
  <si>
    <t>1. Konyakhin Ivan</t>
  </si>
  <si>
    <t>Masters 40-44 (13.04.1974)/44</t>
  </si>
  <si>
    <t>78,20</t>
  </si>
  <si>
    <t>130,0</t>
  </si>
  <si>
    <t>150,0</t>
  </si>
  <si>
    <t>Kushnar Pavel</t>
  </si>
  <si>
    <t>1. Kushnar Pavel</t>
  </si>
  <si>
    <t>Open (18.10.1991)/27</t>
  </si>
  <si>
    <t>87,90</t>
  </si>
  <si>
    <t>Tikhonov Konstantin</t>
  </si>
  <si>
    <t>1. Tikhonov Konstantin</t>
  </si>
  <si>
    <t>Masters 40-44 (31.12.1974)/44</t>
  </si>
  <si>
    <t>85,70</t>
  </si>
  <si>
    <t>120,0</t>
  </si>
  <si>
    <t>Stavitskiy Maksim</t>
  </si>
  <si>
    <t>1. Stavitskiy Maksim</t>
  </si>
  <si>
    <t>Teen 18-19 (15.02.1999)/19</t>
  </si>
  <si>
    <t>92,80</t>
  </si>
  <si>
    <t>Zeya/Amurskaya oblast</t>
  </si>
  <si>
    <t>155,0</t>
  </si>
  <si>
    <t>Laletin Artem</t>
  </si>
  <si>
    <t>1. Laletin Artem</t>
  </si>
  <si>
    <t>Open (20.05.1989)/29</t>
  </si>
  <si>
    <t>97,00</t>
  </si>
  <si>
    <t>185,0</t>
  </si>
  <si>
    <t>Rakhimov Andrey</t>
  </si>
  <si>
    <t>2. Rakhimov Andrey</t>
  </si>
  <si>
    <t>Open (04.01.1980)/39</t>
  </si>
  <si>
    <t>98,10</t>
  </si>
  <si>
    <t>142,5</t>
  </si>
  <si>
    <t>Glok Sergey</t>
  </si>
  <si>
    <t>1. Glok Sergey</t>
  </si>
  <si>
    <t>Masters 40-44 (04.02.1978)/40</t>
  </si>
  <si>
    <t>99,30</t>
  </si>
  <si>
    <t>170,0</t>
  </si>
  <si>
    <t>2. Sidorov Vyacheslav</t>
  </si>
  <si>
    <t>Poznyakov Pavel</t>
  </si>
  <si>
    <t>1. Poznyakov Pavel</t>
  </si>
  <si>
    <t>Juniors 20-23 (24.06.1995)/23</t>
  </si>
  <si>
    <t>109,30</t>
  </si>
  <si>
    <t>197,5</t>
  </si>
  <si>
    <t>Grechukha Mikhail</t>
  </si>
  <si>
    <t>1. Grechukha Mikhail</t>
  </si>
  <si>
    <t>Open (07.08.1968)/50</t>
  </si>
  <si>
    <t>103,20</t>
  </si>
  <si>
    <t>Sorokin Maksim</t>
  </si>
  <si>
    <t>1. Sorokin Maksim</t>
  </si>
  <si>
    <t>Masters 40-44 (04.04.1978)/40</t>
  </si>
  <si>
    <t>105,30</t>
  </si>
  <si>
    <t>Tereshchenko Vladimir</t>
  </si>
  <si>
    <t>1. Tereshchenko Vladimir</t>
  </si>
  <si>
    <t>Masters 45-49 (20.11.1970)/48</t>
  </si>
  <si>
    <t>106,00</t>
  </si>
  <si>
    <t>145,0</t>
  </si>
  <si>
    <t>Masters 50-54 (07.08.1968)/50</t>
  </si>
  <si>
    <t>Zabolotskiy Vladimir</t>
  </si>
  <si>
    <t>1. Zabolotskiy Vladimir</t>
  </si>
  <si>
    <t>Open (03.08.1982)/36</t>
  </si>
  <si>
    <t>115,50</t>
  </si>
  <si>
    <t>207,5</t>
  </si>
  <si>
    <t>Chernyuk Mikhail</t>
  </si>
  <si>
    <t>1. Chernyuk Mikhail</t>
  </si>
  <si>
    <t>Masters 45-49 (15.10.1972)/46</t>
  </si>
  <si>
    <t>121,60</t>
  </si>
  <si>
    <t>Partizansk/Primorskiy kray</t>
  </si>
  <si>
    <t>Orlov Nikolay</t>
  </si>
  <si>
    <t>2. Orlov Nikolay</t>
  </si>
  <si>
    <t>Masters 45-49 (05.01.1971)/48</t>
  </si>
  <si>
    <t>120,20</t>
  </si>
  <si>
    <t>160,0</t>
  </si>
  <si>
    <t>165,0</t>
  </si>
  <si>
    <t>Women</t>
  </si>
  <si>
    <t>Teen 13-15</t>
  </si>
  <si>
    <t>44,0</t>
  </si>
  <si>
    <t>29,8450</t>
  </si>
  <si>
    <t>40,6115</t>
  </si>
  <si>
    <t>Teen 18-19</t>
  </si>
  <si>
    <t>86,2650</t>
  </si>
  <si>
    <t>106,1167</t>
  </si>
  <si>
    <t>115,1092</t>
  </si>
  <si>
    <t>110,1618</t>
  </si>
  <si>
    <t>109,5705</t>
  </si>
  <si>
    <t>109,4200</t>
  </si>
  <si>
    <t>106,9020</t>
  </si>
  <si>
    <t>87,7520</t>
  </si>
  <si>
    <t>79,6432</t>
  </si>
  <si>
    <t>128,3497</t>
  </si>
  <si>
    <t>117,8982</t>
  </si>
  <si>
    <t>112,3305</t>
  </si>
  <si>
    <t>100,0440</t>
  </si>
  <si>
    <t>97,7760</t>
  </si>
  <si>
    <t>94,1497</t>
  </si>
  <si>
    <t>92,8972</t>
  </si>
  <si>
    <t>84,7736</t>
  </si>
  <si>
    <t>74,6774</t>
  </si>
  <si>
    <t>73,0080</t>
  </si>
  <si>
    <t>открытый чемпионат Азии
WPA single ply benchpress
Владивосток/Приморский край 1 - 2 февраля 2019 г.</t>
  </si>
  <si>
    <t>Yakush Sergey</t>
  </si>
  <si>
    <t>1. Yakush Sergey</t>
  </si>
  <si>
    <t>Juniors 20-23 (10.03.1995)/23</t>
  </si>
  <si>
    <t>89,60</t>
  </si>
  <si>
    <t>302,5</t>
  </si>
  <si>
    <t>Open (10.03.1995)/23</t>
  </si>
  <si>
    <t>Dolgov Vitaliy</t>
  </si>
  <si>
    <t>2. Dolgov Vitaliy</t>
  </si>
  <si>
    <t>Open (22.06.1984)/34</t>
  </si>
  <si>
    <t>88,90</t>
  </si>
  <si>
    <t>Skripka Anton</t>
  </si>
  <si>
    <t>1. Skripka Anton</t>
  </si>
  <si>
    <t>Open (20.06.1994)/24</t>
  </si>
  <si>
    <t>92,30</t>
  </si>
  <si>
    <t>177,5372</t>
  </si>
  <si>
    <t>135,6310</t>
  </si>
  <si>
    <t>115,3600</t>
  </si>
  <si>
    <t>открытый чемпионат Азии
WPA multi ply benchpress
Владивосток/Приморский край 1 - 2 февраля 2019 г.</t>
  </si>
  <si>
    <t>открытый чемпионат Азии
WPA raw powerlifting
Владивосток/Приморский край 1 - 2 февраля 2019 г.</t>
  </si>
  <si>
    <t>Golovkov Aleksandr</t>
  </si>
  <si>
    <t>1. Golovkov Aleksandr</t>
  </si>
  <si>
    <t>Open (15.05.1982)/36</t>
  </si>
  <si>
    <t>73,20</t>
  </si>
  <si>
    <t>Ivanov Aleksandr</t>
  </si>
  <si>
    <t>1. Ivanov Aleksandr</t>
  </si>
  <si>
    <t>Masters 50-54 (24.04.1964)/54</t>
  </si>
  <si>
    <t>71,70</t>
  </si>
  <si>
    <t>105,0</t>
  </si>
  <si>
    <t>115,0</t>
  </si>
  <si>
    <t>72,5</t>
  </si>
  <si>
    <t>77,5</t>
  </si>
  <si>
    <t>Nikeshin Vladimir</t>
  </si>
  <si>
    <t>1. Nikeshin Vladimir</t>
  </si>
  <si>
    <t>Masters 60-64 (22.05.1956)/62</t>
  </si>
  <si>
    <t>Utenkov Maksim</t>
  </si>
  <si>
    <t>1. Utenkov Maksim</t>
  </si>
  <si>
    <t>Open (11.04.1992)/26</t>
  </si>
  <si>
    <t>99,90</t>
  </si>
  <si>
    <t>310,0</t>
  </si>
  <si>
    <t>325,0</t>
  </si>
  <si>
    <t>Yuryev Dmitriy</t>
  </si>
  <si>
    <t>2. Yuryev Dmitriy</t>
  </si>
  <si>
    <t>Open (24.01.1992)/27</t>
  </si>
  <si>
    <t>97,60</t>
  </si>
  <si>
    <t>305,0</t>
  </si>
  <si>
    <t>Krestelev Artem</t>
  </si>
  <si>
    <t>3. Krestelev Artem</t>
  </si>
  <si>
    <t>Open (29.03.1989)/29</t>
  </si>
  <si>
    <t>98,70</t>
  </si>
  <si>
    <t>257,5</t>
  </si>
  <si>
    <t>Istomin Maksim</t>
  </si>
  <si>
    <t>4. Istomin Maksim</t>
  </si>
  <si>
    <t>Open (18.11.1986)/32</t>
  </si>
  <si>
    <t>97,20</t>
  </si>
  <si>
    <t>187,5</t>
  </si>
  <si>
    <t>192,5</t>
  </si>
  <si>
    <t>287,5</t>
  </si>
  <si>
    <t>Aurov Ivan</t>
  </si>
  <si>
    <t>5. Aurov Ivan</t>
  </si>
  <si>
    <t>Open (09.09.1987)/31</t>
  </si>
  <si>
    <t>95,40</t>
  </si>
  <si>
    <t>250,0</t>
  </si>
  <si>
    <t>175,0</t>
  </si>
  <si>
    <t>Shulayev Aleksandr</t>
  </si>
  <si>
    <t>1. Shulayev Aleksandr</t>
  </si>
  <si>
    <t>Open (12.08.1990)/28</t>
  </si>
  <si>
    <t>107,20</t>
  </si>
  <si>
    <t>330,0</t>
  </si>
  <si>
    <t>-. Pletenskiy Edgar</t>
  </si>
  <si>
    <t>Open (17.01.1984)/35</t>
  </si>
  <si>
    <t>Sednev Yevgeniy</t>
  </si>
  <si>
    <t>1. Sednev Yevgeniy</t>
  </si>
  <si>
    <t>Masters 50-54 (20.08.1966)/52</t>
  </si>
  <si>
    <t>114,00</t>
  </si>
  <si>
    <t>790,0</t>
  </si>
  <si>
    <t>437,8970</t>
  </si>
  <si>
    <t>780,0</t>
  </si>
  <si>
    <t>436,9560</t>
  </si>
  <si>
    <t>426,7580</t>
  </si>
  <si>
    <t>727,5</t>
  </si>
  <si>
    <t>408,3457</t>
  </si>
  <si>
    <t>730,0</t>
  </si>
  <si>
    <t>406,8290</t>
  </si>
  <si>
    <t>675,0</t>
  </si>
  <si>
    <t>382,4550</t>
  </si>
  <si>
    <t>560,0</t>
  </si>
  <si>
    <t>379,3440</t>
  </si>
  <si>
    <t>455,0</t>
  </si>
  <si>
    <t>473,2059</t>
  </si>
  <si>
    <t>800,0</t>
  </si>
  <si>
    <t>461,7849</t>
  </si>
  <si>
    <t>505,0</t>
  </si>
  <si>
    <t>333,0574</t>
  </si>
  <si>
    <t>335,0</t>
  </si>
  <si>
    <t>306,9840</t>
  </si>
  <si>
    <t>открытый чемпионат Азии
WPA single ply powerlifting
Владивосток/Приморский край 1 - 2 февраля 2019 г.</t>
  </si>
  <si>
    <t>Smolin Anton</t>
  </si>
  <si>
    <t>1. Smolin Anton</t>
  </si>
  <si>
    <t>Open (05.06.1980)/38</t>
  </si>
  <si>
    <t>89,00</t>
  </si>
  <si>
    <t>Geroyev Rustan</t>
  </si>
  <si>
    <t>2. Geroyev Rustan</t>
  </si>
  <si>
    <t>Open (05.12.1984)/34</t>
  </si>
  <si>
    <t>Rogov Konstantin</t>
  </si>
  <si>
    <t>1. Rogov Konstantin</t>
  </si>
  <si>
    <t>Open (01.04.1991)/27</t>
  </si>
  <si>
    <t>101,80</t>
  </si>
  <si>
    <t>315,0</t>
  </si>
  <si>
    <t>322,5</t>
  </si>
  <si>
    <t>837,5</t>
  </si>
  <si>
    <t>460,6250</t>
  </si>
  <si>
    <t>436,7590</t>
  </si>
  <si>
    <t>610,0</t>
  </si>
  <si>
    <t>364,9630</t>
  </si>
  <si>
    <t>открытый чемпионат Азии
WPA multi ply powerlifting
Владивосток/Приморский край 1 - 2 февраля 2019 г.</t>
  </si>
  <si>
    <t>открытый чемпионат Азии
AWPA raw deadlift
Владивосток/Приморский край 1 - 2 февраля 2019 г.</t>
  </si>
  <si>
    <t>Umnova Zlatoslava</t>
  </si>
  <si>
    <t>1. Umnova Zlatoslava</t>
  </si>
  <si>
    <t>Teen 13-15 (04.08.2010)/8</t>
  </si>
  <si>
    <t>23,30</t>
  </si>
  <si>
    <t>30,0</t>
  </si>
  <si>
    <t>35,0</t>
  </si>
  <si>
    <t>Body Weight Category  56</t>
  </si>
  <si>
    <t>Sarycheva Yekaterina</t>
  </si>
  <si>
    <t>1. Sarycheva Yekaterina</t>
  </si>
  <si>
    <t>Open (19.09.1992)/26</t>
  </si>
  <si>
    <t>56,00</t>
  </si>
  <si>
    <t>117,5</t>
  </si>
  <si>
    <t>122,5</t>
  </si>
  <si>
    <t>Body Weight Category  60</t>
  </si>
  <si>
    <t>-. Pyanikova Yuliya</t>
  </si>
  <si>
    <t>Open (12.01.1987)/32</t>
  </si>
  <si>
    <t>56,70</t>
  </si>
  <si>
    <t>Kapitanov Yevgeniy</t>
  </si>
  <si>
    <t>1. Kapitanov Yevgeniy</t>
  </si>
  <si>
    <t>Teen 13-15 (22.12.2003)/15</t>
  </si>
  <si>
    <t>Chuguyevka/Primorskiy kray</t>
  </si>
  <si>
    <t>80,0</t>
  </si>
  <si>
    <t>Body Weight Category  67.5</t>
  </si>
  <si>
    <t>Borodin Aleksey</t>
  </si>
  <si>
    <t>1. Borodin Aleksey</t>
  </si>
  <si>
    <t>Teen 18-19 (16.02.2000)/18</t>
  </si>
  <si>
    <t>66,20</t>
  </si>
  <si>
    <t>Mylnikov Aleksandr</t>
  </si>
  <si>
    <t>1. Mylnikov Aleksandr</t>
  </si>
  <si>
    <t>Masters 50-54 (08.09.1966)/52</t>
  </si>
  <si>
    <t>64,40</t>
  </si>
  <si>
    <t>Malakhov Nikita</t>
  </si>
  <si>
    <t>1. Malakhov Nikita</t>
  </si>
  <si>
    <t>Teen 16-17 (09.06.2002)/16</t>
  </si>
  <si>
    <t>68,50</t>
  </si>
  <si>
    <t>Bolshoy Kamen/Primorskiy kray</t>
  </si>
  <si>
    <t>Fedorenko Ruslan</t>
  </si>
  <si>
    <t>1. Fedorenko Ruslan</t>
  </si>
  <si>
    <t>Teen 18-19 (20.06.1999)/19</t>
  </si>
  <si>
    <t>70,20</t>
  </si>
  <si>
    <t>Kotov Aleksey</t>
  </si>
  <si>
    <t>1. Kotov Aleksey</t>
  </si>
  <si>
    <t>Open (19.09.1987)/31</t>
  </si>
  <si>
    <t>74,40</t>
  </si>
  <si>
    <t>232,5</t>
  </si>
  <si>
    <t>Begunts Yuriy</t>
  </si>
  <si>
    <t>1. Begunts Yuriy</t>
  </si>
  <si>
    <t>Open (03.07.1994)/24</t>
  </si>
  <si>
    <t>79,10</t>
  </si>
  <si>
    <t>Ivanov Nikolay</t>
  </si>
  <si>
    <t>1. Ivanov Nikolay</t>
  </si>
  <si>
    <t>Teen 16-17 (15.11.2002)/16</t>
  </si>
  <si>
    <t>83,90</t>
  </si>
  <si>
    <t>Abdullayev Shadig</t>
  </si>
  <si>
    <t>1. Abdullayev Shadig</t>
  </si>
  <si>
    <t>Juniors 20-23 (29.05.1996)/22</t>
  </si>
  <si>
    <t>85,40</t>
  </si>
  <si>
    <t>222,5</t>
  </si>
  <si>
    <t>Galaktionov Ilya</t>
  </si>
  <si>
    <t>2. Galaktionov Ilya</t>
  </si>
  <si>
    <t>Juniors 20-23 (29.07.1998)/20</t>
  </si>
  <si>
    <t>86,40</t>
  </si>
  <si>
    <t>Birobidzhan/Evreyskaya avtonomnaya oblast</t>
  </si>
  <si>
    <t>Tarasenko Anton</t>
  </si>
  <si>
    <t>-. Tarasenko Anton</t>
  </si>
  <si>
    <t>Open (27.06.1988)/30</t>
  </si>
  <si>
    <t>89,30</t>
  </si>
  <si>
    <t>Surikov Denis</t>
  </si>
  <si>
    <t>1. Surikov Denis</t>
  </si>
  <si>
    <t>Masters 45-49 (09.08.1973)/45</t>
  </si>
  <si>
    <t>88,10</t>
  </si>
  <si>
    <t>Borovoy Ruslan</t>
  </si>
  <si>
    <t>2. Borovoy Ruslan</t>
  </si>
  <si>
    <t>Masters 45-49 (30.05.1973)/45</t>
  </si>
  <si>
    <t>86,10</t>
  </si>
  <si>
    <t>Safronov Artem</t>
  </si>
  <si>
    <t>1. Safronov Artem</t>
  </si>
  <si>
    <t>Teen 13-15 (30.03.2003)/15</t>
  </si>
  <si>
    <t>100,00</t>
  </si>
  <si>
    <t>215,0</t>
  </si>
  <si>
    <t>Yevstigneyev Dmitriy</t>
  </si>
  <si>
    <t>1. Yevstigneyev Dmitriy</t>
  </si>
  <si>
    <t>Open (16.01.1987)/32</t>
  </si>
  <si>
    <t>94,00</t>
  </si>
  <si>
    <t>Labuz Maksim</t>
  </si>
  <si>
    <t>2. Labuz Maksim</t>
  </si>
  <si>
    <t>Open (06.12.1982)/36</t>
  </si>
  <si>
    <t>90,50</t>
  </si>
  <si>
    <t>Krylov Danil</t>
  </si>
  <si>
    <t>1. Krylov Danil</t>
  </si>
  <si>
    <t>Teen 18-19 (19.05.2000)/18</t>
  </si>
  <si>
    <t>104,10</t>
  </si>
  <si>
    <t>Kiselev Dmitriy</t>
  </si>
  <si>
    <t>1. Kiselev Dmitriy</t>
  </si>
  <si>
    <t>Open (16.05.1985)/33</t>
  </si>
  <si>
    <t>108,70</t>
  </si>
  <si>
    <t>Kondratenko Vladimir</t>
  </si>
  <si>
    <t>2. Kondratenko Vladimir</t>
  </si>
  <si>
    <t>Open (13.03.1988)/30</t>
  </si>
  <si>
    <t>105,90</t>
  </si>
  <si>
    <t>Body Weight Category  140+</t>
  </si>
  <si>
    <t>Butan Aleksey</t>
  </si>
  <si>
    <t>1. Butan Aleksey</t>
  </si>
  <si>
    <t>Open (18.12.1989)/29</t>
  </si>
  <si>
    <t>189,60</t>
  </si>
  <si>
    <t>41,7830</t>
  </si>
  <si>
    <t>56,0</t>
  </si>
  <si>
    <t>111,7445</t>
  </si>
  <si>
    <t>67,5</t>
  </si>
  <si>
    <t>144,0465</t>
  </si>
  <si>
    <t>119,1100</t>
  </si>
  <si>
    <t>107,1350</t>
  </si>
  <si>
    <t>103,6260</t>
  </si>
  <si>
    <t>96,7140</t>
  </si>
  <si>
    <t>91,1820</t>
  </si>
  <si>
    <t>87,4800</t>
  </si>
  <si>
    <t>134,6125</t>
  </si>
  <si>
    <t>120,0800</t>
  </si>
  <si>
    <t>145,2870</t>
  </si>
  <si>
    <t>140,4270</t>
  </si>
  <si>
    <t>140,4040</t>
  </si>
  <si>
    <t>131,3300</t>
  </si>
  <si>
    <t>130,1280</t>
  </si>
  <si>
    <t>119,5970</t>
  </si>
  <si>
    <t>140+</t>
  </si>
  <si>
    <t>102,7935</t>
  </si>
  <si>
    <t>140,8743</t>
  </si>
  <si>
    <t>111,8635</t>
  </si>
  <si>
    <t>78,8358</t>
  </si>
  <si>
    <t>открытый чемпионат Азии
AWPA single ply deadlift
Владивосток/Приморский край 1 - 2 февраля 2019 г.</t>
  </si>
  <si>
    <t>Pugach Lyubov</t>
  </si>
  <si>
    <t>1. Pugach Lyubov</t>
  </si>
  <si>
    <t>Open (03.04.1987)/31</t>
  </si>
  <si>
    <t>69,10</t>
  </si>
  <si>
    <t>Pavlov Sergey</t>
  </si>
  <si>
    <t>1. Pavlov Sergey</t>
  </si>
  <si>
    <t>Open (22.01.1988)/31</t>
  </si>
  <si>
    <t>Yurash Maksim</t>
  </si>
  <si>
    <t>1. Yurash Maksim</t>
  </si>
  <si>
    <t>Open (12.02.1991)/27</t>
  </si>
  <si>
    <t>98,50</t>
  </si>
  <si>
    <t>84,1500</t>
  </si>
  <si>
    <t>147,1140</t>
  </si>
  <si>
    <t>143,7905</t>
  </si>
  <si>
    <t>142,2390</t>
  </si>
  <si>
    <t>открытый чемпионат Азии
AWPA multi ply deadlift
Владивосток/Приморский край 1 - 2 февраля 2019 г.</t>
  </si>
  <si>
    <t>открытый чемпионат Азии
AWPA raw benchpress
Владивосток/Приморский край 1 - 2 февраля 2019 г.</t>
  </si>
  <si>
    <t>Shulyak Irina</t>
  </si>
  <si>
    <t>1. Shulyak Irina</t>
  </si>
  <si>
    <t>Open (24.03.1988)/30</t>
  </si>
  <si>
    <t>43,10</t>
  </si>
  <si>
    <t>40,0</t>
  </si>
  <si>
    <t>42,5</t>
  </si>
  <si>
    <t>Ivanova Yevgeniya</t>
  </si>
  <si>
    <t>1. Ivanova Yevgeniya</t>
  </si>
  <si>
    <t>Open (14.04.1984)/34</t>
  </si>
  <si>
    <t>54,40</t>
  </si>
  <si>
    <t>Poplavskaya Vera</t>
  </si>
  <si>
    <t>1. Poplavskaya Vera</t>
  </si>
  <si>
    <t>Open (13.12.1994)/24</t>
  </si>
  <si>
    <t>65,20</t>
  </si>
  <si>
    <t>85,0</t>
  </si>
  <si>
    <t>Krymskaya Olesya</t>
  </si>
  <si>
    <t>1. Krymskaya Olesya</t>
  </si>
  <si>
    <t>Open (06.04.1989)/29</t>
  </si>
  <si>
    <t>73,90</t>
  </si>
  <si>
    <t>70,0</t>
  </si>
  <si>
    <t>Tsovbun Andrey</t>
  </si>
  <si>
    <t>1. Tsovbun Andrey</t>
  </si>
  <si>
    <t>Teen 13-15 (15.02.2009)/9</t>
  </si>
  <si>
    <t>33,80</t>
  </si>
  <si>
    <t>27,5</t>
  </si>
  <si>
    <t>62,5</t>
  </si>
  <si>
    <t>Minayev Aleksandr</t>
  </si>
  <si>
    <t>1. Minayev Aleksandr</t>
  </si>
  <si>
    <t>Teen 13-15 (18.11.2003)/15</t>
  </si>
  <si>
    <t>64,80</t>
  </si>
  <si>
    <t>Kavalerovo/Primorskiy kray</t>
  </si>
  <si>
    <t>107,5</t>
  </si>
  <si>
    <t>112,5</t>
  </si>
  <si>
    <t>Bogautdinov Danil</t>
  </si>
  <si>
    <t>1. Bogautdinov Danil</t>
  </si>
  <si>
    <t>Teen 16-17 (12.05.2001)/17</t>
  </si>
  <si>
    <t>102,5</t>
  </si>
  <si>
    <t>Myznik Danila</t>
  </si>
  <si>
    <t>2. Myznik Danila</t>
  </si>
  <si>
    <t>Teen 16-17 (02.10.2001)/17</t>
  </si>
  <si>
    <t>64,00</t>
  </si>
  <si>
    <t>Murzin Yuriy</t>
  </si>
  <si>
    <t>1. Murzin Yuriy</t>
  </si>
  <si>
    <t>Teen 18-19 (15.06.2000)/18</t>
  </si>
  <si>
    <t>62,50</t>
  </si>
  <si>
    <t>Gayevskiy Ivan</t>
  </si>
  <si>
    <t>1. Gayevskiy Ivan</t>
  </si>
  <si>
    <t>Open (09.05.1989)/29</t>
  </si>
  <si>
    <t>66,10</t>
  </si>
  <si>
    <t>132,5</t>
  </si>
  <si>
    <t>137,5</t>
  </si>
  <si>
    <t>Rechitskiy Anton</t>
  </si>
  <si>
    <t>2. Rechitskiy Anton</t>
  </si>
  <si>
    <t>Open (13.06.1987)/31</t>
  </si>
  <si>
    <t>Khan Vladimir</t>
  </si>
  <si>
    <t>1. Khan Vladimir</t>
  </si>
  <si>
    <t>Masters 55-59 (18.04.1962)/56</t>
  </si>
  <si>
    <t>67,50</t>
  </si>
  <si>
    <t>Sheverdin Vladimir</t>
  </si>
  <si>
    <t>1. Sheverdin Vladimir</t>
  </si>
  <si>
    <t>Teen 18-19 (02.06.1999)/19</t>
  </si>
  <si>
    <t>72,70</t>
  </si>
  <si>
    <t>Bayanmunkh Sarankhuu</t>
  </si>
  <si>
    <t>1. Bayanmunkh Sarankhuu</t>
  </si>
  <si>
    <t>Juniors 20-23 (18.08.1995)/23</t>
  </si>
  <si>
    <t>74,50</t>
  </si>
  <si>
    <t>Ulaabaatr/</t>
  </si>
  <si>
    <t>Tyazhlov Vladislav</t>
  </si>
  <si>
    <t>1. Tyazhlov Vladislav</t>
  </si>
  <si>
    <t>Open (10.09.1989)/29</t>
  </si>
  <si>
    <t>73,70</t>
  </si>
  <si>
    <t>-. Andriyenko Aleksey</t>
  </si>
  <si>
    <t>Open (13.08.1987)/31</t>
  </si>
  <si>
    <t>72,60</t>
  </si>
  <si>
    <t>Kotlyarskiy Aleksandr</t>
  </si>
  <si>
    <t>1. Kotlyarskiy Aleksandr</t>
  </si>
  <si>
    <t>Teen 16-17 (24.11.2001)/17</t>
  </si>
  <si>
    <t>80,10</t>
  </si>
  <si>
    <t>Shishkov S.S.</t>
  </si>
  <si>
    <t>Grigoryants Roman</t>
  </si>
  <si>
    <t>1. Grigoryants Roman</t>
  </si>
  <si>
    <t>Open (17.05.1983)/35</t>
  </si>
  <si>
    <t>82,20</t>
  </si>
  <si>
    <t>Tolstoy Dmitriy</t>
  </si>
  <si>
    <t>2. Tolstoy Dmitriy</t>
  </si>
  <si>
    <t>Open (12.09.1987)/31</t>
  </si>
  <si>
    <t>79,30</t>
  </si>
  <si>
    <t>127,5</t>
  </si>
  <si>
    <t>Kirilkin Denis</t>
  </si>
  <si>
    <t>3. Kirilkin Denis</t>
  </si>
  <si>
    <t>Open (23.03.1986)/32</t>
  </si>
  <si>
    <t>81,80</t>
  </si>
  <si>
    <t>Skvortsov Vitaliy</t>
  </si>
  <si>
    <t>1. Skvortsov Vitaliy</t>
  </si>
  <si>
    <t>Masters 50-54 (07.03.1967)/51</t>
  </si>
  <si>
    <t>80,80</t>
  </si>
  <si>
    <t>Kireyev Nikolay</t>
  </si>
  <si>
    <t>2. Kireyev Nikolay</t>
  </si>
  <si>
    <t>Masters 50-54 (19.05.1968)/50</t>
  </si>
  <si>
    <t>81,20</t>
  </si>
  <si>
    <t>Tsmyg Aleksandr</t>
  </si>
  <si>
    <t>1. Tsmyg Aleksandr</t>
  </si>
  <si>
    <t>Masters 55-59 (20.10.1963)/55</t>
  </si>
  <si>
    <t>Krikunov Yuriy</t>
  </si>
  <si>
    <t>1. Krikunov Yuriy</t>
  </si>
  <si>
    <t>Masters 60-64 (25.05.1957)/61</t>
  </si>
  <si>
    <t>82,30</t>
  </si>
  <si>
    <t>Kabanchenko Anatoliy</t>
  </si>
  <si>
    <t>1. Kabanchenko Anatoliy</t>
  </si>
  <si>
    <t>Masters 65-69 (10.11.1953)/65</t>
  </si>
  <si>
    <t>82,00</t>
  </si>
  <si>
    <t>Izgagin Aleksandr</t>
  </si>
  <si>
    <t>2. Izgagin Aleksandr</t>
  </si>
  <si>
    <t>Masters 65-69 (21.06.1953)/65</t>
  </si>
  <si>
    <t>76,10</t>
  </si>
  <si>
    <t>Lyubochko Kirill</t>
  </si>
  <si>
    <t>1. Lyubochko Kirill</t>
  </si>
  <si>
    <t>Juniors 20-23 (06.10.1995)/23</t>
  </si>
  <si>
    <t>86,70</t>
  </si>
  <si>
    <t>157,5</t>
  </si>
  <si>
    <t>162,5</t>
  </si>
  <si>
    <t>Kulesh German</t>
  </si>
  <si>
    <t>2. Kulesh German</t>
  </si>
  <si>
    <t>Juniors 20-23 (08.10.1997)/21</t>
  </si>
  <si>
    <t>89,40</t>
  </si>
  <si>
    <t>Kolesnikov Donat</t>
  </si>
  <si>
    <t>3. Kolesnikov Donat</t>
  </si>
  <si>
    <t>Juniors 20-23 (05.06.1995)/23</t>
  </si>
  <si>
    <t>87,10</t>
  </si>
  <si>
    <t>152,5</t>
  </si>
  <si>
    <t>4. Galaktionov Ilya</t>
  </si>
  <si>
    <t>Filippov Maksim</t>
  </si>
  <si>
    <t>1. Filippov Maksim</t>
  </si>
  <si>
    <t>Open (28.03.1980)/38</t>
  </si>
  <si>
    <t>89,70</t>
  </si>
  <si>
    <t>Vorotnikov Andrey</t>
  </si>
  <si>
    <t>2. Vorotnikov Andrey</t>
  </si>
  <si>
    <t>Open (13.11.1981)/37</t>
  </si>
  <si>
    <t>89,20</t>
  </si>
  <si>
    <t>3. Tarasenko Anton</t>
  </si>
  <si>
    <t>Slobodenyuk Mikhail</t>
  </si>
  <si>
    <t>4. Slobodenyuk Mikhail</t>
  </si>
  <si>
    <t>Open (01.03.1991)/27</t>
  </si>
  <si>
    <t>87,80</t>
  </si>
  <si>
    <t>Gorkavyy Ruslan</t>
  </si>
  <si>
    <t>5. Gorkavyy Ruslan</t>
  </si>
  <si>
    <t>Open (10.08.1984)/34</t>
  </si>
  <si>
    <t>Altukhov Andrey</t>
  </si>
  <si>
    <t>1. Altukhov Andrey</t>
  </si>
  <si>
    <t>Masters 40-44 (07.12.1974)/44</t>
  </si>
  <si>
    <t>84,60</t>
  </si>
  <si>
    <t>1. Borovoy Ruslan</t>
  </si>
  <si>
    <t>Tifanov Konstantin</t>
  </si>
  <si>
    <t>1. Tifanov Konstantin</t>
  </si>
  <si>
    <t>Teen 18-19 (18.10.1999)/19</t>
  </si>
  <si>
    <t>98,00</t>
  </si>
  <si>
    <t>Putilin Artem</t>
  </si>
  <si>
    <t>1. Putilin Artem</t>
  </si>
  <si>
    <t>Juniors 20-23 (12.08.1995)/23</t>
  </si>
  <si>
    <t>97,40</t>
  </si>
  <si>
    <t>Taivantumur Amarzaya</t>
  </si>
  <si>
    <t>1. Taivantumur Amarzaya</t>
  </si>
  <si>
    <t>Open (02.08.1987)/31</t>
  </si>
  <si>
    <t>98,80</t>
  </si>
  <si>
    <t>Ulan-Bator/</t>
  </si>
  <si>
    <t>Ovcharenko Aleksandr</t>
  </si>
  <si>
    <t>2. Ovcharenko Aleksandr</t>
  </si>
  <si>
    <t>Open (14.12.1990)/28</t>
  </si>
  <si>
    <t>96,40</t>
  </si>
  <si>
    <t>Nelyubin Ivan</t>
  </si>
  <si>
    <t>3. Nelyubin Ivan</t>
  </si>
  <si>
    <t>Open (11.04.1987)/31</t>
  </si>
  <si>
    <t>96,60</t>
  </si>
  <si>
    <t>Dobrodeyev Denis</t>
  </si>
  <si>
    <t>1. Dobrodeyev Denis</t>
  </si>
  <si>
    <t>Masters 45-49 (14.09.1972)/46</t>
  </si>
  <si>
    <t>Kokin Anton</t>
  </si>
  <si>
    <t>1. Kokin Anton</t>
  </si>
  <si>
    <t>Open (28.12.1984)/34</t>
  </si>
  <si>
    <t>106,90</t>
  </si>
  <si>
    <t>Averyanov Anton</t>
  </si>
  <si>
    <t>2. Averyanov Anton</t>
  </si>
  <si>
    <t>Open (19.12.1986)/32</t>
  </si>
  <si>
    <t>3. Kondratenko Vladimir</t>
  </si>
  <si>
    <t>167,5</t>
  </si>
  <si>
    <t>Utenkov Igor</t>
  </si>
  <si>
    <t>1. Utenkov Igor</t>
  </si>
  <si>
    <t>Masters 50-54 (02.09.1966)/52</t>
  </si>
  <si>
    <t>108,00</t>
  </si>
  <si>
    <t>Zinovagin Dmitriy</t>
  </si>
  <si>
    <t>1. Zinovagin Dmitriy</t>
  </si>
  <si>
    <t>Open (10.08.1986)/32</t>
  </si>
  <si>
    <t>Bykov Aleksey</t>
  </si>
  <si>
    <t>1. Bykov Aleksey</t>
  </si>
  <si>
    <t>Masters 65-69 (11.09.1952)/66</t>
  </si>
  <si>
    <t>114,70</t>
  </si>
  <si>
    <t>Body Weight Category  140</t>
  </si>
  <si>
    <t>Lenchuk Nikolay</t>
  </si>
  <si>
    <t>1. Lenchuk Nikolay</t>
  </si>
  <si>
    <t>Open (03.10.1989)/29</t>
  </si>
  <si>
    <t>136,90</t>
  </si>
  <si>
    <t>Shishkov Sergey</t>
  </si>
  <si>
    <t>1. Shishkov Sergey</t>
  </si>
  <si>
    <t>Masters 60-64 (30.04.1956)/62</t>
  </si>
  <si>
    <t>125,70</t>
  </si>
  <si>
    <t>64,1680</t>
  </si>
  <si>
    <t>54,6975</t>
  </si>
  <si>
    <t>46,6650</t>
  </si>
  <si>
    <t>45,0440</t>
  </si>
  <si>
    <t>113,8320</t>
  </si>
  <si>
    <t>101,4260</t>
  </si>
  <si>
    <t>84,7687</t>
  </si>
  <si>
    <t>81,9687</t>
  </si>
  <si>
    <t>81,2570</t>
  </si>
  <si>
    <t>78,2740</t>
  </si>
  <si>
    <t>74,9320</t>
  </si>
  <si>
    <t>74,7900</t>
  </si>
  <si>
    <t>63,4230</t>
  </si>
  <si>
    <t>36,1158</t>
  </si>
  <si>
    <t>94,3582</t>
  </si>
  <si>
    <t>93,5200</t>
  </si>
  <si>
    <t>91,0935</t>
  </si>
  <si>
    <t>91,0882</t>
  </si>
  <si>
    <t>87,0580</t>
  </si>
  <si>
    <t>72,9040</t>
  </si>
  <si>
    <t>105,4215</t>
  </si>
  <si>
    <t>103,0450</t>
  </si>
  <si>
    <t>102,6375</t>
  </si>
  <si>
    <t>102,3330</t>
  </si>
  <si>
    <t>94,6225</t>
  </si>
  <si>
    <t>92,1570</t>
  </si>
  <si>
    <t>91,5850</t>
  </si>
  <si>
    <t>91,2175</t>
  </si>
  <si>
    <t>90,9495</t>
  </si>
  <si>
    <t>90,0305</t>
  </si>
  <si>
    <t>85,2745</t>
  </si>
  <si>
    <t>84,0410</t>
  </si>
  <si>
    <t>83,2020</t>
  </si>
  <si>
    <t>83,1460</t>
  </si>
  <si>
    <t>83,0425</t>
  </si>
  <si>
    <t>82,8100</t>
  </si>
  <si>
    <t>79,4325</t>
  </si>
  <si>
    <t>79,4102</t>
  </si>
  <si>
    <t>76,0200</t>
  </si>
  <si>
    <t>Masters 65-69</t>
  </si>
  <si>
    <t>145,5898</t>
  </si>
  <si>
    <t>138,7609</t>
  </si>
  <si>
    <t>Masters 55-59</t>
  </si>
  <si>
    <t>129,7367</t>
  </si>
  <si>
    <t>115,6737</t>
  </si>
  <si>
    <t>111,4519</t>
  </si>
  <si>
    <t>107,2224</t>
  </si>
  <si>
    <t>97,1227</t>
  </si>
  <si>
    <t>94,9059</t>
  </si>
  <si>
    <t>93,6529</t>
  </si>
  <si>
    <t>91,8424</t>
  </si>
  <si>
    <t>91,2951</t>
  </si>
  <si>
    <t>72,1824</t>
  </si>
  <si>
    <t>70,4372</t>
  </si>
  <si>
    <t>56,7618</t>
  </si>
  <si>
    <t>открытый чемпионат Азии
AWPA single ply benchpress
Владивосток/Приморский край 1 - 2 февраля 2019 г.</t>
  </si>
  <si>
    <t>60,0</t>
  </si>
  <si>
    <t>Kuznetsov Denis</t>
  </si>
  <si>
    <t>1. Kuznetsov Denis</t>
  </si>
  <si>
    <t>Open (29.05.1989)/29</t>
  </si>
  <si>
    <t>79,60</t>
  </si>
  <si>
    <t>38,2500</t>
  </si>
  <si>
    <t>95,2800</t>
  </si>
  <si>
    <t>открытый чемпионат Азии
AWPA multi ply benchpress
Владивосток/Приморский край 1 - 2 февраля 2019 г.</t>
  </si>
  <si>
    <t>открытый чемпионат Азии
AWPA raw powerlifting
Владивосток/Приморский край 1 - 2 февраля 2019 г.</t>
  </si>
  <si>
    <t>-. Polyakova Valeriya</t>
  </si>
  <si>
    <t>Juniors 20-23 (07.08.1997)/21</t>
  </si>
  <si>
    <t>55,60</t>
  </si>
  <si>
    <t>Kukharchuk Vera</t>
  </si>
  <si>
    <t>1. Kukharchuk Vera</t>
  </si>
  <si>
    <t>Open (28.12.1989)/29</t>
  </si>
  <si>
    <t>55,20</t>
  </si>
  <si>
    <t>65,0</t>
  </si>
  <si>
    <t>2. Sarycheva Yekaterina</t>
  </si>
  <si>
    <t>47,5</t>
  </si>
  <si>
    <t>Vasilenko Mariya</t>
  </si>
  <si>
    <t>3. Vasilenko Mariya</t>
  </si>
  <si>
    <t>Open (28.07.1984)/34</t>
  </si>
  <si>
    <t>55,30</t>
  </si>
  <si>
    <t>92,5</t>
  </si>
  <si>
    <t>97,5</t>
  </si>
  <si>
    <t>Safronova Svetlana</t>
  </si>
  <si>
    <t>1. Safronova Svetlana</t>
  </si>
  <si>
    <t>Masters 45-49 (25.04.1972)/46</t>
  </si>
  <si>
    <t>55,70</t>
  </si>
  <si>
    <t>95,0</t>
  </si>
  <si>
    <t>52,5</t>
  </si>
  <si>
    <t>57,5</t>
  </si>
  <si>
    <t>Abelentseva Yuliya</t>
  </si>
  <si>
    <t>1. Abelentseva Yuliya</t>
  </si>
  <si>
    <t>Juniors 20-23 (27.12.1996)/22</t>
  </si>
  <si>
    <t>60,00</t>
  </si>
  <si>
    <t>87,5</t>
  </si>
  <si>
    <t>Korniyenko Anna</t>
  </si>
  <si>
    <t>1. Korniyenko Anna</t>
  </si>
  <si>
    <t>Open (16.09.1982)/36</t>
  </si>
  <si>
    <t>58,60</t>
  </si>
  <si>
    <t>Panova Mariya</t>
  </si>
  <si>
    <t>1. Panova Mariya</t>
  </si>
  <si>
    <t>Open (04.02.1981)/37</t>
  </si>
  <si>
    <t>63,40</t>
  </si>
  <si>
    <t>Shmyglev Vyacheslav</t>
  </si>
  <si>
    <t>1. Shmyglev Vyacheslav</t>
  </si>
  <si>
    <t>Teen 16-17 (28.09.2002)/16</t>
  </si>
  <si>
    <t>58,10</t>
  </si>
  <si>
    <t>Shemelin Sergey</t>
  </si>
  <si>
    <t>1. Shemelin Sergey</t>
  </si>
  <si>
    <t>Masters 65-69 (01.04.1953)/65</t>
  </si>
  <si>
    <t>66,70</t>
  </si>
  <si>
    <t>Sitkin Anton</t>
  </si>
  <si>
    <t>1. Sitkin Anton</t>
  </si>
  <si>
    <t>Open (28.04.1987)/31</t>
  </si>
  <si>
    <t>72,20</t>
  </si>
  <si>
    <t>-. Ruzhenskiy Anatoliy</t>
  </si>
  <si>
    <t>Open (26.01.1989)/30</t>
  </si>
  <si>
    <t>70,50</t>
  </si>
  <si>
    <t>Maslakov Viktor</t>
  </si>
  <si>
    <t>1. Maslakov Viktor</t>
  </si>
  <si>
    <t>Masters 40-44 (24.08.1975)/43</t>
  </si>
  <si>
    <t>74,10</t>
  </si>
  <si>
    <t>Zinovyev Sergey</t>
  </si>
  <si>
    <t>1. Zinovyev Sergey</t>
  </si>
  <si>
    <t>Open (25.07.1992)/26</t>
  </si>
  <si>
    <t>82,50</t>
  </si>
  <si>
    <t>Prilepko Andrey</t>
  </si>
  <si>
    <t>2. Prilepko Andrey</t>
  </si>
  <si>
    <t>Open (04.08.1986)/32</t>
  </si>
  <si>
    <t>80,00</t>
  </si>
  <si>
    <t>-. Izgagin Aleksandr</t>
  </si>
  <si>
    <t>1. Kulesh German</t>
  </si>
  <si>
    <t>89,10</t>
  </si>
  <si>
    <t>Poddubnyy Andrey</t>
  </si>
  <si>
    <t>2. Poddubnyy Andrey</t>
  </si>
  <si>
    <t>Juniors 20-23 (23.10.1998)/20</t>
  </si>
  <si>
    <t>83,10</t>
  </si>
  <si>
    <t>Nesudimov Anton</t>
  </si>
  <si>
    <t>1. Nesudimov Anton</t>
  </si>
  <si>
    <t>Juniors 20-23 (17.12.1996)/22</t>
  </si>
  <si>
    <t>98,90</t>
  </si>
  <si>
    <t>Vikhrov Dmitriy</t>
  </si>
  <si>
    <t>1. Vikhrov Dmitriy</t>
  </si>
  <si>
    <t>99,70</t>
  </si>
  <si>
    <t>2. Yevstigneyev Dmitriy</t>
  </si>
  <si>
    <t>Doroshev Anton</t>
  </si>
  <si>
    <t>1. Doroshev Anton</t>
  </si>
  <si>
    <t>Teen 16-17 (17.05.2002)/16</t>
  </si>
  <si>
    <t>101,10</t>
  </si>
  <si>
    <t>Dubovskiy Nikita</t>
  </si>
  <si>
    <t>1. Dubovskiy Nikita</t>
  </si>
  <si>
    <t>Open (12.08.1988)/30</t>
  </si>
  <si>
    <t>106,30</t>
  </si>
  <si>
    <t>252,5</t>
  </si>
  <si>
    <t>217,2258</t>
  </si>
  <si>
    <t>285,8820</t>
  </si>
  <si>
    <t>259,9770</t>
  </si>
  <si>
    <t>220,9920</t>
  </si>
  <si>
    <t>217,6445</t>
  </si>
  <si>
    <t>210,6000</t>
  </si>
  <si>
    <t>286,1983</t>
  </si>
  <si>
    <t>310,2400</t>
  </si>
  <si>
    <t>260,5860</t>
  </si>
  <si>
    <t>407,5</t>
  </si>
  <si>
    <t>249,4715</t>
  </si>
  <si>
    <t>312,5</t>
  </si>
  <si>
    <t>223,8750</t>
  </si>
  <si>
    <t>342,5</t>
  </si>
  <si>
    <t>188,8888</t>
  </si>
  <si>
    <t>580,0</t>
  </si>
  <si>
    <t>387,4400</t>
  </si>
  <si>
    <t>600,0</t>
  </si>
  <si>
    <t>353,3400</t>
  </si>
  <si>
    <t>311,1810</t>
  </si>
  <si>
    <t>510,0</t>
  </si>
  <si>
    <t>283,9680</t>
  </si>
  <si>
    <t>359,1940</t>
  </si>
  <si>
    <t>525,0</t>
  </si>
  <si>
    <t>332,2725</t>
  </si>
  <si>
    <t>321,7840</t>
  </si>
  <si>
    <t>555,0</t>
  </si>
  <si>
    <t>316,9050</t>
  </si>
  <si>
    <t>490,0</t>
  </si>
  <si>
    <t>265,3840</t>
  </si>
  <si>
    <t>362,5</t>
  </si>
  <si>
    <t>248,3488</t>
  </si>
  <si>
    <t>387,3936</t>
  </si>
  <si>
    <t>447,5</t>
  </si>
  <si>
    <t>305,5863</t>
  </si>
  <si>
    <t>открытый чемпионат Азии
AWPA single ply powerlifting
Владивосток/Приморский край 1 - 2 февраля 2019 г.</t>
  </si>
  <si>
    <t>Brovkina Anastasiya</t>
  </si>
  <si>
    <t>1. Brovkina Anastasiya</t>
  </si>
  <si>
    <t>Teen 16-17 (05.06.2001)/17</t>
  </si>
  <si>
    <t>62,20</t>
  </si>
  <si>
    <t>Omelyanovich Marina</t>
  </si>
  <si>
    <t>1. Omelyanovich Marina</t>
  </si>
  <si>
    <t>Open (14.12.1987)/31</t>
  </si>
  <si>
    <t>81,70</t>
  </si>
  <si>
    <t>Malakhov Dmitriy</t>
  </si>
  <si>
    <t>1. Malakhov Dmitriy</t>
  </si>
  <si>
    <t>Teen 13-15 (20.03.2004)/14</t>
  </si>
  <si>
    <t>52,70</t>
  </si>
  <si>
    <t>-. Yefremov Aleksey</t>
  </si>
  <si>
    <t>Open (08.08.1987)/31</t>
  </si>
  <si>
    <t>96,90</t>
  </si>
  <si>
    <t>166,9400</t>
  </si>
  <si>
    <t>210,1800</t>
  </si>
  <si>
    <t>320,8540</t>
  </si>
  <si>
    <t>715,0</t>
  </si>
  <si>
    <t>398,2550</t>
  </si>
  <si>
    <t>открытый чемпионат Азии
AWPA multi ply powerlifting
Владивосток/Приморский край 1 - 2 февраля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</si>
</sst>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6" fillId="0" borderId="17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sqref="A1:XFD1048576"/>
    </sheetView>
  </sheetViews>
  <sheetFormatPr defaultRowHeight="12.75" x14ac:dyDescent="0.2"/>
  <cols>
    <col min="1" max="1" width="25" style="8" bestFit="1" customWidth="1"/>
    <col min="2" max="2" width="19.5703125" style="9" customWidth="1"/>
    <col min="3" max="3" width="8.140625" style="5" customWidth="1"/>
    <col min="4" max="4" width="7.28515625" style="6" customWidth="1"/>
    <col min="5" max="6" width="12.140625" style="10" customWidth="1"/>
    <col min="7" max="8" width="7" style="11" customWidth="1"/>
    <col min="9" max="10" width="6.5703125" style="11" customWidth="1"/>
    <col min="11" max="11" width="7.28515625" style="11" customWidth="1"/>
    <col min="12" max="12" width="6.5703125" style="11" customWidth="1"/>
    <col min="13" max="15" width="6.85546875" style="11" customWidth="1"/>
    <col min="16" max="16" width="6.5703125" style="11" customWidth="1"/>
    <col min="17" max="18" width="6.85546875" style="11" customWidth="1"/>
    <col min="19" max="19" width="8.42578125" style="7" bestFit="1" customWidth="1"/>
    <col min="20" max="20" width="5.85546875" style="6" customWidth="1"/>
    <col min="21" max="21" width="14.140625" style="8" customWidth="1"/>
    <col min="22" max="16384" width="9.140625" style="3"/>
  </cols>
  <sheetData>
    <row r="1" spans="1:21" s="2" customFormat="1" ht="1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</row>
    <row r="2" spans="1:21" s="2" customFormat="1" ht="13.5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15" t="s">
        <v>10</v>
      </c>
      <c r="E3" s="26" t="s">
        <v>1</v>
      </c>
      <c r="F3" s="32" t="s">
        <v>2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17" t="s">
        <v>11</v>
      </c>
      <c r="T3" s="15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16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18"/>
      <c r="T4" s="16"/>
      <c r="U4" s="31"/>
    </row>
    <row r="5" spans="1:21" s="5" customFormat="1" x14ac:dyDescent="0.2">
      <c r="A5" s="4"/>
      <c r="D5" s="6"/>
      <c r="E5" s="4"/>
      <c r="F5" s="4"/>
      <c r="S5" s="7"/>
      <c r="T5" s="6"/>
      <c r="U5" s="4"/>
    </row>
    <row r="6" spans="1:21" s="5" customFormat="1" x14ac:dyDescent="0.2">
      <c r="A6" s="4"/>
      <c r="D6" s="6"/>
      <c r="E6" s="4"/>
      <c r="F6" s="4"/>
      <c r="S6" s="7"/>
      <c r="T6" s="6"/>
      <c r="U6" s="4"/>
    </row>
    <row r="7" spans="1:21" s="5" customFormat="1" x14ac:dyDescent="0.2">
      <c r="A7" s="4"/>
      <c r="D7" s="6"/>
      <c r="E7" s="4"/>
      <c r="F7" s="4"/>
      <c r="S7" s="7"/>
      <c r="T7" s="6"/>
      <c r="U7" s="4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38.855468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398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156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400</v>
      </c>
      <c r="B6" s="42" t="s">
        <v>401</v>
      </c>
      <c r="C6" s="42" t="s">
        <v>402</v>
      </c>
      <c r="D6" s="42" t="str">
        <f>"1,1938"</f>
        <v>1,1938</v>
      </c>
      <c r="E6" s="56" t="s">
        <v>21</v>
      </c>
      <c r="F6" s="56" t="s">
        <v>161</v>
      </c>
      <c r="G6" s="42" t="s">
        <v>163</v>
      </c>
      <c r="H6" s="42" t="s">
        <v>403</v>
      </c>
      <c r="I6" s="42" t="s">
        <v>404</v>
      </c>
      <c r="J6" s="57"/>
      <c r="K6" s="56" t="str">
        <f>"35,0"</f>
        <v>35,0</v>
      </c>
      <c r="L6" s="42" t="str">
        <f>"41,7830"</f>
        <v>41,7830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2" t="s">
        <v>405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x14ac:dyDescent="0.2">
      <c r="A9" s="56" t="s">
        <v>407</v>
      </c>
      <c r="B9" s="42" t="s">
        <v>408</v>
      </c>
      <c r="C9" s="42" t="s">
        <v>409</v>
      </c>
      <c r="D9" s="42" t="str">
        <f>"0,9122"</f>
        <v>0,9122</v>
      </c>
      <c r="E9" s="56" t="s">
        <v>21</v>
      </c>
      <c r="F9" s="56" t="s">
        <v>22</v>
      </c>
      <c r="G9" s="42" t="s">
        <v>125</v>
      </c>
      <c r="H9" s="42" t="s">
        <v>410</v>
      </c>
      <c r="I9" s="42" t="s">
        <v>411</v>
      </c>
      <c r="J9" s="57"/>
      <c r="K9" s="56" t="str">
        <f>"122,5"</f>
        <v>122,5</v>
      </c>
      <c r="L9" s="42" t="str">
        <f>"111,7445"</f>
        <v>111,7445</v>
      </c>
      <c r="M9" s="56"/>
    </row>
    <row r="11" spans="1:13" ht="15" x14ac:dyDescent="0.2">
      <c r="A11" s="52" t="s">
        <v>412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 x14ac:dyDescent="0.2">
      <c r="A12" s="56" t="s">
        <v>413</v>
      </c>
      <c r="B12" s="42" t="s">
        <v>414</v>
      </c>
      <c r="C12" s="42" t="s">
        <v>415</v>
      </c>
      <c r="D12" s="42" t="str">
        <f>"0,9019"</f>
        <v>0,9019</v>
      </c>
      <c r="E12" s="56" t="s">
        <v>21</v>
      </c>
      <c r="F12" s="56" t="s">
        <v>22</v>
      </c>
      <c r="G12" s="57" t="s">
        <v>140</v>
      </c>
      <c r="H12" s="57"/>
      <c r="I12" s="57"/>
      <c r="J12" s="57"/>
      <c r="K12" s="56" t="str">
        <f>"0.00"</f>
        <v>0.00</v>
      </c>
      <c r="L12" s="42" t="str">
        <f>"0,0000"</f>
        <v>0,0000</v>
      </c>
      <c r="M12" s="56"/>
    </row>
    <row r="14" spans="1:13" ht="15" x14ac:dyDescent="0.2">
      <c r="A14" s="52" t="s">
        <v>405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 x14ac:dyDescent="0.2">
      <c r="A15" s="56" t="s">
        <v>417</v>
      </c>
      <c r="B15" s="42" t="s">
        <v>418</v>
      </c>
      <c r="C15" s="42" t="s">
        <v>409</v>
      </c>
      <c r="D15" s="42" t="str">
        <f>"0,8748"</f>
        <v>0,8748</v>
      </c>
      <c r="E15" s="56" t="s">
        <v>21</v>
      </c>
      <c r="F15" s="56" t="s">
        <v>419</v>
      </c>
      <c r="G15" s="42" t="s">
        <v>420</v>
      </c>
      <c r="H15" s="42" t="s">
        <v>140</v>
      </c>
      <c r="I15" s="42" t="s">
        <v>117</v>
      </c>
      <c r="J15" s="57"/>
      <c r="K15" s="56" t="str">
        <f>"100,0"</f>
        <v>100,0</v>
      </c>
      <c r="L15" s="42" t="str">
        <f>"87,4800"</f>
        <v>87,4800</v>
      </c>
      <c r="M15" s="56"/>
    </row>
    <row r="17" spans="1:13" ht="15" x14ac:dyDescent="0.2">
      <c r="A17" s="52" t="s">
        <v>421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3" x14ac:dyDescent="0.2">
      <c r="A18" s="35" t="s">
        <v>423</v>
      </c>
      <c r="B18" s="36" t="s">
        <v>424</v>
      </c>
      <c r="C18" s="36" t="s">
        <v>425</v>
      </c>
      <c r="D18" s="36" t="str">
        <f>"0,7387"</f>
        <v>0,7387</v>
      </c>
      <c r="E18" s="35" t="s">
        <v>21</v>
      </c>
      <c r="F18" s="35" t="s">
        <v>22</v>
      </c>
      <c r="G18" s="36" t="s">
        <v>24</v>
      </c>
      <c r="H18" s="36" t="s">
        <v>59</v>
      </c>
      <c r="I18" s="37" t="s">
        <v>66</v>
      </c>
      <c r="J18" s="37"/>
      <c r="K18" s="35" t="str">
        <f>"195,0"</f>
        <v>195,0</v>
      </c>
      <c r="L18" s="36" t="str">
        <f>"144,0465"</f>
        <v>144,0465</v>
      </c>
      <c r="M18" s="35"/>
    </row>
    <row r="19" spans="1:13" x14ac:dyDescent="0.2">
      <c r="A19" s="38" t="s">
        <v>427</v>
      </c>
      <c r="B19" s="39" t="s">
        <v>428</v>
      </c>
      <c r="C19" s="39" t="s">
        <v>429</v>
      </c>
      <c r="D19" s="39" t="str">
        <f>"0,7580"</f>
        <v>0,7580</v>
      </c>
      <c r="E19" s="38" t="s">
        <v>21</v>
      </c>
      <c r="F19" s="38" t="s">
        <v>161</v>
      </c>
      <c r="G19" s="39" t="s">
        <v>182</v>
      </c>
      <c r="H19" s="39" t="s">
        <v>215</v>
      </c>
      <c r="I19" s="39" t="s">
        <v>190</v>
      </c>
      <c r="J19" s="40"/>
      <c r="K19" s="38" t="str">
        <f>"150,0"</f>
        <v>150,0</v>
      </c>
      <c r="L19" s="39" t="str">
        <f>"140,8743"</f>
        <v>140,8743</v>
      </c>
      <c r="M19" s="38"/>
    </row>
    <row r="21" spans="1:13" ht="15" x14ac:dyDescent="0.2">
      <c r="A21" s="52" t="s">
        <v>16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3" x14ac:dyDescent="0.2">
      <c r="A22" s="35" t="s">
        <v>431</v>
      </c>
      <c r="B22" s="36" t="s">
        <v>432</v>
      </c>
      <c r="C22" s="36" t="s">
        <v>433</v>
      </c>
      <c r="D22" s="36" t="str">
        <f>"0,7164"</f>
        <v>0,7164</v>
      </c>
      <c r="E22" s="35" t="s">
        <v>21</v>
      </c>
      <c r="F22" s="35" t="s">
        <v>434</v>
      </c>
      <c r="G22" s="36" t="s">
        <v>199</v>
      </c>
      <c r="H22" s="36" t="s">
        <v>189</v>
      </c>
      <c r="I22" s="36" t="s">
        <v>182</v>
      </c>
      <c r="J22" s="37"/>
      <c r="K22" s="35" t="str">
        <f>"135,0"</f>
        <v>135,0</v>
      </c>
      <c r="L22" s="36" t="str">
        <f>"96,7140"</f>
        <v>96,7140</v>
      </c>
      <c r="M22" s="35"/>
    </row>
    <row r="23" spans="1:13" x14ac:dyDescent="0.2">
      <c r="A23" s="54" t="s">
        <v>436</v>
      </c>
      <c r="B23" s="41" t="s">
        <v>437</v>
      </c>
      <c r="C23" s="41" t="s">
        <v>438</v>
      </c>
      <c r="D23" s="41" t="str">
        <f>"0,7014"</f>
        <v>0,7014</v>
      </c>
      <c r="E23" s="54" t="s">
        <v>21</v>
      </c>
      <c r="F23" s="54" t="s">
        <v>169</v>
      </c>
      <c r="G23" s="41" t="s">
        <v>140</v>
      </c>
      <c r="H23" s="41" t="s">
        <v>411</v>
      </c>
      <c r="I23" s="41" t="s">
        <v>189</v>
      </c>
      <c r="J23" s="55"/>
      <c r="K23" s="54" t="str">
        <f>"130,0"</f>
        <v>130,0</v>
      </c>
      <c r="L23" s="41" t="str">
        <f>"91,1820"</f>
        <v>91,1820</v>
      </c>
      <c r="M23" s="54"/>
    </row>
    <row r="24" spans="1:13" x14ac:dyDescent="0.2">
      <c r="A24" s="38" t="s">
        <v>440</v>
      </c>
      <c r="B24" s="39" t="s">
        <v>441</v>
      </c>
      <c r="C24" s="39" t="s">
        <v>442</v>
      </c>
      <c r="D24" s="39" t="str">
        <f>"0,6687"</f>
        <v>0,6687</v>
      </c>
      <c r="E24" s="38" t="s">
        <v>21</v>
      </c>
      <c r="F24" s="38" t="s">
        <v>22</v>
      </c>
      <c r="G24" s="39" t="s">
        <v>61</v>
      </c>
      <c r="H24" s="40" t="s">
        <v>151</v>
      </c>
      <c r="I24" s="40" t="s">
        <v>443</v>
      </c>
      <c r="J24" s="40"/>
      <c r="K24" s="38" t="str">
        <f>"210,0"</f>
        <v>210,0</v>
      </c>
      <c r="L24" s="39" t="str">
        <f>"140,4270"</f>
        <v>140,4270</v>
      </c>
      <c r="M24" s="38"/>
    </row>
    <row r="26" spans="1:13" ht="15" x14ac:dyDescent="0.2">
      <c r="A26" s="52" t="s">
        <v>29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3" x14ac:dyDescent="0.2">
      <c r="A27" s="56" t="s">
        <v>445</v>
      </c>
      <c r="B27" s="42" t="s">
        <v>446</v>
      </c>
      <c r="C27" s="42" t="s">
        <v>447</v>
      </c>
      <c r="D27" s="42" t="str">
        <f>"0,6382"</f>
        <v>0,6382</v>
      </c>
      <c r="E27" s="56" t="s">
        <v>21</v>
      </c>
      <c r="F27" s="56" t="s">
        <v>169</v>
      </c>
      <c r="G27" s="42" t="s">
        <v>66</v>
      </c>
      <c r="H27" s="42" t="s">
        <v>61</v>
      </c>
      <c r="I27" s="42" t="s">
        <v>67</v>
      </c>
      <c r="J27" s="57"/>
      <c r="K27" s="56" t="str">
        <f>"220,0"</f>
        <v>220,0</v>
      </c>
      <c r="L27" s="42" t="str">
        <f>"140,4040"</f>
        <v>140,4040</v>
      </c>
      <c r="M27" s="56"/>
    </row>
    <row r="29" spans="1:13" ht="15" x14ac:dyDescent="0.2">
      <c r="A29" s="52" t="s">
        <v>46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3" x14ac:dyDescent="0.2">
      <c r="A30" s="35" t="s">
        <v>449</v>
      </c>
      <c r="B30" s="36" t="s">
        <v>450</v>
      </c>
      <c r="C30" s="36" t="s">
        <v>451</v>
      </c>
      <c r="D30" s="36" t="str">
        <f>"0,6122"</f>
        <v>0,6122</v>
      </c>
      <c r="E30" s="35" t="s">
        <v>21</v>
      </c>
      <c r="F30" s="35" t="s">
        <v>434</v>
      </c>
      <c r="G30" s="36" t="s">
        <v>255</v>
      </c>
      <c r="H30" s="36" t="s">
        <v>220</v>
      </c>
      <c r="I30" s="36" t="s">
        <v>345</v>
      </c>
      <c r="J30" s="37"/>
      <c r="K30" s="35" t="str">
        <f>"175,0"</f>
        <v>175,0</v>
      </c>
      <c r="L30" s="36" t="str">
        <f>"107,1350"</f>
        <v>107,1350</v>
      </c>
      <c r="M30" s="35"/>
    </row>
    <row r="31" spans="1:13" x14ac:dyDescent="0.2">
      <c r="A31" s="54" t="s">
        <v>453</v>
      </c>
      <c r="B31" s="41" t="s">
        <v>454</v>
      </c>
      <c r="C31" s="41" t="s">
        <v>455</v>
      </c>
      <c r="D31" s="41" t="str">
        <f>"0,6050"</f>
        <v>0,6050</v>
      </c>
      <c r="E31" s="54" t="s">
        <v>21</v>
      </c>
      <c r="F31" s="54" t="s">
        <v>434</v>
      </c>
      <c r="G31" s="41" t="s">
        <v>61</v>
      </c>
      <c r="H31" s="41" t="s">
        <v>456</v>
      </c>
      <c r="I31" s="55" t="s">
        <v>79</v>
      </c>
      <c r="J31" s="55"/>
      <c r="K31" s="54" t="str">
        <f>"222,5"</f>
        <v>222,5</v>
      </c>
      <c r="L31" s="41" t="str">
        <f>"134,6125"</f>
        <v>134,6125</v>
      </c>
      <c r="M31" s="54"/>
    </row>
    <row r="32" spans="1:13" x14ac:dyDescent="0.2">
      <c r="A32" s="54" t="s">
        <v>458</v>
      </c>
      <c r="B32" s="41" t="s">
        <v>459</v>
      </c>
      <c r="C32" s="41" t="s">
        <v>460</v>
      </c>
      <c r="D32" s="41" t="str">
        <f>"0,6004"</f>
        <v>0,6004</v>
      </c>
      <c r="E32" s="54" t="s">
        <v>21</v>
      </c>
      <c r="F32" s="54" t="s">
        <v>461</v>
      </c>
      <c r="G32" s="41" t="s">
        <v>23</v>
      </c>
      <c r="H32" s="41" t="s">
        <v>24</v>
      </c>
      <c r="I32" s="41" t="s">
        <v>66</v>
      </c>
      <c r="J32" s="55"/>
      <c r="K32" s="54" t="str">
        <f>"200,0"</f>
        <v>200,0</v>
      </c>
      <c r="L32" s="41" t="str">
        <f>"120,0800"</f>
        <v>120,0800</v>
      </c>
      <c r="M32" s="54"/>
    </row>
    <row r="33" spans="1:13" x14ac:dyDescent="0.2">
      <c r="A33" s="54" t="s">
        <v>463</v>
      </c>
      <c r="B33" s="41" t="s">
        <v>464</v>
      </c>
      <c r="C33" s="41" t="s">
        <v>465</v>
      </c>
      <c r="D33" s="41" t="str">
        <f>"0,5881"</f>
        <v>0,5881</v>
      </c>
      <c r="E33" s="54" t="s">
        <v>21</v>
      </c>
      <c r="F33" s="54" t="s">
        <v>22</v>
      </c>
      <c r="G33" s="55" t="s">
        <v>210</v>
      </c>
      <c r="H33" s="55" t="s">
        <v>210</v>
      </c>
      <c r="I33" s="55" t="s">
        <v>210</v>
      </c>
      <c r="J33" s="55"/>
      <c r="K33" s="54" t="str">
        <f>"0.00"</f>
        <v>0.00</v>
      </c>
      <c r="L33" s="41" t="str">
        <f>"0,0000"</f>
        <v>0,0000</v>
      </c>
      <c r="M33" s="54"/>
    </row>
    <row r="34" spans="1:13" x14ac:dyDescent="0.2">
      <c r="A34" s="54" t="s">
        <v>467</v>
      </c>
      <c r="B34" s="41" t="s">
        <v>468</v>
      </c>
      <c r="C34" s="41" t="s">
        <v>469</v>
      </c>
      <c r="D34" s="41" t="str">
        <f>"0,5930"</f>
        <v>0,5930</v>
      </c>
      <c r="E34" s="54" t="s">
        <v>21</v>
      </c>
      <c r="F34" s="54" t="s">
        <v>22</v>
      </c>
      <c r="G34" s="41" t="s">
        <v>23</v>
      </c>
      <c r="H34" s="55" t="s">
        <v>59</v>
      </c>
      <c r="I34" s="55" t="s">
        <v>59</v>
      </c>
      <c r="J34" s="55"/>
      <c r="K34" s="54" t="str">
        <f>"180,0"</f>
        <v>180,0</v>
      </c>
      <c r="L34" s="41" t="str">
        <f>"111,8635"</f>
        <v>111,8635</v>
      </c>
      <c r="M34" s="54"/>
    </row>
    <row r="35" spans="1:13" x14ac:dyDescent="0.2">
      <c r="A35" s="38" t="s">
        <v>471</v>
      </c>
      <c r="B35" s="39" t="s">
        <v>472</v>
      </c>
      <c r="C35" s="39" t="s">
        <v>473</v>
      </c>
      <c r="D35" s="39" t="str">
        <f>"0,6018"</f>
        <v>0,6018</v>
      </c>
      <c r="E35" s="38" t="s">
        <v>21</v>
      </c>
      <c r="F35" s="38" t="s">
        <v>22</v>
      </c>
      <c r="G35" s="39" t="s">
        <v>311</v>
      </c>
      <c r="H35" s="39" t="s">
        <v>127</v>
      </c>
      <c r="I35" s="40" t="s">
        <v>189</v>
      </c>
      <c r="J35" s="40"/>
      <c r="K35" s="38" t="str">
        <f>"125,0"</f>
        <v>125,0</v>
      </c>
      <c r="L35" s="39" t="str">
        <f>"78,8358"</f>
        <v>78,8358</v>
      </c>
      <c r="M35" s="38"/>
    </row>
    <row r="37" spans="1:13" ht="15" x14ac:dyDescent="0.2">
      <c r="A37" s="52" t="s">
        <v>54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3" x14ac:dyDescent="0.2">
      <c r="A38" s="35" t="s">
        <v>475</v>
      </c>
      <c r="B38" s="36" t="s">
        <v>476</v>
      </c>
      <c r="C38" s="36" t="s">
        <v>477</v>
      </c>
      <c r="D38" s="36" t="str">
        <f>"0,5540"</f>
        <v>0,5540</v>
      </c>
      <c r="E38" s="35" t="s">
        <v>21</v>
      </c>
      <c r="F38" s="35" t="s">
        <v>461</v>
      </c>
      <c r="G38" s="36" t="s">
        <v>210</v>
      </c>
      <c r="H38" s="36" t="s">
        <v>66</v>
      </c>
      <c r="I38" s="36" t="s">
        <v>478</v>
      </c>
      <c r="J38" s="37"/>
      <c r="K38" s="35" t="str">
        <f>"215,0"</f>
        <v>215,0</v>
      </c>
      <c r="L38" s="36" t="str">
        <f>"119,1100"</f>
        <v>119,1100</v>
      </c>
      <c r="M38" s="35"/>
    </row>
    <row r="39" spans="1:13" x14ac:dyDescent="0.2">
      <c r="A39" s="54" t="s">
        <v>480</v>
      </c>
      <c r="B39" s="41" t="s">
        <v>481</v>
      </c>
      <c r="C39" s="41" t="s">
        <v>482</v>
      </c>
      <c r="D39" s="41" t="str">
        <f>"0,5710"</f>
        <v>0,5710</v>
      </c>
      <c r="E39" s="54" t="s">
        <v>21</v>
      </c>
      <c r="F39" s="54" t="s">
        <v>434</v>
      </c>
      <c r="G39" s="41" t="s">
        <v>67</v>
      </c>
      <c r="H39" s="41" t="s">
        <v>79</v>
      </c>
      <c r="I39" s="55" t="s">
        <v>152</v>
      </c>
      <c r="J39" s="55"/>
      <c r="K39" s="54" t="str">
        <f>"230,0"</f>
        <v>230,0</v>
      </c>
      <c r="L39" s="41" t="str">
        <f>"131,3300"</f>
        <v>131,3300</v>
      </c>
      <c r="M39" s="54"/>
    </row>
    <row r="40" spans="1:13" x14ac:dyDescent="0.2">
      <c r="A40" s="38" t="s">
        <v>484</v>
      </c>
      <c r="B40" s="39" t="s">
        <v>485</v>
      </c>
      <c r="C40" s="39" t="s">
        <v>486</v>
      </c>
      <c r="D40" s="39" t="str">
        <f>"0,5834"</f>
        <v>0,5834</v>
      </c>
      <c r="E40" s="38" t="s">
        <v>21</v>
      </c>
      <c r="F40" s="38" t="s">
        <v>22</v>
      </c>
      <c r="G40" s="39" t="s">
        <v>24</v>
      </c>
      <c r="H40" s="39" t="s">
        <v>66</v>
      </c>
      <c r="I40" s="39" t="s">
        <v>60</v>
      </c>
      <c r="J40" s="40"/>
      <c r="K40" s="38" t="str">
        <f>"205,0"</f>
        <v>205,0</v>
      </c>
      <c r="L40" s="39" t="str">
        <f>"119,5970"</f>
        <v>119,5970</v>
      </c>
      <c r="M40" s="38"/>
    </row>
    <row r="42" spans="1:13" ht="15" x14ac:dyDescent="0.2">
      <c r="A42" s="52" t="s">
        <v>68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">
      <c r="A43" s="35" t="s">
        <v>488</v>
      </c>
      <c r="B43" s="36" t="s">
        <v>489</v>
      </c>
      <c r="C43" s="36" t="s">
        <v>490</v>
      </c>
      <c r="D43" s="36" t="str">
        <f>"0,5454"</f>
        <v>0,5454</v>
      </c>
      <c r="E43" s="35" t="s">
        <v>21</v>
      </c>
      <c r="F43" s="35" t="s">
        <v>22</v>
      </c>
      <c r="G43" s="37" t="s">
        <v>220</v>
      </c>
      <c r="H43" s="36" t="s">
        <v>23</v>
      </c>
      <c r="I43" s="36" t="s">
        <v>24</v>
      </c>
      <c r="J43" s="37"/>
      <c r="K43" s="35" t="str">
        <f>"190,0"</f>
        <v>190,0</v>
      </c>
      <c r="L43" s="36" t="str">
        <f>"103,6260"</f>
        <v>103,6260</v>
      </c>
      <c r="M43" s="35"/>
    </row>
    <row r="44" spans="1:13" x14ac:dyDescent="0.2">
      <c r="A44" s="54" t="s">
        <v>492</v>
      </c>
      <c r="B44" s="41" t="s">
        <v>493</v>
      </c>
      <c r="C44" s="41" t="s">
        <v>494</v>
      </c>
      <c r="D44" s="41" t="str">
        <f>"0,5381"</f>
        <v>0,5381</v>
      </c>
      <c r="E44" s="54" t="s">
        <v>21</v>
      </c>
      <c r="F44" s="54" t="s">
        <v>161</v>
      </c>
      <c r="G44" s="41" t="s">
        <v>36</v>
      </c>
      <c r="H44" s="55" t="s">
        <v>43</v>
      </c>
      <c r="I44" s="41" t="s">
        <v>43</v>
      </c>
      <c r="J44" s="55"/>
      <c r="K44" s="54" t="str">
        <f>"270,0"</f>
        <v>270,0</v>
      </c>
      <c r="L44" s="41" t="str">
        <f>"145,2870"</f>
        <v>145,2870</v>
      </c>
      <c r="M44" s="54"/>
    </row>
    <row r="45" spans="1:13" x14ac:dyDescent="0.2">
      <c r="A45" s="38" t="s">
        <v>496</v>
      </c>
      <c r="B45" s="39" t="s">
        <v>497</v>
      </c>
      <c r="C45" s="39" t="s">
        <v>498</v>
      </c>
      <c r="D45" s="39" t="str">
        <f>"0,5422"</f>
        <v>0,5422</v>
      </c>
      <c r="E45" s="38" t="s">
        <v>21</v>
      </c>
      <c r="F45" s="38" t="s">
        <v>22</v>
      </c>
      <c r="G45" s="39" t="s">
        <v>151</v>
      </c>
      <c r="H45" s="39" t="s">
        <v>152</v>
      </c>
      <c r="I45" s="39" t="s">
        <v>51</v>
      </c>
      <c r="J45" s="40"/>
      <c r="K45" s="38" t="str">
        <f>"240,0"</f>
        <v>240,0</v>
      </c>
      <c r="L45" s="39" t="str">
        <f>"130,1280"</f>
        <v>130,1280</v>
      </c>
      <c r="M45" s="38"/>
    </row>
    <row r="47" spans="1:13" ht="15" x14ac:dyDescent="0.2">
      <c r="A47" s="52" t="s">
        <v>499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3" x14ac:dyDescent="0.2">
      <c r="A48" s="56" t="s">
        <v>501</v>
      </c>
      <c r="B48" s="42" t="s">
        <v>502</v>
      </c>
      <c r="C48" s="42" t="s">
        <v>503</v>
      </c>
      <c r="D48" s="42" t="str">
        <f>"0,4569"</f>
        <v>0,4569</v>
      </c>
      <c r="E48" s="56" t="s">
        <v>21</v>
      </c>
      <c r="F48" s="56" t="s">
        <v>22</v>
      </c>
      <c r="G48" s="42" t="s">
        <v>23</v>
      </c>
      <c r="H48" s="42" t="s">
        <v>66</v>
      </c>
      <c r="I48" s="42" t="s">
        <v>151</v>
      </c>
      <c r="J48" s="57"/>
      <c r="K48" s="56" t="str">
        <f>"225,0"</f>
        <v>225,0</v>
      </c>
      <c r="L48" s="42" t="str">
        <f>"102,7935"</f>
        <v>102,7935</v>
      </c>
      <c r="M48" s="56"/>
    </row>
    <row r="50" spans="1:5" ht="15" x14ac:dyDescent="0.2">
      <c r="E50" s="58" t="s">
        <v>104</v>
      </c>
    </row>
    <row r="51" spans="1:5" ht="15" x14ac:dyDescent="0.2">
      <c r="E51" s="58" t="s">
        <v>105</v>
      </c>
    </row>
    <row r="52" spans="1:5" ht="15" x14ac:dyDescent="0.2">
      <c r="E52" s="58" t="s">
        <v>106</v>
      </c>
    </row>
    <row r="53" spans="1:5" x14ac:dyDescent="0.2">
      <c r="E53" s="4" t="s">
        <v>107</v>
      </c>
    </row>
    <row r="54" spans="1:5" x14ac:dyDescent="0.2">
      <c r="E54" s="4" t="s">
        <v>108</v>
      </c>
    </row>
    <row r="55" spans="1:5" x14ac:dyDescent="0.2">
      <c r="E55" s="4" t="s">
        <v>109</v>
      </c>
    </row>
    <row r="58" spans="1:5" ht="18" x14ac:dyDescent="0.25">
      <c r="A58" s="59" t="s">
        <v>110</v>
      </c>
      <c r="B58" s="60"/>
    </row>
    <row r="59" spans="1:5" ht="15" x14ac:dyDescent="0.2">
      <c r="A59" s="61" t="s">
        <v>257</v>
      </c>
      <c r="B59" s="62"/>
    </row>
    <row r="60" spans="1:5" ht="14.25" x14ac:dyDescent="0.2">
      <c r="A60" s="64"/>
      <c r="B60" s="65" t="s">
        <v>112</v>
      </c>
    </row>
    <row r="61" spans="1:5" ht="15" x14ac:dyDescent="0.2">
      <c r="A61" s="66" t="s">
        <v>0</v>
      </c>
      <c r="B61" s="66" t="s">
        <v>113</v>
      </c>
      <c r="C61" s="66" t="s">
        <v>114</v>
      </c>
      <c r="D61" s="66" t="s">
        <v>115</v>
      </c>
      <c r="E61" s="66" t="s">
        <v>14</v>
      </c>
    </row>
    <row r="62" spans="1:5" x14ac:dyDescent="0.2">
      <c r="A62" s="63" t="s">
        <v>399</v>
      </c>
      <c r="B62" s="5" t="s">
        <v>258</v>
      </c>
      <c r="C62" s="5" t="s">
        <v>259</v>
      </c>
      <c r="D62" s="5" t="s">
        <v>404</v>
      </c>
      <c r="E62" s="67" t="s">
        <v>504</v>
      </c>
    </row>
    <row r="64" spans="1:5" ht="14.25" x14ac:dyDescent="0.2">
      <c r="A64" s="64"/>
      <c r="B64" s="65" t="s">
        <v>123</v>
      </c>
    </row>
    <row r="65" spans="1:5" ht="15" x14ac:dyDescent="0.2">
      <c r="A65" s="66" t="s">
        <v>0</v>
      </c>
      <c r="B65" s="66" t="s">
        <v>113</v>
      </c>
      <c r="C65" s="66" t="s">
        <v>114</v>
      </c>
      <c r="D65" s="66" t="s">
        <v>115</v>
      </c>
      <c r="E65" s="66" t="s">
        <v>14</v>
      </c>
    </row>
    <row r="66" spans="1:5" x14ac:dyDescent="0.2">
      <c r="A66" s="63" t="s">
        <v>406</v>
      </c>
      <c r="B66" s="5" t="s">
        <v>123</v>
      </c>
      <c r="C66" s="5" t="s">
        <v>505</v>
      </c>
      <c r="D66" s="5" t="s">
        <v>411</v>
      </c>
      <c r="E66" s="67" t="s">
        <v>506</v>
      </c>
    </row>
    <row r="69" spans="1:5" ht="15" x14ac:dyDescent="0.2">
      <c r="A69" s="61" t="s">
        <v>111</v>
      </c>
      <c r="B69" s="62"/>
    </row>
    <row r="70" spans="1:5" ht="14.25" x14ac:dyDescent="0.2">
      <c r="A70" s="64"/>
      <c r="B70" s="65" t="s">
        <v>112</v>
      </c>
    </row>
    <row r="71" spans="1:5" ht="15" x14ac:dyDescent="0.2">
      <c r="A71" s="66" t="s">
        <v>0</v>
      </c>
      <c r="B71" s="66" t="s">
        <v>113</v>
      </c>
      <c r="C71" s="66" t="s">
        <v>114</v>
      </c>
      <c r="D71" s="66" t="s">
        <v>115</v>
      </c>
      <c r="E71" s="66" t="s">
        <v>14</v>
      </c>
    </row>
    <row r="72" spans="1:5" x14ac:dyDescent="0.2">
      <c r="A72" s="63" t="s">
        <v>422</v>
      </c>
      <c r="B72" s="5" t="s">
        <v>262</v>
      </c>
      <c r="C72" s="5" t="s">
        <v>507</v>
      </c>
      <c r="D72" s="5" t="s">
        <v>59</v>
      </c>
      <c r="E72" s="67" t="s">
        <v>508</v>
      </c>
    </row>
    <row r="73" spans="1:5" x14ac:dyDescent="0.2">
      <c r="A73" s="63" t="s">
        <v>474</v>
      </c>
      <c r="B73" s="5" t="s">
        <v>258</v>
      </c>
      <c r="C73" s="5" t="s">
        <v>117</v>
      </c>
      <c r="D73" s="5" t="s">
        <v>478</v>
      </c>
      <c r="E73" s="67" t="s">
        <v>509</v>
      </c>
    </row>
    <row r="74" spans="1:5" x14ac:dyDescent="0.2">
      <c r="A74" s="63" t="s">
        <v>448</v>
      </c>
      <c r="B74" s="5" t="s">
        <v>116</v>
      </c>
      <c r="C74" s="5" t="s">
        <v>140</v>
      </c>
      <c r="D74" s="5" t="s">
        <v>345</v>
      </c>
      <c r="E74" s="67" t="s">
        <v>510</v>
      </c>
    </row>
    <row r="75" spans="1:5" x14ac:dyDescent="0.2">
      <c r="A75" s="63" t="s">
        <v>487</v>
      </c>
      <c r="B75" s="5" t="s">
        <v>262</v>
      </c>
      <c r="C75" s="5" t="s">
        <v>125</v>
      </c>
      <c r="D75" s="5" t="s">
        <v>24</v>
      </c>
      <c r="E75" s="67" t="s">
        <v>511</v>
      </c>
    </row>
    <row r="76" spans="1:5" x14ac:dyDescent="0.2">
      <c r="A76" s="63" t="s">
        <v>430</v>
      </c>
      <c r="B76" s="5" t="s">
        <v>116</v>
      </c>
      <c r="C76" s="5" t="s">
        <v>129</v>
      </c>
      <c r="D76" s="5" t="s">
        <v>182</v>
      </c>
      <c r="E76" s="67" t="s">
        <v>512</v>
      </c>
    </row>
    <row r="77" spans="1:5" x14ac:dyDescent="0.2">
      <c r="A77" s="63" t="s">
        <v>435</v>
      </c>
      <c r="B77" s="5" t="s">
        <v>262</v>
      </c>
      <c r="C77" s="5" t="s">
        <v>129</v>
      </c>
      <c r="D77" s="5" t="s">
        <v>189</v>
      </c>
      <c r="E77" s="67" t="s">
        <v>513</v>
      </c>
    </row>
    <row r="78" spans="1:5" x14ac:dyDescent="0.2">
      <c r="A78" s="63" t="s">
        <v>416</v>
      </c>
      <c r="B78" s="5" t="s">
        <v>258</v>
      </c>
      <c r="C78" s="5" t="s">
        <v>505</v>
      </c>
      <c r="D78" s="5" t="s">
        <v>117</v>
      </c>
      <c r="E78" s="67" t="s">
        <v>514</v>
      </c>
    </row>
    <row r="80" spans="1:5" ht="14.25" x14ac:dyDescent="0.2">
      <c r="A80" s="64"/>
      <c r="B80" s="65" t="s">
        <v>119</v>
      </c>
    </row>
    <row r="81" spans="1:5" ht="15" x14ac:dyDescent="0.2">
      <c r="A81" s="66" t="s">
        <v>0</v>
      </c>
      <c r="B81" s="66" t="s">
        <v>113</v>
      </c>
      <c r="C81" s="66" t="s">
        <v>114</v>
      </c>
      <c r="D81" s="66" t="s">
        <v>115</v>
      </c>
      <c r="E81" s="66" t="s">
        <v>14</v>
      </c>
    </row>
    <row r="82" spans="1:5" x14ac:dyDescent="0.2">
      <c r="A82" s="63" t="s">
        <v>452</v>
      </c>
      <c r="B82" s="5" t="s">
        <v>120</v>
      </c>
      <c r="C82" s="5" t="s">
        <v>140</v>
      </c>
      <c r="D82" s="5" t="s">
        <v>456</v>
      </c>
      <c r="E82" s="67" t="s">
        <v>515</v>
      </c>
    </row>
    <row r="83" spans="1:5" x14ac:dyDescent="0.2">
      <c r="A83" s="63" t="s">
        <v>457</v>
      </c>
      <c r="B83" s="5" t="s">
        <v>120</v>
      </c>
      <c r="C83" s="5" t="s">
        <v>140</v>
      </c>
      <c r="D83" s="5" t="s">
        <v>66</v>
      </c>
      <c r="E83" s="67" t="s">
        <v>516</v>
      </c>
    </row>
    <row r="85" spans="1:5" ht="14.25" x14ac:dyDescent="0.2">
      <c r="A85" s="64"/>
      <c r="B85" s="65" t="s">
        <v>123</v>
      </c>
    </row>
    <row r="86" spans="1:5" ht="15" x14ac:dyDescent="0.2">
      <c r="A86" s="66" t="s">
        <v>0</v>
      </c>
      <c r="B86" s="66" t="s">
        <v>113</v>
      </c>
      <c r="C86" s="66" t="s">
        <v>114</v>
      </c>
      <c r="D86" s="66" t="s">
        <v>115</v>
      </c>
      <c r="E86" s="66" t="s">
        <v>14</v>
      </c>
    </row>
    <row r="87" spans="1:5" x14ac:dyDescent="0.2">
      <c r="A87" s="63" t="s">
        <v>491</v>
      </c>
      <c r="B87" s="5" t="s">
        <v>123</v>
      </c>
      <c r="C87" s="5" t="s">
        <v>125</v>
      </c>
      <c r="D87" s="5" t="s">
        <v>43</v>
      </c>
      <c r="E87" s="67" t="s">
        <v>517</v>
      </c>
    </row>
    <row r="88" spans="1:5" x14ac:dyDescent="0.2">
      <c r="A88" s="63" t="s">
        <v>439</v>
      </c>
      <c r="B88" s="5" t="s">
        <v>123</v>
      </c>
      <c r="C88" s="5" t="s">
        <v>129</v>
      </c>
      <c r="D88" s="5" t="s">
        <v>61</v>
      </c>
      <c r="E88" s="67" t="s">
        <v>518</v>
      </c>
    </row>
    <row r="89" spans="1:5" x14ac:dyDescent="0.2">
      <c r="A89" s="63" t="s">
        <v>444</v>
      </c>
      <c r="B89" s="5" t="s">
        <v>123</v>
      </c>
      <c r="C89" s="5" t="s">
        <v>121</v>
      </c>
      <c r="D89" s="5" t="s">
        <v>67</v>
      </c>
      <c r="E89" s="67" t="s">
        <v>519</v>
      </c>
    </row>
    <row r="90" spans="1:5" x14ac:dyDescent="0.2">
      <c r="A90" s="63" t="s">
        <v>479</v>
      </c>
      <c r="B90" s="5" t="s">
        <v>123</v>
      </c>
      <c r="C90" s="5" t="s">
        <v>117</v>
      </c>
      <c r="D90" s="5" t="s">
        <v>79</v>
      </c>
      <c r="E90" s="67" t="s">
        <v>520</v>
      </c>
    </row>
    <row r="91" spans="1:5" x14ac:dyDescent="0.2">
      <c r="A91" s="63" t="s">
        <v>495</v>
      </c>
      <c r="B91" s="5" t="s">
        <v>123</v>
      </c>
      <c r="C91" s="5" t="s">
        <v>125</v>
      </c>
      <c r="D91" s="5" t="s">
        <v>51</v>
      </c>
      <c r="E91" s="67" t="s">
        <v>521</v>
      </c>
    </row>
    <row r="92" spans="1:5" x14ac:dyDescent="0.2">
      <c r="A92" s="63" t="s">
        <v>483</v>
      </c>
      <c r="B92" s="5" t="s">
        <v>123</v>
      </c>
      <c r="C92" s="5" t="s">
        <v>117</v>
      </c>
      <c r="D92" s="5" t="s">
        <v>60</v>
      </c>
      <c r="E92" s="67" t="s">
        <v>522</v>
      </c>
    </row>
    <row r="93" spans="1:5" x14ac:dyDescent="0.2">
      <c r="A93" s="63" t="s">
        <v>500</v>
      </c>
      <c r="B93" s="5" t="s">
        <v>123</v>
      </c>
      <c r="C93" s="5" t="s">
        <v>523</v>
      </c>
      <c r="D93" s="5" t="s">
        <v>151</v>
      </c>
      <c r="E93" s="67" t="s">
        <v>524</v>
      </c>
    </row>
    <row r="95" spans="1:5" ht="14.25" x14ac:dyDescent="0.2">
      <c r="A95" s="64"/>
      <c r="B95" s="65" t="s">
        <v>133</v>
      </c>
    </row>
    <row r="96" spans="1:5" ht="15" x14ac:dyDescent="0.2">
      <c r="A96" s="66" t="s">
        <v>0</v>
      </c>
      <c r="B96" s="66" t="s">
        <v>113</v>
      </c>
      <c r="C96" s="66" t="s">
        <v>114</v>
      </c>
      <c r="D96" s="66" t="s">
        <v>115</v>
      </c>
      <c r="E96" s="66" t="s">
        <v>14</v>
      </c>
    </row>
    <row r="97" spans="1:5" x14ac:dyDescent="0.2">
      <c r="A97" s="63" t="s">
        <v>426</v>
      </c>
      <c r="B97" s="5" t="s">
        <v>136</v>
      </c>
      <c r="C97" s="5" t="s">
        <v>507</v>
      </c>
      <c r="D97" s="5" t="s">
        <v>190</v>
      </c>
      <c r="E97" s="67" t="s">
        <v>525</v>
      </c>
    </row>
    <row r="98" spans="1:5" x14ac:dyDescent="0.2">
      <c r="A98" s="63" t="s">
        <v>466</v>
      </c>
      <c r="B98" s="5" t="s">
        <v>134</v>
      </c>
      <c r="C98" s="5" t="s">
        <v>140</v>
      </c>
      <c r="D98" s="5" t="s">
        <v>23</v>
      </c>
      <c r="E98" s="67" t="s">
        <v>526</v>
      </c>
    </row>
    <row r="99" spans="1:5" x14ac:dyDescent="0.2">
      <c r="A99" s="63" t="s">
        <v>470</v>
      </c>
      <c r="B99" s="5" t="s">
        <v>134</v>
      </c>
      <c r="C99" s="5" t="s">
        <v>140</v>
      </c>
      <c r="D99" s="5" t="s">
        <v>127</v>
      </c>
      <c r="E99" s="67" t="s">
        <v>527</v>
      </c>
    </row>
  </sheetData>
  <mergeCells count="22">
    <mergeCell ref="A42:L42"/>
    <mergeCell ref="A47:L47"/>
    <mergeCell ref="A14:L14"/>
    <mergeCell ref="A17:L17"/>
    <mergeCell ref="A21:L21"/>
    <mergeCell ref="A26:L26"/>
    <mergeCell ref="A29:L29"/>
    <mergeCell ref="A37:L37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397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58" t="s">
        <v>104</v>
      </c>
      <c r="F6" s="4"/>
      <c r="S6" s="4"/>
      <c r="U6" s="4"/>
    </row>
    <row r="7" spans="1:21" s="5" customFormat="1" ht="15" x14ac:dyDescent="0.2">
      <c r="A7" s="4"/>
      <c r="E7" s="58" t="s">
        <v>105</v>
      </c>
      <c r="F7" s="4"/>
      <c r="S7" s="4"/>
      <c r="U7" s="4"/>
    </row>
    <row r="8" spans="1:21" ht="15" x14ac:dyDescent="0.2">
      <c r="E8" s="58" t="s">
        <v>106</v>
      </c>
    </row>
    <row r="9" spans="1:21" x14ac:dyDescent="0.2">
      <c r="E9" s="4" t="s">
        <v>107</v>
      </c>
    </row>
    <row r="10" spans="1:21" x14ac:dyDescent="0.2">
      <c r="E10" s="4" t="s">
        <v>108</v>
      </c>
    </row>
    <row r="11" spans="1:21" x14ac:dyDescent="0.2">
      <c r="E11" s="4" t="s">
        <v>109</v>
      </c>
    </row>
    <row r="14" spans="1:21" ht="18" x14ac:dyDescent="0.25">
      <c r="A14" s="59" t="s">
        <v>110</v>
      </c>
      <c r="B14" s="60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378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ht="15" x14ac:dyDescent="0.2">
      <c r="A5" s="34" t="s">
        <v>46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4"/>
    </row>
    <row r="6" spans="1:21" s="5" customFormat="1" x14ac:dyDescent="0.2">
      <c r="A6" s="35" t="s">
        <v>380</v>
      </c>
      <c r="B6" s="36" t="s">
        <v>381</v>
      </c>
      <c r="C6" s="36" t="s">
        <v>382</v>
      </c>
      <c r="D6" s="36" t="str">
        <f>"0,5983"</f>
        <v>0,5983</v>
      </c>
      <c r="E6" s="35" t="s">
        <v>21</v>
      </c>
      <c r="F6" s="35" t="s">
        <v>161</v>
      </c>
      <c r="G6" s="37" t="s">
        <v>36</v>
      </c>
      <c r="H6" s="36" t="s">
        <v>36</v>
      </c>
      <c r="I6" s="36" t="s">
        <v>92</v>
      </c>
      <c r="J6" s="37"/>
      <c r="K6" s="36" t="s">
        <v>66</v>
      </c>
      <c r="L6" s="37" t="s">
        <v>67</v>
      </c>
      <c r="M6" s="37" t="s">
        <v>67</v>
      </c>
      <c r="N6" s="37"/>
      <c r="O6" s="36" t="s">
        <v>79</v>
      </c>
      <c r="P6" s="37" t="s">
        <v>344</v>
      </c>
      <c r="Q6" s="36" t="s">
        <v>344</v>
      </c>
      <c r="R6" s="37"/>
      <c r="S6" s="35" t="str">
        <f>"730,0"</f>
        <v>730,0</v>
      </c>
      <c r="T6" s="36" t="str">
        <f>"436,7590"</f>
        <v>436,7590</v>
      </c>
      <c r="U6" s="35"/>
    </row>
    <row r="7" spans="1:21" s="5" customFormat="1" x14ac:dyDescent="0.2">
      <c r="A7" s="38" t="s">
        <v>384</v>
      </c>
      <c r="B7" s="39" t="s">
        <v>385</v>
      </c>
      <c r="C7" s="39" t="s">
        <v>382</v>
      </c>
      <c r="D7" s="39" t="str">
        <f>"0,5983"</f>
        <v>0,5983</v>
      </c>
      <c r="E7" s="38" t="s">
        <v>21</v>
      </c>
      <c r="F7" s="38" t="s">
        <v>22</v>
      </c>
      <c r="G7" s="40" t="s">
        <v>61</v>
      </c>
      <c r="H7" s="39" t="s">
        <v>61</v>
      </c>
      <c r="I7" s="39" t="s">
        <v>79</v>
      </c>
      <c r="J7" s="40"/>
      <c r="K7" s="39" t="s">
        <v>199</v>
      </c>
      <c r="L7" s="39" t="s">
        <v>189</v>
      </c>
      <c r="M7" s="39" t="s">
        <v>183</v>
      </c>
      <c r="N7" s="40"/>
      <c r="O7" s="39" t="s">
        <v>61</v>
      </c>
      <c r="P7" s="39" t="s">
        <v>79</v>
      </c>
      <c r="Q7" s="39" t="s">
        <v>51</v>
      </c>
      <c r="R7" s="40"/>
      <c r="S7" s="38" t="str">
        <f>"610,0"</f>
        <v>610,0</v>
      </c>
      <c r="T7" s="39" t="str">
        <f>"364,9630"</f>
        <v>364,9630</v>
      </c>
      <c r="U7" s="38"/>
    </row>
    <row r="9" spans="1:21" ht="15" x14ac:dyDescent="0.2">
      <c r="A9" s="52" t="s">
        <v>68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1" x14ac:dyDescent="0.2">
      <c r="A10" s="56" t="s">
        <v>387</v>
      </c>
      <c r="B10" s="42" t="s">
        <v>388</v>
      </c>
      <c r="C10" s="42" t="s">
        <v>389</v>
      </c>
      <c r="D10" s="42" t="str">
        <f>"0,5500"</f>
        <v>0,5500</v>
      </c>
      <c r="E10" s="56" t="s">
        <v>21</v>
      </c>
      <c r="F10" s="56" t="s">
        <v>22</v>
      </c>
      <c r="G10" s="42" t="s">
        <v>99</v>
      </c>
      <c r="H10" s="42" t="s">
        <v>327</v>
      </c>
      <c r="I10" s="42" t="s">
        <v>390</v>
      </c>
      <c r="J10" s="57"/>
      <c r="K10" s="42" t="s">
        <v>24</v>
      </c>
      <c r="L10" s="57" t="s">
        <v>66</v>
      </c>
      <c r="M10" s="42" t="s">
        <v>66</v>
      </c>
      <c r="N10" s="57"/>
      <c r="O10" s="42" t="s">
        <v>327</v>
      </c>
      <c r="P10" s="42" t="s">
        <v>390</v>
      </c>
      <c r="Q10" s="42" t="s">
        <v>391</v>
      </c>
      <c r="R10" s="57"/>
      <c r="S10" s="56" t="str">
        <f>"837,5"</f>
        <v>837,5</v>
      </c>
      <c r="T10" s="42" t="str">
        <f>"460,6250"</f>
        <v>460,6250</v>
      </c>
      <c r="U10" s="56"/>
    </row>
    <row r="12" spans="1:21" ht="15" x14ac:dyDescent="0.2">
      <c r="E12" s="58" t="s">
        <v>104</v>
      </c>
    </row>
    <row r="13" spans="1:21" ht="15" x14ac:dyDescent="0.2">
      <c r="E13" s="58" t="s">
        <v>105</v>
      </c>
    </row>
    <row r="14" spans="1:21" ht="15" x14ac:dyDescent="0.2">
      <c r="E14" s="58" t="s">
        <v>106</v>
      </c>
    </row>
    <row r="15" spans="1:21" x14ac:dyDescent="0.2">
      <c r="E15" s="4" t="s">
        <v>107</v>
      </c>
    </row>
    <row r="16" spans="1:21" x14ac:dyDescent="0.2">
      <c r="E16" s="4" t="s">
        <v>108</v>
      </c>
    </row>
    <row r="17" spans="1:5" x14ac:dyDescent="0.2">
      <c r="E17" s="4" t="s">
        <v>109</v>
      </c>
    </row>
    <row r="20" spans="1:5" ht="18" x14ac:dyDescent="0.25">
      <c r="A20" s="59" t="s">
        <v>110</v>
      </c>
      <c r="B20" s="60"/>
    </row>
    <row r="21" spans="1:5" ht="15" x14ac:dyDescent="0.2">
      <c r="A21" s="61" t="s">
        <v>111</v>
      </c>
      <c r="B21" s="62"/>
    </row>
    <row r="22" spans="1:5" ht="14.25" x14ac:dyDescent="0.2">
      <c r="A22" s="64"/>
      <c r="B22" s="65" t="s">
        <v>123</v>
      </c>
    </row>
    <row r="23" spans="1:5" ht="15" x14ac:dyDescent="0.2">
      <c r="A23" s="66" t="s">
        <v>0</v>
      </c>
      <c r="B23" s="66" t="s">
        <v>113</v>
      </c>
      <c r="C23" s="66" t="s">
        <v>114</v>
      </c>
      <c r="D23" s="66" t="s">
        <v>115</v>
      </c>
      <c r="E23" s="66" t="s">
        <v>14</v>
      </c>
    </row>
    <row r="24" spans="1:5" x14ac:dyDescent="0.2">
      <c r="A24" s="63" t="s">
        <v>386</v>
      </c>
      <c r="B24" s="5" t="s">
        <v>123</v>
      </c>
      <c r="C24" s="5" t="s">
        <v>125</v>
      </c>
      <c r="D24" s="5" t="s">
        <v>392</v>
      </c>
      <c r="E24" s="67" t="s">
        <v>393</v>
      </c>
    </row>
    <row r="25" spans="1:5" x14ac:dyDescent="0.2">
      <c r="A25" s="63" t="s">
        <v>379</v>
      </c>
      <c r="B25" s="5" t="s">
        <v>123</v>
      </c>
      <c r="C25" s="5" t="s">
        <v>140</v>
      </c>
      <c r="D25" s="5" t="s">
        <v>364</v>
      </c>
      <c r="E25" s="67" t="s">
        <v>394</v>
      </c>
    </row>
    <row r="26" spans="1:5" x14ac:dyDescent="0.2">
      <c r="A26" s="63" t="s">
        <v>383</v>
      </c>
      <c r="B26" s="5" t="s">
        <v>123</v>
      </c>
      <c r="C26" s="5" t="s">
        <v>140</v>
      </c>
      <c r="D26" s="5" t="s">
        <v>395</v>
      </c>
      <c r="E26" s="67" t="s">
        <v>396</v>
      </c>
    </row>
  </sheetData>
  <mergeCells count="15">
    <mergeCell ref="S3:S4"/>
    <mergeCell ref="T3:T4"/>
    <mergeCell ref="U3:U4"/>
    <mergeCell ref="A5:T5"/>
    <mergeCell ref="A9:T9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6.8554687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301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ht="15" x14ac:dyDescent="0.2">
      <c r="A5" s="34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4"/>
    </row>
    <row r="6" spans="1:21" s="5" customFormat="1" x14ac:dyDescent="0.2">
      <c r="A6" s="35" t="s">
        <v>303</v>
      </c>
      <c r="B6" s="36" t="s">
        <v>304</v>
      </c>
      <c r="C6" s="36" t="s">
        <v>305</v>
      </c>
      <c r="D6" s="36" t="str">
        <f>"0,6774"</f>
        <v>0,6774</v>
      </c>
      <c r="E6" s="35" t="s">
        <v>21</v>
      </c>
      <c r="F6" s="35" t="s">
        <v>169</v>
      </c>
      <c r="G6" s="36" t="s">
        <v>61</v>
      </c>
      <c r="H6" s="37" t="s">
        <v>67</v>
      </c>
      <c r="I6" s="37" t="s">
        <v>67</v>
      </c>
      <c r="J6" s="37"/>
      <c r="K6" s="36" t="s">
        <v>189</v>
      </c>
      <c r="L6" s="37" t="s">
        <v>183</v>
      </c>
      <c r="M6" s="37" t="s">
        <v>183</v>
      </c>
      <c r="N6" s="37"/>
      <c r="O6" s="36" t="s">
        <v>61</v>
      </c>
      <c r="P6" s="36" t="s">
        <v>67</v>
      </c>
      <c r="Q6" s="37" t="s">
        <v>151</v>
      </c>
      <c r="R6" s="37"/>
      <c r="S6" s="35" t="str">
        <f>"560,0"</f>
        <v>560,0</v>
      </c>
      <c r="T6" s="36" t="str">
        <f>"379,3440"</f>
        <v>379,3440</v>
      </c>
      <c r="U6" s="35"/>
    </row>
    <row r="7" spans="1:21" s="5" customFormat="1" x14ac:dyDescent="0.2">
      <c r="A7" s="38" t="s">
        <v>307</v>
      </c>
      <c r="B7" s="39" t="s">
        <v>308</v>
      </c>
      <c r="C7" s="39" t="s">
        <v>309</v>
      </c>
      <c r="D7" s="39" t="str">
        <f>"0,6890"</f>
        <v>0,6890</v>
      </c>
      <c r="E7" s="38" t="s">
        <v>21</v>
      </c>
      <c r="F7" s="38" t="s">
        <v>161</v>
      </c>
      <c r="G7" s="39" t="s">
        <v>310</v>
      </c>
      <c r="H7" s="39" t="s">
        <v>311</v>
      </c>
      <c r="I7" s="39" t="s">
        <v>127</v>
      </c>
      <c r="J7" s="40"/>
      <c r="K7" s="39" t="s">
        <v>312</v>
      </c>
      <c r="L7" s="39" t="s">
        <v>129</v>
      </c>
      <c r="M7" s="40" t="s">
        <v>313</v>
      </c>
      <c r="N7" s="40"/>
      <c r="O7" s="39" t="s">
        <v>311</v>
      </c>
      <c r="P7" s="39" t="s">
        <v>127</v>
      </c>
      <c r="Q7" s="39" t="s">
        <v>182</v>
      </c>
      <c r="R7" s="40"/>
      <c r="S7" s="38" t="str">
        <f>"335,0"</f>
        <v>335,0</v>
      </c>
      <c r="T7" s="39" t="str">
        <f>"306,9840"</f>
        <v>306,9840</v>
      </c>
      <c r="U7" s="38"/>
    </row>
    <row r="9" spans="1:21" ht="15" x14ac:dyDescent="0.2">
      <c r="A9" s="52" t="s">
        <v>46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1" x14ac:dyDescent="0.2">
      <c r="A10" s="56" t="s">
        <v>315</v>
      </c>
      <c r="B10" s="42" t="s">
        <v>316</v>
      </c>
      <c r="C10" s="42" t="s">
        <v>50</v>
      </c>
      <c r="D10" s="42" t="str">
        <f>"0,5926"</f>
        <v>0,5926</v>
      </c>
      <c r="E10" s="56" t="s">
        <v>21</v>
      </c>
      <c r="F10" s="56" t="s">
        <v>34</v>
      </c>
      <c r="G10" s="42" t="s">
        <v>183</v>
      </c>
      <c r="H10" s="57" t="s">
        <v>255</v>
      </c>
      <c r="I10" s="42" t="s">
        <v>220</v>
      </c>
      <c r="J10" s="57"/>
      <c r="K10" s="42" t="s">
        <v>310</v>
      </c>
      <c r="L10" s="57" t="s">
        <v>311</v>
      </c>
      <c r="M10" s="42" t="s">
        <v>311</v>
      </c>
      <c r="N10" s="57"/>
      <c r="O10" s="42" t="s">
        <v>255</v>
      </c>
      <c r="P10" s="42" t="s">
        <v>220</v>
      </c>
      <c r="Q10" s="57" t="s">
        <v>23</v>
      </c>
      <c r="R10" s="57"/>
      <c r="S10" s="56" t="str">
        <f>"455,0"</f>
        <v>455,0</v>
      </c>
      <c r="T10" s="42" t="str">
        <f>"473,2059"</f>
        <v>473,2059</v>
      </c>
      <c r="U10" s="56"/>
    </row>
    <row r="12" spans="1:21" ht="15" x14ac:dyDescent="0.2">
      <c r="A12" s="52" t="s">
        <v>54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1" x14ac:dyDescent="0.2">
      <c r="A13" s="35" t="s">
        <v>318</v>
      </c>
      <c r="B13" s="36" t="s">
        <v>319</v>
      </c>
      <c r="C13" s="36" t="s">
        <v>320</v>
      </c>
      <c r="D13" s="36" t="str">
        <f>"0,5543"</f>
        <v>0,5543</v>
      </c>
      <c r="E13" s="35" t="s">
        <v>21</v>
      </c>
      <c r="F13" s="35" t="s">
        <v>22</v>
      </c>
      <c r="G13" s="36" t="s">
        <v>92</v>
      </c>
      <c r="H13" s="37" t="s">
        <v>74</v>
      </c>
      <c r="I13" s="36" t="s">
        <v>74</v>
      </c>
      <c r="J13" s="37"/>
      <c r="K13" s="36" t="s">
        <v>220</v>
      </c>
      <c r="L13" s="37" t="s">
        <v>23</v>
      </c>
      <c r="M13" s="37" t="s">
        <v>24</v>
      </c>
      <c r="N13" s="37"/>
      <c r="O13" s="36" t="s">
        <v>99</v>
      </c>
      <c r="P13" s="36" t="s">
        <v>321</v>
      </c>
      <c r="Q13" s="36" t="s">
        <v>322</v>
      </c>
      <c r="R13" s="37"/>
      <c r="S13" s="35" t="str">
        <f>"790,0"</f>
        <v>790,0</v>
      </c>
      <c r="T13" s="36" t="str">
        <f>"437,8970"</f>
        <v>437,8970</v>
      </c>
      <c r="U13" s="35"/>
    </row>
    <row r="14" spans="1:21" x14ac:dyDescent="0.2">
      <c r="A14" s="54" t="s">
        <v>324</v>
      </c>
      <c r="B14" s="41" t="s">
        <v>325</v>
      </c>
      <c r="C14" s="41" t="s">
        <v>326</v>
      </c>
      <c r="D14" s="41" t="str">
        <f>"0,5602"</f>
        <v>0,5602</v>
      </c>
      <c r="E14" s="54" t="s">
        <v>21</v>
      </c>
      <c r="F14" s="54" t="s">
        <v>42</v>
      </c>
      <c r="G14" s="41" t="s">
        <v>53</v>
      </c>
      <c r="H14" s="41" t="s">
        <v>73</v>
      </c>
      <c r="I14" s="41" t="s">
        <v>74</v>
      </c>
      <c r="J14" s="55"/>
      <c r="K14" s="55" t="s">
        <v>220</v>
      </c>
      <c r="L14" s="41" t="s">
        <v>23</v>
      </c>
      <c r="M14" s="55" t="s">
        <v>210</v>
      </c>
      <c r="N14" s="55"/>
      <c r="O14" s="41" t="s">
        <v>92</v>
      </c>
      <c r="P14" s="41" t="s">
        <v>74</v>
      </c>
      <c r="Q14" s="41" t="s">
        <v>327</v>
      </c>
      <c r="R14" s="55"/>
      <c r="S14" s="54" t="str">
        <f>"780,0"</f>
        <v>780,0</v>
      </c>
      <c r="T14" s="41" t="str">
        <f>"436,9560"</f>
        <v>436,9560</v>
      </c>
      <c r="U14" s="54"/>
    </row>
    <row r="15" spans="1:21" x14ac:dyDescent="0.2">
      <c r="A15" s="54" t="s">
        <v>329</v>
      </c>
      <c r="B15" s="41" t="s">
        <v>330</v>
      </c>
      <c r="C15" s="41" t="s">
        <v>331</v>
      </c>
      <c r="D15" s="41" t="str">
        <f>"0,5573"</f>
        <v>0,5573</v>
      </c>
      <c r="E15" s="54" t="s">
        <v>21</v>
      </c>
      <c r="F15" s="54" t="s">
        <v>22</v>
      </c>
      <c r="G15" s="41" t="s">
        <v>332</v>
      </c>
      <c r="H15" s="41" t="s">
        <v>43</v>
      </c>
      <c r="I15" s="55" t="s">
        <v>92</v>
      </c>
      <c r="J15" s="55"/>
      <c r="K15" s="41" t="s">
        <v>177</v>
      </c>
      <c r="L15" s="41" t="s">
        <v>210</v>
      </c>
      <c r="M15" s="55" t="s">
        <v>24</v>
      </c>
      <c r="N15" s="55"/>
      <c r="O15" s="41" t="s">
        <v>53</v>
      </c>
      <c r="P15" s="41" t="s">
        <v>87</v>
      </c>
      <c r="Q15" s="55" t="s">
        <v>92</v>
      </c>
      <c r="R15" s="55"/>
      <c r="S15" s="54" t="str">
        <f>"730,0"</f>
        <v>730,0</v>
      </c>
      <c r="T15" s="41" t="str">
        <f>"406,8290"</f>
        <v>406,8290</v>
      </c>
      <c r="U15" s="54"/>
    </row>
    <row r="16" spans="1:21" x14ac:dyDescent="0.2">
      <c r="A16" s="54" t="s">
        <v>334</v>
      </c>
      <c r="B16" s="41" t="s">
        <v>335</v>
      </c>
      <c r="C16" s="41" t="s">
        <v>336</v>
      </c>
      <c r="D16" s="41" t="str">
        <f>"0,5613"</f>
        <v>0,5613</v>
      </c>
      <c r="E16" s="54" t="s">
        <v>21</v>
      </c>
      <c r="F16" s="54" t="s">
        <v>22</v>
      </c>
      <c r="G16" s="55" t="s">
        <v>36</v>
      </c>
      <c r="H16" s="41" t="s">
        <v>36</v>
      </c>
      <c r="I16" s="55" t="s">
        <v>92</v>
      </c>
      <c r="J16" s="55"/>
      <c r="K16" s="41" t="s">
        <v>23</v>
      </c>
      <c r="L16" s="41" t="s">
        <v>337</v>
      </c>
      <c r="M16" s="55" t="s">
        <v>338</v>
      </c>
      <c r="N16" s="55"/>
      <c r="O16" s="41" t="s">
        <v>43</v>
      </c>
      <c r="P16" s="41" t="s">
        <v>92</v>
      </c>
      <c r="Q16" s="55" t="s">
        <v>339</v>
      </c>
      <c r="R16" s="55"/>
      <c r="S16" s="54" t="str">
        <f>"727,5"</f>
        <v>727,5</v>
      </c>
      <c r="T16" s="41" t="str">
        <f>"408,3457"</f>
        <v>408,3457</v>
      </c>
      <c r="U16" s="54"/>
    </row>
    <row r="17" spans="1:21" x14ac:dyDescent="0.2">
      <c r="A17" s="38" t="s">
        <v>341</v>
      </c>
      <c r="B17" s="39" t="s">
        <v>342</v>
      </c>
      <c r="C17" s="39" t="s">
        <v>343</v>
      </c>
      <c r="D17" s="39" t="str">
        <f>"0,5666"</f>
        <v>0,5666</v>
      </c>
      <c r="E17" s="38" t="s">
        <v>21</v>
      </c>
      <c r="F17" s="38" t="s">
        <v>169</v>
      </c>
      <c r="G17" s="39" t="s">
        <v>67</v>
      </c>
      <c r="H17" s="39" t="s">
        <v>79</v>
      </c>
      <c r="I17" s="40" t="s">
        <v>344</v>
      </c>
      <c r="J17" s="40"/>
      <c r="K17" s="39" t="s">
        <v>220</v>
      </c>
      <c r="L17" s="39" t="s">
        <v>345</v>
      </c>
      <c r="M17" s="40" t="s">
        <v>23</v>
      </c>
      <c r="N17" s="40"/>
      <c r="O17" s="39" t="s">
        <v>36</v>
      </c>
      <c r="P17" s="39" t="s">
        <v>53</v>
      </c>
      <c r="Q17" s="39" t="s">
        <v>43</v>
      </c>
      <c r="R17" s="40"/>
      <c r="S17" s="38" t="str">
        <f>"675,0"</f>
        <v>675,0</v>
      </c>
      <c r="T17" s="39" t="str">
        <f>"382,4550"</f>
        <v>382,4550</v>
      </c>
      <c r="U17" s="38"/>
    </row>
    <row r="19" spans="1:21" ht="15" x14ac:dyDescent="0.2">
      <c r="A19" s="52" t="s">
        <v>68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1" x14ac:dyDescent="0.2">
      <c r="A20" s="35" t="s">
        <v>347</v>
      </c>
      <c r="B20" s="36" t="s">
        <v>348</v>
      </c>
      <c r="C20" s="36" t="s">
        <v>349</v>
      </c>
      <c r="D20" s="36" t="str">
        <f>"0,5402"</f>
        <v>0,5402</v>
      </c>
      <c r="E20" s="35" t="s">
        <v>21</v>
      </c>
      <c r="F20" s="35" t="s">
        <v>42</v>
      </c>
      <c r="G20" s="36" t="s">
        <v>43</v>
      </c>
      <c r="H20" s="37" t="s">
        <v>92</v>
      </c>
      <c r="I20" s="37" t="s">
        <v>99</v>
      </c>
      <c r="J20" s="37"/>
      <c r="K20" s="36" t="s">
        <v>24</v>
      </c>
      <c r="L20" s="37" t="s">
        <v>66</v>
      </c>
      <c r="M20" s="37" t="s">
        <v>66</v>
      </c>
      <c r="N20" s="37"/>
      <c r="O20" s="36" t="s">
        <v>93</v>
      </c>
      <c r="P20" s="36" t="s">
        <v>94</v>
      </c>
      <c r="Q20" s="36" t="s">
        <v>350</v>
      </c>
      <c r="R20" s="37"/>
      <c r="S20" s="35" t="str">
        <f>"790,0"</f>
        <v>790,0</v>
      </c>
      <c r="T20" s="36" t="str">
        <f>"426,7580"</f>
        <v>426,7580</v>
      </c>
      <c r="U20" s="35"/>
    </row>
    <row r="21" spans="1:21" x14ac:dyDescent="0.2">
      <c r="A21" s="38" t="s">
        <v>351</v>
      </c>
      <c r="B21" s="39" t="s">
        <v>352</v>
      </c>
      <c r="C21" s="39" t="s">
        <v>234</v>
      </c>
      <c r="D21" s="39" t="str">
        <f>"0,5432"</f>
        <v>0,5432</v>
      </c>
      <c r="E21" s="38" t="s">
        <v>21</v>
      </c>
      <c r="F21" s="38" t="s">
        <v>22</v>
      </c>
      <c r="G21" s="39" t="s">
        <v>66</v>
      </c>
      <c r="H21" s="39" t="s">
        <v>61</v>
      </c>
      <c r="I21" s="39" t="s">
        <v>79</v>
      </c>
      <c r="J21" s="40"/>
      <c r="K21" s="39" t="s">
        <v>205</v>
      </c>
      <c r="L21" s="39" t="s">
        <v>256</v>
      </c>
      <c r="M21" s="40" t="s">
        <v>220</v>
      </c>
      <c r="N21" s="40"/>
      <c r="O21" s="40" t="s">
        <v>67</v>
      </c>
      <c r="P21" s="40" t="s">
        <v>67</v>
      </c>
      <c r="Q21" s="40"/>
      <c r="R21" s="40"/>
      <c r="S21" s="38" t="str">
        <f>"0.00"</f>
        <v>0.00</v>
      </c>
      <c r="T21" s="39" t="str">
        <f>"0,0000"</f>
        <v>0,0000</v>
      </c>
      <c r="U21" s="38"/>
    </row>
    <row r="23" spans="1:21" ht="15" x14ac:dyDescent="0.2">
      <c r="A23" s="52" t="s">
        <v>81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1" x14ac:dyDescent="0.2">
      <c r="A24" s="35" t="s">
        <v>89</v>
      </c>
      <c r="B24" s="36" t="s">
        <v>90</v>
      </c>
      <c r="C24" s="36" t="s">
        <v>91</v>
      </c>
      <c r="D24" s="36" t="str">
        <f>"0,5286"</f>
        <v>0,5286</v>
      </c>
      <c r="E24" s="35" t="s">
        <v>21</v>
      </c>
      <c r="F24" s="35" t="s">
        <v>22</v>
      </c>
      <c r="G24" s="36" t="s">
        <v>36</v>
      </c>
      <c r="H24" s="36" t="s">
        <v>92</v>
      </c>
      <c r="I24" s="36" t="s">
        <v>93</v>
      </c>
      <c r="J24" s="37"/>
      <c r="K24" s="36" t="s">
        <v>220</v>
      </c>
      <c r="L24" s="36" t="s">
        <v>23</v>
      </c>
      <c r="M24" s="37" t="s">
        <v>24</v>
      </c>
      <c r="N24" s="37"/>
      <c r="O24" s="36" t="s">
        <v>92</v>
      </c>
      <c r="P24" s="36" t="s">
        <v>93</v>
      </c>
      <c r="Q24" s="36" t="s">
        <v>94</v>
      </c>
      <c r="R24" s="37"/>
      <c r="S24" s="35" t="str">
        <f>"800,0"</f>
        <v>800,0</v>
      </c>
      <c r="T24" s="36" t="str">
        <f>"461,7849"</f>
        <v>461,7849</v>
      </c>
      <c r="U24" s="35"/>
    </row>
    <row r="25" spans="1:21" x14ac:dyDescent="0.2">
      <c r="A25" s="38" t="s">
        <v>354</v>
      </c>
      <c r="B25" s="39" t="s">
        <v>355</v>
      </c>
      <c r="C25" s="39" t="s">
        <v>356</v>
      </c>
      <c r="D25" s="39" t="str">
        <f>"0,5323"</f>
        <v>0,5323</v>
      </c>
      <c r="E25" s="38" t="s">
        <v>21</v>
      </c>
      <c r="F25" s="38" t="s">
        <v>169</v>
      </c>
      <c r="G25" s="39" t="s">
        <v>255</v>
      </c>
      <c r="H25" s="40" t="s">
        <v>220</v>
      </c>
      <c r="I25" s="39" t="s">
        <v>23</v>
      </c>
      <c r="J25" s="40"/>
      <c r="K25" s="39" t="s">
        <v>127</v>
      </c>
      <c r="L25" s="40" t="s">
        <v>182</v>
      </c>
      <c r="M25" s="40" t="s">
        <v>182</v>
      </c>
      <c r="N25" s="40"/>
      <c r="O25" s="39" t="s">
        <v>23</v>
      </c>
      <c r="P25" s="39" t="s">
        <v>24</v>
      </c>
      <c r="Q25" s="39" t="s">
        <v>66</v>
      </c>
      <c r="R25" s="40"/>
      <c r="S25" s="38" t="str">
        <f>"505,0"</f>
        <v>505,0</v>
      </c>
      <c r="T25" s="39" t="str">
        <f>"333,0574"</f>
        <v>333,0574</v>
      </c>
      <c r="U25" s="38"/>
    </row>
    <row r="27" spans="1:21" ht="15" x14ac:dyDescent="0.2">
      <c r="E27" s="58" t="s">
        <v>104</v>
      </c>
    </row>
    <row r="28" spans="1:21" ht="15" x14ac:dyDescent="0.2">
      <c r="E28" s="58" t="s">
        <v>105</v>
      </c>
    </row>
    <row r="29" spans="1:21" ht="15" x14ac:dyDescent="0.2">
      <c r="E29" s="58" t="s">
        <v>106</v>
      </c>
    </row>
    <row r="30" spans="1:21" x14ac:dyDescent="0.2">
      <c r="E30" s="4" t="s">
        <v>107</v>
      </c>
    </row>
    <row r="31" spans="1:21" x14ac:dyDescent="0.2">
      <c r="E31" s="4" t="s">
        <v>108</v>
      </c>
    </row>
    <row r="32" spans="1:21" x14ac:dyDescent="0.2">
      <c r="E32" s="4" t="s">
        <v>109</v>
      </c>
    </row>
    <row r="35" spans="1:5" ht="18" x14ac:dyDescent="0.25">
      <c r="A35" s="59" t="s">
        <v>110</v>
      </c>
      <c r="B35" s="60"/>
    </row>
    <row r="36" spans="1:5" ht="15" x14ac:dyDescent="0.2">
      <c r="A36" s="61" t="s">
        <v>111</v>
      </c>
      <c r="B36" s="62"/>
    </row>
    <row r="37" spans="1:5" ht="14.25" x14ac:dyDescent="0.2">
      <c r="A37" s="64"/>
      <c r="B37" s="65" t="s">
        <v>123</v>
      </c>
    </row>
    <row r="38" spans="1:5" ht="15" x14ac:dyDescent="0.2">
      <c r="A38" s="66" t="s">
        <v>0</v>
      </c>
      <c r="B38" s="66" t="s">
        <v>113</v>
      </c>
      <c r="C38" s="66" t="s">
        <v>114</v>
      </c>
      <c r="D38" s="66" t="s">
        <v>115</v>
      </c>
      <c r="E38" s="66" t="s">
        <v>14</v>
      </c>
    </row>
    <row r="39" spans="1:5" x14ac:dyDescent="0.2">
      <c r="A39" s="63" t="s">
        <v>317</v>
      </c>
      <c r="B39" s="5" t="s">
        <v>123</v>
      </c>
      <c r="C39" s="5" t="s">
        <v>117</v>
      </c>
      <c r="D39" s="5" t="s">
        <v>357</v>
      </c>
      <c r="E39" s="67" t="s">
        <v>358</v>
      </c>
    </row>
    <row r="40" spans="1:5" x14ac:dyDescent="0.2">
      <c r="A40" s="63" t="s">
        <v>323</v>
      </c>
      <c r="B40" s="5" t="s">
        <v>123</v>
      </c>
      <c r="C40" s="5" t="s">
        <v>117</v>
      </c>
      <c r="D40" s="5" t="s">
        <v>359</v>
      </c>
      <c r="E40" s="67" t="s">
        <v>360</v>
      </c>
    </row>
    <row r="41" spans="1:5" x14ac:dyDescent="0.2">
      <c r="A41" s="63" t="s">
        <v>346</v>
      </c>
      <c r="B41" s="5" t="s">
        <v>123</v>
      </c>
      <c r="C41" s="5" t="s">
        <v>125</v>
      </c>
      <c r="D41" s="5" t="s">
        <v>357</v>
      </c>
      <c r="E41" s="67" t="s">
        <v>361</v>
      </c>
    </row>
    <row r="42" spans="1:5" x14ac:dyDescent="0.2">
      <c r="A42" s="63" t="s">
        <v>333</v>
      </c>
      <c r="B42" s="5" t="s">
        <v>123</v>
      </c>
      <c r="C42" s="5" t="s">
        <v>117</v>
      </c>
      <c r="D42" s="5" t="s">
        <v>362</v>
      </c>
      <c r="E42" s="67" t="s">
        <v>363</v>
      </c>
    </row>
    <row r="43" spans="1:5" x14ac:dyDescent="0.2">
      <c r="A43" s="63" t="s">
        <v>328</v>
      </c>
      <c r="B43" s="5" t="s">
        <v>123</v>
      </c>
      <c r="C43" s="5" t="s">
        <v>117</v>
      </c>
      <c r="D43" s="5" t="s">
        <v>364</v>
      </c>
      <c r="E43" s="67" t="s">
        <v>365</v>
      </c>
    </row>
    <row r="44" spans="1:5" x14ac:dyDescent="0.2">
      <c r="A44" s="63" t="s">
        <v>340</v>
      </c>
      <c r="B44" s="5" t="s">
        <v>123</v>
      </c>
      <c r="C44" s="5" t="s">
        <v>117</v>
      </c>
      <c r="D44" s="5" t="s">
        <v>366</v>
      </c>
      <c r="E44" s="67" t="s">
        <v>367</v>
      </c>
    </row>
    <row r="45" spans="1:5" x14ac:dyDescent="0.2">
      <c r="A45" s="63" t="s">
        <v>302</v>
      </c>
      <c r="B45" s="5" t="s">
        <v>123</v>
      </c>
      <c r="C45" s="5" t="s">
        <v>129</v>
      </c>
      <c r="D45" s="5" t="s">
        <v>368</v>
      </c>
      <c r="E45" s="67" t="s">
        <v>369</v>
      </c>
    </row>
    <row r="47" spans="1:5" ht="14.25" x14ac:dyDescent="0.2">
      <c r="A47" s="64"/>
      <c r="B47" s="65" t="s">
        <v>133</v>
      </c>
    </row>
    <row r="48" spans="1:5" ht="15" x14ac:dyDescent="0.2">
      <c r="A48" s="66" t="s">
        <v>0</v>
      </c>
      <c r="B48" s="66" t="s">
        <v>113</v>
      </c>
      <c r="C48" s="66" t="s">
        <v>114</v>
      </c>
      <c r="D48" s="66" t="s">
        <v>115</v>
      </c>
      <c r="E48" s="66" t="s">
        <v>14</v>
      </c>
    </row>
    <row r="49" spans="1:5" x14ac:dyDescent="0.2">
      <c r="A49" s="63" t="s">
        <v>314</v>
      </c>
      <c r="B49" s="5" t="s">
        <v>138</v>
      </c>
      <c r="C49" s="5" t="s">
        <v>140</v>
      </c>
      <c r="D49" s="5" t="s">
        <v>370</v>
      </c>
      <c r="E49" s="67" t="s">
        <v>371</v>
      </c>
    </row>
    <row r="50" spans="1:5" x14ac:dyDescent="0.2">
      <c r="A50" s="63" t="s">
        <v>88</v>
      </c>
      <c r="B50" s="5" t="s">
        <v>134</v>
      </c>
      <c r="C50" s="5" t="s">
        <v>127</v>
      </c>
      <c r="D50" s="5" t="s">
        <v>372</v>
      </c>
      <c r="E50" s="67" t="s">
        <v>373</v>
      </c>
    </row>
    <row r="51" spans="1:5" x14ac:dyDescent="0.2">
      <c r="A51" s="63" t="s">
        <v>353</v>
      </c>
      <c r="B51" s="5" t="s">
        <v>136</v>
      </c>
      <c r="C51" s="5" t="s">
        <v>127</v>
      </c>
      <c r="D51" s="5" t="s">
        <v>374</v>
      </c>
      <c r="E51" s="67" t="s">
        <v>375</v>
      </c>
    </row>
    <row r="52" spans="1:5" x14ac:dyDescent="0.2">
      <c r="A52" s="63" t="s">
        <v>306</v>
      </c>
      <c r="B52" s="5" t="s">
        <v>136</v>
      </c>
      <c r="C52" s="5" t="s">
        <v>129</v>
      </c>
      <c r="D52" s="5" t="s">
        <v>376</v>
      </c>
      <c r="E52" s="67" t="s">
        <v>377</v>
      </c>
    </row>
  </sheetData>
  <mergeCells count="18">
    <mergeCell ref="A19:T19"/>
    <mergeCell ref="A23:T23"/>
    <mergeCell ref="S3:S4"/>
    <mergeCell ref="T3:T4"/>
    <mergeCell ref="U3:U4"/>
    <mergeCell ref="A5:T5"/>
    <mergeCell ref="A9:T9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300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58" t="s">
        <v>104</v>
      </c>
      <c r="F6" s="4"/>
      <c r="K6" s="4"/>
      <c r="M6" s="4"/>
    </row>
    <row r="7" spans="1:13" s="5" customFormat="1" ht="15" x14ac:dyDescent="0.2">
      <c r="A7" s="4"/>
      <c r="E7" s="58" t="s">
        <v>105</v>
      </c>
      <c r="F7" s="4"/>
      <c r="K7" s="4"/>
      <c r="M7" s="4"/>
    </row>
    <row r="8" spans="1:13" ht="15" x14ac:dyDescent="0.2">
      <c r="E8" s="58" t="s">
        <v>106</v>
      </c>
    </row>
    <row r="9" spans="1:13" x14ac:dyDescent="0.2">
      <c r="E9" s="4" t="s">
        <v>107</v>
      </c>
    </row>
    <row r="10" spans="1:13" x14ac:dyDescent="0.2">
      <c r="E10" s="4" t="s">
        <v>108</v>
      </c>
    </row>
    <row r="11" spans="1:13" x14ac:dyDescent="0.2">
      <c r="E11" s="4" t="s">
        <v>109</v>
      </c>
    </row>
    <row r="14" spans="1:13" ht="18" x14ac:dyDescent="0.25">
      <c r="A14" s="59" t="s">
        <v>110</v>
      </c>
      <c r="B14" s="60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6.855468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282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46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35" t="s">
        <v>284</v>
      </c>
      <c r="B6" s="36" t="s">
        <v>285</v>
      </c>
      <c r="C6" s="36" t="s">
        <v>286</v>
      </c>
      <c r="D6" s="36" t="str">
        <f>"0,5869"</f>
        <v>0,5869</v>
      </c>
      <c r="E6" s="35" t="s">
        <v>21</v>
      </c>
      <c r="F6" s="35" t="s">
        <v>86</v>
      </c>
      <c r="G6" s="37" t="s">
        <v>37</v>
      </c>
      <c r="H6" s="36" t="s">
        <v>37</v>
      </c>
      <c r="I6" s="36" t="s">
        <v>287</v>
      </c>
      <c r="J6" s="37"/>
      <c r="K6" s="35" t="str">
        <f>"302,5"</f>
        <v>302,5</v>
      </c>
      <c r="L6" s="36" t="str">
        <f>"177,5372"</f>
        <v>177,5372</v>
      </c>
      <c r="M6" s="35"/>
    </row>
    <row r="7" spans="1:13" s="5" customFormat="1" x14ac:dyDescent="0.2">
      <c r="A7" s="54" t="s">
        <v>284</v>
      </c>
      <c r="B7" s="41" t="s">
        <v>288</v>
      </c>
      <c r="C7" s="41" t="s">
        <v>286</v>
      </c>
      <c r="D7" s="41" t="str">
        <f>"0,5869"</f>
        <v>0,5869</v>
      </c>
      <c r="E7" s="54" t="s">
        <v>21</v>
      </c>
      <c r="F7" s="54" t="s">
        <v>86</v>
      </c>
      <c r="G7" s="55" t="s">
        <v>37</v>
      </c>
      <c r="H7" s="41" t="s">
        <v>37</v>
      </c>
      <c r="I7" s="41" t="s">
        <v>287</v>
      </c>
      <c r="J7" s="55"/>
      <c r="K7" s="54" t="str">
        <f>"302,5"</f>
        <v>302,5</v>
      </c>
      <c r="L7" s="41" t="str">
        <f>"177,5372"</f>
        <v>177,5372</v>
      </c>
      <c r="M7" s="54"/>
    </row>
    <row r="8" spans="1:13" x14ac:dyDescent="0.2">
      <c r="A8" s="38" t="s">
        <v>290</v>
      </c>
      <c r="B8" s="39" t="s">
        <v>291</v>
      </c>
      <c r="C8" s="39" t="s">
        <v>292</v>
      </c>
      <c r="D8" s="39" t="str">
        <f>"0,5897"</f>
        <v>0,5897</v>
      </c>
      <c r="E8" s="38" t="s">
        <v>21</v>
      </c>
      <c r="F8" s="38" t="s">
        <v>42</v>
      </c>
      <c r="G8" s="39" t="s">
        <v>66</v>
      </c>
      <c r="H8" s="39" t="s">
        <v>67</v>
      </c>
      <c r="I8" s="39" t="s">
        <v>79</v>
      </c>
      <c r="J8" s="40"/>
      <c r="K8" s="38" t="str">
        <f>"230,0"</f>
        <v>230,0</v>
      </c>
      <c r="L8" s="39" t="str">
        <f>"135,6310"</f>
        <v>135,6310</v>
      </c>
      <c r="M8" s="38"/>
    </row>
    <row r="10" spans="1:13" ht="15" x14ac:dyDescent="0.2">
      <c r="A10" s="52" t="s">
        <v>54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3" x14ac:dyDescent="0.2">
      <c r="A11" s="56" t="s">
        <v>294</v>
      </c>
      <c r="B11" s="42" t="s">
        <v>295</v>
      </c>
      <c r="C11" s="42" t="s">
        <v>296</v>
      </c>
      <c r="D11" s="42" t="str">
        <f>"0,5768"</f>
        <v>0,5768</v>
      </c>
      <c r="E11" s="56" t="s">
        <v>21</v>
      </c>
      <c r="F11" s="56" t="s">
        <v>86</v>
      </c>
      <c r="G11" s="57" t="s">
        <v>66</v>
      </c>
      <c r="H11" s="57" t="s">
        <v>66</v>
      </c>
      <c r="I11" s="42" t="s">
        <v>66</v>
      </c>
      <c r="J11" s="57"/>
      <c r="K11" s="56" t="str">
        <f>"200,0"</f>
        <v>200,0</v>
      </c>
      <c r="L11" s="42" t="str">
        <f>"115,3600"</f>
        <v>115,3600</v>
      </c>
      <c r="M11" s="56"/>
    </row>
    <row r="13" spans="1:13" ht="15" x14ac:dyDescent="0.2">
      <c r="E13" s="58" t="s">
        <v>104</v>
      </c>
    </row>
    <row r="14" spans="1:13" ht="15" x14ac:dyDescent="0.2">
      <c r="E14" s="58" t="s">
        <v>105</v>
      </c>
    </row>
    <row r="15" spans="1:13" ht="15" x14ac:dyDescent="0.2">
      <c r="E15" s="58" t="s">
        <v>106</v>
      </c>
    </row>
    <row r="16" spans="1:13" x14ac:dyDescent="0.2">
      <c r="E16" s="4" t="s">
        <v>107</v>
      </c>
    </row>
    <row r="17" spans="1:5" x14ac:dyDescent="0.2">
      <c r="E17" s="4" t="s">
        <v>108</v>
      </c>
    </row>
    <row r="18" spans="1:5" x14ac:dyDescent="0.2">
      <c r="E18" s="4" t="s">
        <v>109</v>
      </c>
    </row>
    <row r="21" spans="1:5" ht="18" x14ac:dyDescent="0.25">
      <c r="A21" s="59" t="s">
        <v>110</v>
      </c>
      <c r="B21" s="60"/>
    </row>
    <row r="22" spans="1:5" ht="15" x14ac:dyDescent="0.2">
      <c r="A22" s="61" t="s">
        <v>111</v>
      </c>
      <c r="B22" s="62"/>
    </row>
    <row r="23" spans="1:5" ht="14.25" x14ac:dyDescent="0.2">
      <c r="A23" s="64"/>
      <c r="B23" s="65" t="s">
        <v>119</v>
      </c>
    </row>
    <row r="24" spans="1:5" ht="15" x14ac:dyDescent="0.2">
      <c r="A24" s="66" t="s">
        <v>0</v>
      </c>
      <c r="B24" s="66" t="s">
        <v>113</v>
      </c>
      <c r="C24" s="66" t="s">
        <v>114</v>
      </c>
      <c r="D24" s="66" t="s">
        <v>115</v>
      </c>
      <c r="E24" s="66" t="s">
        <v>14</v>
      </c>
    </row>
    <row r="25" spans="1:5" x14ac:dyDescent="0.2">
      <c r="A25" s="63" t="s">
        <v>283</v>
      </c>
      <c r="B25" s="5" t="s">
        <v>120</v>
      </c>
      <c r="C25" s="5" t="s">
        <v>140</v>
      </c>
      <c r="D25" s="5" t="s">
        <v>287</v>
      </c>
      <c r="E25" s="67" t="s">
        <v>297</v>
      </c>
    </row>
    <row r="27" spans="1:5" ht="14.25" x14ac:dyDescent="0.2">
      <c r="A27" s="64"/>
      <c r="B27" s="65" t="s">
        <v>123</v>
      </c>
    </row>
    <row r="28" spans="1:5" ht="15" x14ac:dyDescent="0.2">
      <c r="A28" s="66" t="s">
        <v>0</v>
      </c>
      <c r="B28" s="66" t="s">
        <v>113</v>
      </c>
      <c r="C28" s="66" t="s">
        <v>114</v>
      </c>
      <c r="D28" s="66" t="s">
        <v>115</v>
      </c>
      <c r="E28" s="66" t="s">
        <v>14</v>
      </c>
    </row>
    <row r="29" spans="1:5" x14ac:dyDescent="0.2">
      <c r="A29" s="63" t="s">
        <v>283</v>
      </c>
      <c r="B29" s="5" t="s">
        <v>123</v>
      </c>
      <c r="C29" s="5" t="s">
        <v>140</v>
      </c>
      <c r="D29" s="5" t="s">
        <v>287</v>
      </c>
      <c r="E29" s="67" t="s">
        <v>297</v>
      </c>
    </row>
    <row r="30" spans="1:5" x14ac:dyDescent="0.2">
      <c r="A30" s="63" t="s">
        <v>289</v>
      </c>
      <c r="B30" s="5" t="s">
        <v>123</v>
      </c>
      <c r="C30" s="5" t="s">
        <v>140</v>
      </c>
      <c r="D30" s="5" t="s">
        <v>79</v>
      </c>
      <c r="E30" s="67" t="s">
        <v>298</v>
      </c>
    </row>
    <row r="31" spans="1:5" x14ac:dyDescent="0.2">
      <c r="A31" s="63" t="s">
        <v>293</v>
      </c>
      <c r="B31" s="5" t="s">
        <v>123</v>
      </c>
      <c r="C31" s="5" t="s">
        <v>117</v>
      </c>
      <c r="D31" s="5" t="s">
        <v>66</v>
      </c>
      <c r="E31" s="67" t="s">
        <v>299</v>
      </c>
    </row>
  </sheetData>
  <mergeCells count="13">
    <mergeCell ref="K3:K4"/>
    <mergeCell ref="L3:L4"/>
    <mergeCell ref="M3:M4"/>
    <mergeCell ref="A5:L5"/>
    <mergeCell ref="A10:L10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156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158</v>
      </c>
      <c r="B6" s="42" t="s">
        <v>159</v>
      </c>
      <c r="C6" s="42" t="s">
        <v>160</v>
      </c>
      <c r="D6" s="42" t="str">
        <f>"1,1938"</f>
        <v>1,1938</v>
      </c>
      <c r="E6" s="56" t="s">
        <v>21</v>
      </c>
      <c r="F6" s="56" t="s">
        <v>161</v>
      </c>
      <c r="G6" s="42" t="s">
        <v>162</v>
      </c>
      <c r="H6" s="42" t="s">
        <v>163</v>
      </c>
      <c r="I6" s="42" t="s">
        <v>164</v>
      </c>
      <c r="J6" s="57"/>
      <c r="K6" s="56" t="str">
        <f>"25,0"</f>
        <v>25,0</v>
      </c>
      <c r="L6" s="42" t="str">
        <f>"29,8450"</f>
        <v>29,8450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2" t="s">
        <v>16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x14ac:dyDescent="0.2">
      <c r="A9" s="56" t="s">
        <v>166</v>
      </c>
      <c r="B9" s="42" t="s">
        <v>167</v>
      </c>
      <c r="C9" s="42" t="s">
        <v>168</v>
      </c>
      <c r="D9" s="42" t="str">
        <f>"0,7438"</f>
        <v>0,7438</v>
      </c>
      <c r="E9" s="56" t="s">
        <v>21</v>
      </c>
      <c r="F9" s="56" t="s">
        <v>169</v>
      </c>
      <c r="G9" s="42" t="s">
        <v>170</v>
      </c>
      <c r="H9" s="42" t="s">
        <v>171</v>
      </c>
      <c r="I9" s="57" t="s">
        <v>172</v>
      </c>
      <c r="J9" s="57"/>
      <c r="K9" s="56" t="str">
        <f>"50,0"</f>
        <v>50,0</v>
      </c>
      <c r="L9" s="42" t="str">
        <f>"40,6115"</f>
        <v>40,6115</v>
      </c>
      <c r="M9" s="56"/>
    </row>
    <row r="11" spans="1:13" ht="15" x14ac:dyDescent="0.2">
      <c r="A11" s="52" t="s">
        <v>16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 x14ac:dyDescent="0.2">
      <c r="A12" s="56" t="s">
        <v>174</v>
      </c>
      <c r="B12" s="42" t="s">
        <v>175</v>
      </c>
      <c r="C12" s="42" t="s">
        <v>176</v>
      </c>
      <c r="D12" s="42" t="str">
        <f>"0,6673"</f>
        <v>0,6673</v>
      </c>
      <c r="E12" s="56" t="s">
        <v>21</v>
      </c>
      <c r="F12" s="56" t="s">
        <v>22</v>
      </c>
      <c r="G12" s="57" t="s">
        <v>177</v>
      </c>
      <c r="H12" s="42" t="s">
        <v>177</v>
      </c>
      <c r="I12" s="57" t="s">
        <v>23</v>
      </c>
      <c r="J12" s="57"/>
      <c r="K12" s="56" t="str">
        <f>"172,5"</f>
        <v>172,5</v>
      </c>
      <c r="L12" s="42" t="str">
        <f>"115,1092"</f>
        <v>115,1092</v>
      </c>
      <c r="M12" s="56"/>
    </row>
    <row r="14" spans="1:13" ht="15" x14ac:dyDescent="0.2">
      <c r="A14" s="52" t="s">
        <v>29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 x14ac:dyDescent="0.2">
      <c r="A15" s="35" t="s">
        <v>179</v>
      </c>
      <c r="B15" s="36" t="s">
        <v>180</v>
      </c>
      <c r="C15" s="36" t="s">
        <v>181</v>
      </c>
      <c r="D15" s="36" t="str">
        <f>"0,6268"</f>
        <v>0,6268</v>
      </c>
      <c r="E15" s="35" t="s">
        <v>21</v>
      </c>
      <c r="F15" s="35" t="s">
        <v>22</v>
      </c>
      <c r="G15" s="37" t="s">
        <v>182</v>
      </c>
      <c r="H15" s="36" t="s">
        <v>183</v>
      </c>
      <c r="I15" s="37" t="s">
        <v>184</v>
      </c>
      <c r="J15" s="37"/>
      <c r="K15" s="35" t="str">
        <f>"140,0"</f>
        <v>140,0</v>
      </c>
      <c r="L15" s="36" t="str">
        <f>"87,7520"</f>
        <v>87,7520</v>
      </c>
      <c r="M15" s="35"/>
    </row>
    <row r="16" spans="1:13" x14ac:dyDescent="0.2">
      <c r="A16" s="38" t="s">
        <v>186</v>
      </c>
      <c r="B16" s="39" t="s">
        <v>187</v>
      </c>
      <c r="C16" s="39" t="s">
        <v>188</v>
      </c>
      <c r="D16" s="39" t="str">
        <f>"0,6436"</f>
        <v>0,6436</v>
      </c>
      <c r="E16" s="38" t="s">
        <v>21</v>
      </c>
      <c r="F16" s="38" t="s">
        <v>169</v>
      </c>
      <c r="G16" s="39" t="s">
        <v>189</v>
      </c>
      <c r="H16" s="39" t="s">
        <v>183</v>
      </c>
      <c r="I16" s="40" t="s">
        <v>190</v>
      </c>
      <c r="J16" s="40"/>
      <c r="K16" s="38" t="str">
        <f>"140,0"</f>
        <v>140,0</v>
      </c>
      <c r="L16" s="39" t="str">
        <f>"92,8972"</f>
        <v>92,8972</v>
      </c>
      <c r="M16" s="38"/>
    </row>
    <row r="18" spans="1:13" ht="15" x14ac:dyDescent="0.2">
      <c r="A18" s="52" t="s">
        <v>46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3" x14ac:dyDescent="0.2">
      <c r="A19" s="35" t="s">
        <v>192</v>
      </c>
      <c r="B19" s="36" t="s">
        <v>193</v>
      </c>
      <c r="C19" s="36" t="s">
        <v>194</v>
      </c>
      <c r="D19" s="36" t="str">
        <f>"0,5939"</f>
        <v>0,5939</v>
      </c>
      <c r="E19" s="35" t="s">
        <v>21</v>
      </c>
      <c r="F19" s="35" t="s">
        <v>161</v>
      </c>
      <c r="G19" s="36" t="s">
        <v>23</v>
      </c>
      <c r="H19" s="37" t="s">
        <v>24</v>
      </c>
      <c r="I19" s="37" t="s">
        <v>24</v>
      </c>
      <c r="J19" s="37"/>
      <c r="K19" s="35" t="str">
        <f>"180,0"</f>
        <v>180,0</v>
      </c>
      <c r="L19" s="36" t="str">
        <f>"106,9020"</f>
        <v>106,9020</v>
      </c>
      <c r="M19" s="35"/>
    </row>
    <row r="20" spans="1:13" x14ac:dyDescent="0.2">
      <c r="A20" s="38" t="s">
        <v>196</v>
      </c>
      <c r="B20" s="39" t="s">
        <v>197</v>
      </c>
      <c r="C20" s="39" t="s">
        <v>198</v>
      </c>
      <c r="D20" s="39" t="str">
        <f>"0,6036"</f>
        <v>0,6036</v>
      </c>
      <c r="E20" s="38" t="s">
        <v>21</v>
      </c>
      <c r="F20" s="38" t="s">
        <v>22</v>
      </c>
      <c r="G20" s="40" t="s">
        <v>125</v>
      </c>
      <c r="H20" s="39" t="s">
        <v>125</v>
      </c>
      <c r="I20" s="39" t="s">
        <v>199</v>
      </c>
      <c r="J20" s="40"/>
      <c r="K20" s="38" t="str">
        <f>"120,0"</f>
        <v>120,0</v>
      </c>
      <c r="L20" s="39" t="str">
        <f>"74,6774"</f>
        <v>74,6774</v>
      </c>
      <c r="M20" s="38"/>
    </row>
    <row r="22" spans="1:13" ht="15" x14ac:dyDescent="0.2">
      <c r="A22" s="52" t="s">
        <v>54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3" x14ac:dyDescent="0.2">
      <c r="A23" s="35" t="s">
        <v>201</v>
      </c>
      <c r="B23" s="36" t="s">
        <v>202</v>
      </c>
      <c r="C23" s="36" t="s">
        <v>203</v>
      </c>
      <c r="D23" s="36" t="str">
        <f>"0,5751"</f>
        <v>0,5751</v>
      </c>
      <c r="E23" s="35" t="s">
        <v>21</v>
      </c>
      <c r="F23" s="35" t="s">
        <v>204</v>
      </c>
      <c r="G23" s="36" t="s">
        <v>183</v>
      </c>
      <c r="H23" s="36" t="s">
        <v>190</v>
      </c>
      <c r="I23" s="37" t="s">
        <v>205</v>
      </c>
      <c r="J23" s="37"/>
      <c r="K23" s="35" t="str">
        <f>"150,0"</f>
        <v>150,0</v>
      </c>
      <c r="L23" s="36" t="str">
        <f>"86,2650"</f>
        <v>86,2650</v>
      </c>
      <c r="M23" s="35"/>
    </row>
    <row r="24" spans="1:13" x14ac:dyDescent="0.2">
      <c r="A24" s="54" t="s">
        <v>207</v>
      </c>
      <c r="B24" s="41" t="s">
        <v>208</v>
      </c>
      <c r="C24" s="41" t="s">
        <v>209</v>
      </c>
      <c r="D24" s="41" t="str">
        <f>"0,5619"</f>
        <v>0,5619</v>
      </c>
      <c r="E24" s="54" t="s">
        <v>21</v>
      </c>
      <c r="F24" s="54" t="s">
        <v>22</v>
      </c>
      <c r="G24" s="41" t="s">
        <v>210</v>
      </c>
      <c r="H24" s="41" t="s">
        <v>24</v>
      </c>
      <c r="I24" s="41" t="s">
        <v>59</v>
      </c>
      <c r="J24" s="55"/>
      <c r="K24" s="54" t="str">
        <f>"195,0"</f>
        <v>195,0</v>
      </c>
      <c r="L24" s="41" t="str">
        <f>"109,5705"</f>
        <v>109,5705</v>
      </c>
      <c r="M24" s="54"/>
    </row>
    <row r="25" spans="1:13" x14ac:dyDescent="0.2">
      <c r="A25" s="54" t="s">
        <v>212</v>
      </c>
      <c r="B25" s="41" t="s">
        <v>213</v>
      </c>
      <c r="C25" s="41" t="s">
        <v>214</v>
      </c>
      <c r="D25" s="41" t="str">
        <f>"0,5589"</f>
        <v>0,5589</v>
      </c>
      <c r="E25" s="54" t="s">
        <v>21</v>
      </c>
      <c r="F25" s="54" t="s">
        <v>22</v>
      </c>
      <c r="G25" s="41" t="s">
        <v>182</v>
      </c>
      <c r="H25" s="41" t="s">
        <v>215</v>
      </c>
      <c r="I25" s="55" t="s">
        <v>184</v>
      </c>
      <c r="J25" s="55"/>
      <c r="K25" s="54" t="str">
        <f>"142,5"</f>
        <v>142,5</v>
      </c>
      <c r="L25" s="41" t="str">
        <f>"79,6432"</f>
        <v>79,6432</v>
      </c>
      <c r="M25" s="54"/>
    </row>
    <row r="26" spans="1:13" x14ac:dyDescent="0.2">
      <c r="A26" s="54" t="s">
        <v>217</v>
      </c>
      <c r="B26" s="41" t="s">
        <v>218</v>
      </c>
      <c r="C26" s="41" t="s">
        <v>219</v>
      </c>
      <c r="D26" s="41" t="str">
        <f>"0,5558"</f>
        <v>0,5558</v>
      </c>
      <c r="E26" s="54" t="s">
        <v>21</v>
      </c>
      <c r="F26" s="54" t="s">
        <v>22</v>
      </c>
      <c r="G26" s="41" t="s">
        <v>220</v>
      </c>
      <c r="H26" s="41" t="s">
        <v>23</v>
      </c>
      <c r="I26" s="55" t="s">
        <v>24</v>
      </c>
      <c r="J26" s="55"/>
      <c r="K26" s="54" t="str">
        <f>"180,0"</f>
        <v>180,0</v>
      </c>
      <c r="L26" s="41" t="str">
        <f>"100,0440"</f>
        <v>100,0440</v>
      </c>
      <c r="M26" s="54"/>
    </row>
    <row r="27" spans="1:13" x14ac:dyDescent="0.2">
      <c r="A27" s="38" t="s">
        <v>221</v>
      </c>
      <c r="B27" s="39" t="s">
        <v>64</v>
      </c>
      <c r="C27" s="39" t="s">
        <v>65</v>
      </c>
      <c r="D27" s="39" t="str">
        <f>"0,5616"</f>
        <v>0,5616</v>
      </c>
      <c r="E27" s="38" t="s">
        <v>21</v>
      </c>
      <c r="F27" s="38" t="s">
        <v>22</v>
      </c>
      <c r="G27" s="39" t="s">
        <v>199</v>
      </c>
      <c r="H27" s="40" t="s">
        <v>189</v>
      </c>
      <c r="I27" s="39" t="s">
        <v>189</v>
      </c>
      <c r="J27" s="40"/>
      <c r="K27" s="38" t="str">
        <f>"130,0"</f>
        <v>130,0</v>
      </c>
      <c r="L27" s="39" t="str">
        <f>"73,0080"</f>
        <v>73,0080</v>
      </c>
      <c r="M27" s="38"/>
    </row>
    <row r="29" spans="1:13" ht="15" x14ac:dyDescent="0.2">
      <c r="A29" s="52" t="s">
        <v>68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3" x14ac:dyDescent="0.2">
      <c r="A30" s="35" t="s">
        <v>223</v>
      </c>
      <c r="B30" s="36" t="s">
        <v>224</v>
      </c>
      <c r="C30" s="36" t="s">
        <v>225</v>
      </c>
      <c r="D30" s="36" t="str">
        <f>"0,5373"</f>
        <v>0,5373</v>
      </c>
      <c r="E30" s="35" t="s">
        <v>21</v>
      </c>
      <c r="F30" s="35" t="s">
        <v>22</v>
      </c>
      <c r="G30" s="37" t="s">
        <v>23</v>
      </c>
      <c r="H30" s="36" t="s">
        <v>226</v>
      </c>
      <c r="I30" s="37" t="s">
        <v>60</v>
      </c>
      <c r="J30" s="37"/>
      <c r="K30" s="35" t="str">
        <f>"197,5"</f>
        <v>197,5</v>
      </c>
      <c r="L30" s="36" t="str">
        <f>"106,1167"</f>
        <v>106,1167</v>
      </c>
      <c r="M30" s="35"/>
    </row>
    <row r="31" spans="1:13" x14ac:dyDescent="0.2">
      <c r="A31" s="54" t="s">
        <v>228</v>
      </c>
      <c r="B31" s="41" t="s">
        <v>229</v>
      </c>
      <c r="C31" s="41" t="s">
        <v>230</v>
      </c>
      <c r="D31" s="41" t="str">
        <f>"0,5471"</f>
        <v>0,5471</v>
      </c>
      <c r="E31" s="54" t="s">
        <v>21</v>
      </c>
      <c r="F31" s="54" t="s">
        <v>22</v>
      </c>
      <c r="G31" s="41" t="s">
        <v>66</v>
      </c>
      <c r="H31" s="55" t="s">
        <v>60</v>
      </c>
      <c r="I31" s="55" t="s">
        <v>60</v>
      </c>
      <c r="J31" s="55"/>
      <c r="K31" s="54" t="str">
        <f>"200,0"</f>
        <v>200,0</v>
      </c>
      <c r="L31" s="41" t="str">
        <f>"109,4200"</f>
        <v>109,4200</v>
      </c>
      <c r="M31" s="54"/>
    </row>
    <row r="32" spans="1:13" x14ac:dyDescent="0.2">
      <c r="A32" s="54" t="s">
        <v>232</v>
      </c>
      <c r="B32" s="41" t="s">
        <v>233</v>
      </c>
      <c r="C32" s="41" t="s">
        <v>234</v>
      </c>
      <c r="D32" s="41" t="str">
        <f>"0,5432"</f>
        <v>0,5432</v>
      </c>
      <c r="E32" s="54" t="s">
        <v>21</v>
      </c>
      <c r="F32" s="54" t="s">
        <v>34</v>
      </c>
      <c r="G32" s="41" t="s">
        <v>23</v>
      </c>
      <c r="H32" s="55" t="s">
        <v>24</v>
      </c>
      <c r="I32" s="55"/>
      <c r="J32" s="55"/>
      <c r="K32" s="54" t="str">
        <f>"180,0"</f>
        <v>180,0</v>
      </c>
      <c r="L32" s="41" t="str">
        <f>"97,7760"</f>
        <v>97,7760</v>
      </c>
      <c r="M32" s="54"/>
    </row>
    <row r="33" spans="1:13" x14ac:dyDescent="0.2">
      <c r="A33" s="54" t="s">
        <v>236</v>
      </c>
      <c r="B33" s="41" t="s">
        <v>237</v>
      </c>
      <c r="C33" s="41" t="s">
        <v>238</v>
      </c>
      <c r="D33" s="41" t="str">
        <f>"0,5421"</f>
        <v>0,5421</v>
      </c>
      <c r="E33" s="54" t="s">
        <v>21</v>
      </c>
      <c r="F33" s="54" t="s">
        <v>34</v>
      </c>
      <c r="G33" s="41" t="s">
        <v>183</v>
      </c>
      <c r="H33" s="55" t="s">
        <v>239</v>
      </c>
      <c r="I33" s="55" t="s">
        <v>239</v>
      </c>
      <c r="J33" s="55"/>
      <c r="K33" s="54" t="str">
        <f>"140,0"</f>
        <v>140,0</v>
      </c>
      <c r="L33" s="41" t="str">
        <f>"84,7736"</f>
        <v>84,7736</v>
      </c>
      <c r="M33" s="54"/>
    </row>
    <row r="34" spans="1:13" x14ac:dyDescent="0.2">
      <c r="A34" s="38" t="s">
        <v>228</v>
      </c>
      <c r="B34" s="39" t="s">
        <v>240</v>
      </c>
      <c r="C34" s="39" t="s">
        <v>230</v>
      </c>
      <c r="D34" s="39" t="str">
        <f>"0,5471"</f>
        <v>0,5471</v>
      </c>
      <c r="E34" s="38" t="s">
        <v>21</v>
      </c>
      <c r="F34" s="38" t="s">
        <v>22</v>
      </c>
      <c r="G34" s="39" t="s">
        <v>66</v>
      </c>
      <c r="H34" s="40" t="s">
        <v>60</v>
      </c>
      <c r="I34" s="40" t="s">
        <v>60</v>
      </c>
      <c r="J34" s="40"/>
      <c r="K34" s="38" t="str">
        <f>"200,0"</f>
        <v>200,0</v>
      </c>
      <c r="L34" s="39" t="str">
        <f>"128,3497"</f>
        <v>128,3497</v>
      </c>
      <c r="M34" s="38"/>
    </row>
    <row r="36" spans="1:13" ht="15" x14ac:dyDescent="0.2">
      <c r="A36" s="52" t="s">
        <v>81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3" x14ac:dyDescent="0.2">
      <c r="A37" s="35" t="s">
        <v>242</v>
      </c>
      <c r="B37" s="36" t="s">
        <v>243</v>
      </c>
      <c r="C37" s="36" t="s">
        <v>244</v>
      </c>
      <c r="D37" s="36" t="str">
        <f>"0,5309"</f>
        <v>0,5309</v>
      </c>
      <c r="E37" s="35" t="s">
        <v>21</v>
      </c>
      <c r="F37" s="35" t="s">
        <v>22</v>
      </c>
      <c r="G37" s="36" t="s">
        <v>66</v>
      </c>
      <c r="H37" s="37" t="s">
        <v>245</v>
      </c>
      <c r="I37" s="36" t="s">
        <v>245</v>
      </c>
      <c r="J37" s="37"/>
      <c r="K37" s="35" t="str">
        <f>"207,5"</f>
        <v>207,5</v>
      </c>
      <c r="L37" s="36" t="str">
        <f>"110,1618"</f>
        <v>110,1618</v>
      </c>
      <c r="M37" s="35"/>
    </row>
    <row r="38" spans="1:13" x14ac:dyDescent="0.2">
      <c r="A38" s="54" t="s">
        <v>247</v>
      </c>
      <c r="B38" s="41" t="s">
        <v>248</v>
      </c>
      <c r="C38" s="41" t="s">
        <v>249</v>
      </c>
      <c r="D38" s="41" t="str">
        <f>"0,5254"</f>
        <v>0,5254</v>
      </c>
      <c r="E38" s="54" t="s">
        <v>21</v>
      </c>
      <c r="F38" s="54" t="s">
        <v>250</v>
      </c>
      <c r="G38" s="41" t="s">
        <v>66</v>
      </c>
      <c r="H38" s="55" t="s">
        <v>60</v>
      </c>
      <c r="I38" s="55" t="s">
        <v>60</v>
      </c>
      <c r="J38" s="55"/>
      <c r="K38" s="54" t="str">
        <f>"200,0"</f>
        <v>200,0</v>
      </c>
      <c r="L38" s="41" t="str">
        <f>"112,3305"</f>
        <v>112,3305</v>
      </c>
      <c r="M38" s="54"/>
    </row>
    <row r="39" spans="1:13" x14ac:dyDescent="0.2">
      <c r="A39" s="54" t="s">
        <v>252</v>
      </c>
      <c r="B39" s="41" t="s">
        <v>253</v>
      </c>
      <c r="C39" s="41" t="s">
        <v>254</v>
      </c>
      <c r="D39" s="41" t="str">
        <f>"0,5268"</f>
        <v>0,5268</v>
      </c>
      <c r="E39" s="54" t="s">
        <v>21</v>
      </c>
      <c r="F39" s="54" t="s">
        <v>22</v>
      </c>
      <c r="G39" s="41" t="s">
        <v>255</v>
      </c>
      <c r="H39" s="55" t="s">
        <v>256</v>
      </c>
      <c r="I39" s="55"/>
      <c r="J39" s="55"/>
      <c r="K39" s="54" t="str">
        <f>"160,0"</f>
        <v>160,0</v>
      </c>
      <c r="L39" s="41" t="str">
        <f>"94,1497"</f>
        <v>94,1497</v>
      </c>
      <c r="M39" s="54"/>
    </row>
    <row r="40" spans="1:13" x14ac:dyDescent="0.2">
      <c r="A40" s="38" t="s">
        <v>96</v>
      </c>
      <c r="B40" s="39" t="s">
        <v>97</v>
      </c>
      <c r="C40" s="39" t="s">
        <v>98</v>
      </c>
      <c r="D40" s="39" t="str">
        <f>"0,5290"</f>
        <v>0,5290</v>
      </c>
      <c r="E40" s="38" t="s">
        <v>21</v>
      </c>
      <c r="F40" s="38" t="s">
        <v>22</v>
      </c>
      <c r="G40" s="39" t="s">
        <v>24</v>
      </c>
      <c r="H40" s="40" t="s">
        <v>66</v>
      </c>
      <c r="I40" s="40"/>
      <c r="J40" s="40"/>
      <c r="K40" s="38" t="str">
        <f>"190,0"</f>
        <v>190,0</v>
      </c>
      <c r="L40" s="39" t="str">
        <f>"117,8982"</f>
        <v>117,8982</v>
      </c>
      <c r="M40" s="38"/>
    </row>
    <row r="42" spans="1:13" ht="15" x14ac:dyDescent="0.2">
      <c r="E42" s="58" t="s">
        <v>104</v>
      </c>
    </row>
    <row r="43" spans="1:13" ht="15" x14ac:dyDescent="0.2">
      <c r="E43" s="58" t="s">
        <v>105</v>
      </c>
    </row>
    <row r="44" spans="1:13" ht="15" x14ac:dyDescent="0.2">
      <c r="E44" s="58" t="s">
        <v>106</v>
      </c>
    </row>
    <row r="45" spans="1:13" x14ac:dyDescent="0.2">
      <c r="E45" s="4" t="s">
        <v>107</v>
      </c>
    </row>
    <row r="46" spans="1:13" x14ac:dyDescent="0.2">
      <c r="E46" s="4" t="s">
        <v>108</v>
      </c>
    </row>
    <row r="47" spans="1:13" x14ac:dyDescent="0.2">
      <c r="E47" s="4" t="s">
        <v>109</v>
      </c>
    </row>
    <row r="50" spans="1:5" ht="18" x14ac:dyDescent="0.25">
      <c r="A50" s="59" t="s">
        <v>110</v>
      </c>
      <c r="B50" s="60"/>
    </row>
    <row r="51" spans="1:5" ht="15" x14ac:dyDescent="0.2">
      <c r="A51" s="61" t="s">
        <v>257</v>
      </c>
      <c r="B51" s="62"/>
    </row>
    <row r="52" spans="1:5" ht="14.25" x14ac:dyDescent="0.2">
      <c r="A52" s="64"/>
      <c r="B52" s="65" t="s">
        <v>112</v>
      </c>
    </row>
    <row r="53" spans="1:5" ht="15" x14ac:dyDescent="0.2">
      <c r="A53" s="66" t="s">
        <v>0</v>
      </c>
      <c r="B53" s="66" t="s">
        <v>113</v>
      </c>
      <c r="C53" s="66" t="s">
        <v>114</v>
      </c>
      <c r="D53" s="66" t="s">
        <v>115</v>
      </c>
      <c r="E53" s="66" t="s">
        <v>14</v>
      </c>
    </row>
    <row r="54" spans="1:5" x14ac:dyDescent="0.2">
      <c r="A54" s="63" t="s">
        <v>157</v>
      </c>
      <c r="B54" s="5" t="s">
        <v>258</v>
      </c>
      <c r="C54" s="5" t="s">
        <v>259</v>
      </c>
      <c r="D54" s="5" t="s">
        <v>164</v>
      </c>
      <c r="E54" s="67" t="s">
        <v>260</v>
      </c>
    </row>
    <row r="56" spans="1:5" ht="14.25" x14ac:dyDescent="0.2">
      <c r="A56" s="64"/>
      <c r="B56" s="65" t="s">
        <v>133</v>
      </c>
    </row>
    <row r="57" spans="1:5" ht="15" x14ac:dyDescent="0.2">
      <c r="A57" s="66" t="s">
        <v>0</v>
      </c>
      <c r="B57" s="66" t="s">
        <v>113</v>
      </c>
      <c r="C57" s="66" t="s">
        <v>114</v>
      </c>
      <c r="D57" s="66" t="s">
        <v>115</v>
      </c>
      <c r="E57" s="66" t="s">
        <v>14</v>
      </c>
    </row>
    <row r="58" spans="1:5" x14ac:dyDescent="0.2">
      <c r="A58" s="63" t="s">
        <v>165</v>
      </c>
      <c r="B58" s="5" t="s">
        <v>134</v>
      </c>
      <c r="C58" s="5" t="s">
        <v>129</v>
      </c>
      <c r="D58" s="5" t="s">
        <v>171</v>
      </c>
      <c r="E58" s="67" t="s">
        <v>261</v>
      </c>
    </row>
    <row r="61" spans="1:5" ht="15" x14ac:dyDescent="0.2">
      <c r="A61" s="61" t="s">
        <v>111</v>
      </c>
      <c r="B61" s="62"/>
    </row>
    <row r="62" spans="1:5" ht="14.25" x14ac:dyDescent="0.2">
      <c r="A62" s="64"/>
      <c r="B62" s="65" t="s">
        <v>112</v>
      </c>
    </row>
    <row r="63" spans="1:5" ht="15" x14ac:dyDescent="0.2">
      <c r="A63" s="66" t="s">
        <v>0</v>
      </c>
      <c r="B63" s="66" t="s">
        <v>113</v>
      </c>
      <c r="C63" s="66" t="s">
        <v>114</v>
      </c>
      <c r="D63" s="66" t="s">
        <v>115</v>
      </c>
      <c r="E63" s="66" t="s">
        <v>14</v>
      </c>
    </row>
    <row r="64" spans="1:5" x14ac:dyDescent="0.2">
      <c r="A64" s="63" t="s">
        <v>200</v>
      </c>
      <c r="B64" s="5" t="s">
        <v>262</v>
      </c>
      <c r="C64" s="5" t="s">
        <v>117</v>
      </c>
      <c r="D64" s="5" t="s">
        <v>190</v>
      </c>
      <c r="E64" s="67" t="s">
        <v>263</v>
      </c>
    </row>
    <row r="66" spans="1:5" ht="14.25" x14ac:dyDescent="0.2">
      <c r="A66" s="64"/>
      <c r="B66" s="65" t="s">
        <v>119</v>
      </c>
    </row>
    <row r="67" spans="1:5" ht="15" x14ac:dyDescent="0.2">
      <c r="A67" s="66" t="s">
        <v>0</v>
      </c>
      <c r="B67" s="66" t="s">
        <v>113</v>
      </c>
      <c r="C67" s="66" t="s">
        <v>114</v>
      </c>
      <c r="D67" s="66" t="s">
        <v>115</v>
      </c>
      <c r="E67" s="66" t="s">
        <v>14</v>
      </c>
    </row>
    <row r="68" spans="1:5" x14ac:dyDescent="0.2">
      <c r="A68" s="63" t="s">
        <v>222</v>
      </c>
      <c r="B68" s="5" t="s">
        <v>120</v>
      </c>
      <c r="C68" s="5" t="s">
        <v>125</v>
      </c>
      <c r="D68" s="5" t="s">
        <v>226</v>
      </c>
      <c r="E68" s="67" t="s">
        <v>264</v>
      </c>
    </row>
    <row r="70" spans="1:5" ht="14.25" x14ac:dyDescent="0.2">
      <c r="A70" s="64"/>
      <c r="B70" s="65" t="s">
        <v>123</v>
      </c>
    </row>
    <row r="71" spans="1:5" ht="15" x14ac:dyDescent="0.2">
      <c r="A71" s="66" t="s">
        <v>0</v>
      </c>
      <c r="B71" s="66" t="s">
        <v>113</v>
      </c>
      <c r="C71" s="66" t="s">
        <v>114</v>
      </c>
      <c r="D71" s="66" t="s">
        <v>115</v>
      </c>
      <c r="E71" s="66" t="s">
        <v>14</v>
      </c>
    </row>
    <row r="72" spans="1:5" x14ac:dyDescent="0.2">
      <c r="A72" s="63" t="s">
        <v>173</v>
      </c>
      <c r="B72" s="5" t="s">
        <v>123</v>
      </c>
      <c r="C72" s="5" t="s">
        <v>129</v>
      </c>
      <c r="D72" s="5" t="s">
        <v>177</v>
      </c>
      <c r="E72" s="67" t="s">
        <v>265</v>
      </c>
    </row>
    <row r="73" spans="1:5" x14ac:dyDescent="0.2">
      <c r="A73" s="63" t="s">
        <v>241</v>
      </c>
      <c r="B73" s="5" t="s">
        <v>123</v>
      </c>
      <c r="C73" s="5" t="s">
        <v>127</v>
      </c>
      <c r="D73" s="5" t="s">
        <v>245</v>
      </c>
      <c r="E73" s="67" t="s">
        <v>266</v>
      </c>
    </row>
    <row r="74" spans="1:5" x14ac:dyDescent="0.2">
      <c r="A74" s="63" t="s">
        <v>206</v>
      </c>
      <c r="B74" s="5" t="s">
        <v>123</v>
      </c>
      <c r="C74" s="5" t="s">
        <v>117</v>
      </c>
      <c r="D74" s="5" t="s">
        <v>59</v>
      </c>
      <c r="E74" s="67" t="s">
        <v>267</v>
      </c>
    </row>
    <row r="75" spans="1:5" x14ac:dyDescent="0.2">
      <c r="A75" s="63" t="s">
        <v>227</v>
      </c>
      <c r="B75" s="5" t="s">
        <v>123</v>
      </c>
      <c r="C75" s="5" t="s">
        <v>125</v>
      </c>
      <c r="D75" s="5" t="s">
        <v>66</v>
      </c>
      <c r="E75" s="67" t="s">
        <v>268</v>
      </c>
    </row>
    <row r="76" spans="1:5" x14ac:dyDescent="0.2">
      <c r="A76" s="63" t="s">
        <v>191</v>
      </c>
      <c r="B76" s="5" t="s">
        <v>123</v>
      </c>
      <c r="C76" s="5" t="s">
        <v>140</v>
      </c>
      <c r="D76" s="5" t="s">
        <v>23</v>
      </c>
      <c r="E76" s="67" t="s">
        <v>269</v>
      </c>
    </row>
    <row r="77" spans="1:5" x14ac:dyDescent="0.2">
      <c r="A77" s="63" t="s">
        <v>178</v>
      </c>
      <c r="B77" s="5" t="s">
        <v>123</v>
      </c>
      <c r="C77" s="5" t="s">
        <v>121</v>
      </c>
      <c r="D77" s="5" t="s">
        <v>183</v>
      </c>
      <c r="E77" s="67" t="s">
        <v>270</v>
      </c>
    </row>
    <row r="78" spans="1:5" x14ac:dyDescent="0.2">
      <c r="A78" s="63" t="s">
        <v>211</v>
      </c>
      <c r="B78" s="5" t="s">
        <v>123</v>
      </c>
      <c r="C78" s="5" t="s">
        <v>117</v>
      </c>
      <c r="D78" s="5" t="s">
        <v>215</v>
      </c>
      <c r="E78" s="67" t="s">
        <v>271</v>
      </c>
    </row>
    <row r="80" spans="1:5" ht="14.25" x14ac:dyDescent="0.2">
      <c r="A80" s="64"/>
      <c r="B80" s="65" t="s">
        <v>133</v>
      </c>
    </row>
    <row r="81" spans="1:5" ht="15" x14ac:dyDescent="0.2">
      <c r="A81" s="66" t="s">
        <v>0</v>
      </c>
      <c r="B81" s="66" t="s">
        <v>113</v>
      </c>
      <c r="C81" s="66" t="s">
        <v>114</v>
      </c>
      <c r="D81" s="66" t="s">
        <v>115</v>
      </c>
      <c r="E81" s="66" t="s">
        <v>14</v>
      </c>
    </row>
    <row r="82" spans="1:5" x14ac:dyDescent="0.2">
      <c r="A82" s="63" t="s">
        <v>227</v>
      </c>
      <c r="B82" s="5" t="s">
        <v>136</v>
      </c>
      <c r="C82" s="5" t="s">
        <v>125</v>
      </c>
      <c r="D82" s="5" t="s">
        <v>66</v>
      </c>
      <c r="E82" s="67" t="s">
        <v>272</v>
      </c>
    </row>
    <row r="83" spans="1:5" x14ac:dyDescent="0.2">
      <c r="A83" s="63" t="s">
        <v>95</v>
      </c>
      <c r="B83" s="5" t="s">
        <v>136</v>
      </c>
      <c r="C83" s="5" t="s">
        <v>127</v>
      </c>
      <c r="D83" s="5" t="s">
        <v>24</v>
      </c>
      <c r="E83" s="67" t="s">
        <v>273</v>
      </c>
    </row>
    <row r="84" spans="1:5" x14ac:dyDescent="0.2">
      <c r="A84" s="63" t="s">
        <v>246</v>
      </c>
      <c r="B84" s="5" t="s">
        <v>134</v>
      </c>
      <c r="C84" s="5" t="s">
        <v>127</v>
      </c>
      <c r="D84" s="5" t="s">
        <v>66</v>
      </c>
      <c r="E84" s="67" t="s">
        <v>274</v>
      </c>
    </row>
    <row r="85" spans="1:5" x14ac:dyDescent="0.2">
      <c r="A85" s="63" t="s">
        <v>216</v>
      </c>
      <c r="B85" s="5" t="s">
        <v>142</v>
      </c>
      <c r="C85" s="5" t="s">
        <v>117</v>
      </c>
      <c r="D85" s="5" t="s">
        <v>23</v>
      </c>
      <c r="E85" s="67" t="s">
        <v>275</v>
      </c>
    </row>
    <row r="86" spans="1:5" x14ac:dyDescent="0.2">
      <c r="A86" s="63" t="s">
        <v>231</v>
      </c>
      <c r="B86" s="5" t="s">
        <v>142</v>
      </c>
      <c r="C86" s="5" t="s">
        <v>125</v>
      </c>
      <c r="D86" s="5" t="s">
        <v>23</v>
      </c>
      <c r="E86" s="67" t="s">
        <v>276</v>
      </c>
    </row>
    <row r="87" spans="1:5" x14ac:dyDescent="0.2">
      <c r="A87" s="63" t="s">
        <v>251</v>
      </c>
      <c r="B87" s="5" t="s">
        <v>134</v>
      </c>
      <c r="C87" s="5" t="s">
        <v>127</v>
      </c>
      <c r="D87" s="5" t="s">
        <v>255</v>
      </c>
      <c r="E87" s="67" t="s">
        <v>277</v>
      </c>
    </row>
    <row r="88" spans="1:5" x14ac:dyDescent="0.2">
      <c r="A88" s="63" t="s">
        <v>185</v>
      </c>
      <c r="B88" s="5" t="s">
        <v>142</v>
      </c>
      <c r="C88" s="5" t="s">
        <v>121</v>
      </c>
      <c r="D88" s="5" t="s">
        <v>183</v>
      </c>
      <c r="E88" s="67" t="s">
        <v>278</v>
      </c>
    </row>
    <row r="89" spans="1:5" x14ac:dyDescent="0.2">
      <c r="A89" s="63" t="s">
        <v>235</v>
      </c>
      <c r="B89" s="5" t="s">
        <v>134</v>
      </c>
      <c r="C89" s="5" t="s">
        <v>125</v>
      </c>
      <c r="D89" s="5" t="s">
        <v>183</v>
      </c>
      <c r="E89" s="67" t="s">
        <v>279</v>
      </c>
    </row>
    <row r="90" spans="1:5" x14ac:dyDescent="0.2">
      <c r="A90" s="63" t="s">
        <v>195</v>
      </c>
      <c r="B90" s="5" t="s">
        <v>142</v>
      </c>
      <c r="C90" s="5" t="s">
        <v>140</v>
      </c>
      <c r="D90" s="5" t="s">
        <v>199</v>
      </c>
      <c r="E90" s="67" t="s">
        <v>280</v>
      </c>
    </row>
    <row r="91" spans="1:5" x14ac:dyDescent="0.2">
      <c r="A91" s="63" t="s">
        <v>62</v>
      </c>
      <c r="B91" s="5" t="s">
        <v>142</v>
      </c>
      <c r="C91" s="5" t="s">
        <v>117</v>
      </c>
      <c r="D91" s="5" t="s">
        <v>189</v>
      </c>
      <c r="E91" s="67" t="s">
        <v>281</v>
      </c>
    </row>
  </sheetData>
  <mergeCells count="19">
    <mergeCell ref="A14:L14"/>
    <mergeCell ref="A18:L18"/>
    <mergeCell ref="A22:L22"/>
    <mergeCell ref="A29:L29"/>
    <mergeCell ref="A36:L36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154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58" t="s">
        <v>104</v>
      </c>
      <c r="F6" s="4"/>
      <c r="K6" s="4"/>
      <c r="M6" s="4"/>
    </row>
    <row r="7" spans="1:13" s="5" customFormat="1" ht="15" x14ac:dyDescent="0.2">
      <c r="A7" s="4"/>
      <c r="E7" s="58" t="s">
        <v>105</v>
      </c>
      <c r="F7" s="4"/>
      <c r="K7" s="4"/>
      <c r="M7" s="4"/>
    </row>
    <row r="8" spans="1:13" ht="15" x14ac:dyDescent="0.2">
      <c r="E8" s="58" t="s">
        <v>106</v>
      </c>
    </row>
    <row r="9" spans="1:13" x14ac:dyDescent="0.2">
      <c r="E9" s="4" t="s">
        <v>107</v>
      </c>
    </row>
    <row r="10" spans="1:13" x14ac:dyDescent="0.2">
      <c r="E10" s="4" t="s">
        <v>108</v>
      </c>
    </row>
    <row r="11" spans="1:13" x14ac:dyDescent="0.2">
      <c r="E11" s="4" t="s">
        <v>109</v>
      </c>
    </row>
    <row r="14" spans="1:13" ht="18" x14ac:dyDescent="0.25">
      <c r="A14" s="59" t="s">
        <v>110</v>
      </c>
      <c r="B14" s="60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148</v>
      </c>
      <c r="B6" s="42" t="s">
        <v>149</v>
      </c>
      <c r="C6" s="42" t="s">
        <v>150</v>
      </c>
      <c r="D6" s="42" t="str">
        <f>"0,6307"</f>
        <v>0,6307</v>
      </c>
      <c r="E6" s="56" t="s">
        <v>21</v>
      </c>
      <c r="F6" s="56" t="s">
        <v>22</v>
      </c>
      <c r="G6" s="42" t="s">
        <v>61</v>
      </c>
      <c r="H6" s="42" t="s">
        <v>151</v>
      </c>
      <c r="I6" s="57" t="s">
        <v>152</v>
      </c>
      <c r="J6" s="57"/>
      <c r="K6" s="56" t="str">
        <f>"225,0"</f>
        <v>225,0</v>
      </c>
      <c r="L6" s="42" t="str">
        <f>"141,9075"</f>
        <v>141,9075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E8" s="58" t="s">
        <v>104</v>
      </c>
    </row>
    <row r="9" spans="1:13" ht="15" x14ac:dyDescent="0.2">
      <c r="E9" s="58" t="s">
        <v>105</v>
      </c>
    </row>
    <row r="10" spans="1:13" ht="15" x14ac:dyDescent="0.2">
      <c r="E10" s="58" t="s">
        <v>106</v>
      </c>
    </row>
    <row r="11" spans="1:13" x14ac:dyDescent="0.2">
      <c r="E11" s="4" t="s">
        <v>107</v>
      </c>
    </row>
    <row r="12" spans="1:13" x14ac:dyDescent="0.2">
      <c r="E12" s="4" t="s">
        <v>108</v>
      </c>
    </row>
    <row r="13" spans="1:13" x14ac:dyDescent="0.2">
      <c r="E13" s="4" t="s">
        <v>109</v>
      </c>
    </row>
    <row r="16" spans="1:13" ht="18" x14ac:dyDescent="0.25">
      <c r="A16" s="59" t="s">
        <v>110</v>
      </c>
      <c r="B16" s="60"/>
    </row>
    <row r="17" spans="1:5" ht="15" x14ac:dyDescent="0.2">
      <c r="A17" s="61" t="s">
        <v>111</v>
      </c>
      <c r="B17" s="62"/>
    </row>
    <row r="18" spans="1:5" ht="14.25" x14ac:dyDescent="0.2">
      <c r="A18" s="64"/>
      <c r="B18" s="65" t="s">
        <v>123</v>
      </c>
    </row>
    <row r="19" spans="1:5" ht="15" x14ac:dyDescent="0.2">
      <c r="A19" s="66" t="s">
        <v>0</v>
      </c>
      <c r="B19" s="66" t="s">
        <v>113</v>
      </c>
      <c r="C19" s="66" t="s">
        <v>114</v>
      </c>
      <c r="D19" s="66" t="s">
        <v>115</v>
      </c>
      <c r="E19" s="66" t="s">
        <v>14</v>
      </c>
    </row>
    <row r="20" spans="1:5" x14ac:dyDescent="0.2">
      <c r="A20" s="63" t="s">
        <v>147</v>
      </c>
      <c r="B20" s="5" t="s">
        <v>123</v>
      </c>
      <c r="C20" s="5" t="s">
        <v>121</v>
      </c>
      <c r="D20" s="5" t="s">
        <v>151</v>
      </c>
      <c r="E20" s="67" t="s">
        <v>153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67"/>
  <sheetViews>
    <sheetView zoomScaleNormal="100" workbookViewId="0">
      <selection sqref="A1:U2"/>
    </sheetView>
  </sheetViews>
  <sheetFormatPr defaultRowHeight="12.75" x14ac:dyDescent="0.2"/>
  <cols>
    <col min="1" max="1" width="27" style="4" bestFit="1" customWidth="1"/>
    <col min="2" max="2" width="30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6.855468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35" t="s">
        <v>18</v>
      </c>
      <c r="B6" s="36" t="s">
        <v>19</v>
      </c>
      <c r="C6" s="36" t="s">
        <v>20</v>
      </c>
      <c r="D6" s="36" t="str">
        <f>"0,7239"</f>
        <v>0,7239</v>
      </c>
      <c r="E6" s="35" t="s">
        <v>21</v>
      </c>
      <c r="F6" s="35" t="s">
        <v>22</v>
      </c>
      <c r="G6" s="36" t="s">
        <v>23</v>
      </c>
      <c r="H6" s="36" t="s">
        <v>24</v>
      </c>
      <c r="I6" s="37" t="s">
        <v>25</v>
      </c>
      <c r="J6" s="37"/>
      <c r="K6" s="35" t="str">
        <f>"190,0"</f>
        <v>190,0</v>
      </c>
      <c r="L6" s="36" t="str">
        <f>"137,5410"</f>
        <v>137,5410</v>
      </c>
      <c r="M6" s="35"/>
    </row>
    <row r="7" spans="1:13" s="5" customFormat="1" x14ac:dyDescent="0.2">
      <c r="A7" s="38" t="s">
        <v>26</v>
      </c>
      <c r="B7" s="39" t="s">
        <v>27</v>
      </c>
      <c r="C7" s="39" t="s">
        <v>28</v>
      </c>
      <c r="D7" s="39" t="str">
        <f>"0,6645"</f>
        <v>0,6645</v>
      </c>
      <c r="E7" s="38" t="s">
        <v>21</v>
      </c>
      <c r="F7" s="38" t="s">
        <v>22</v>
      </c>
      <c r="G7" s="40"/>
      <c r="H7" s="40"/>
      <c r="I7" s="40"/>
      <c r="J7" s="40"/>
      <c r="K7" s="38" t="str">
        <f>"0.00"</f>
        <v>0.00</v>
      </c>
      <c r="L7" s="39" t="str">
        <f>"0,0000"</f>
        <v>0,0000</v>
      </c>
      <c r="M7" s="38"/>
    </row>
    <row r="9" spans="1:13" ht="15" x14ac:dyDescent="0.2">
      <c r="A9" s="52" t="s">
        <v>29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3" x14ac:dyDescent="0.2">
      <c r="A10" s="35" t="s">
        <v>31</v>
      </c>
      <c r="B10" s="36" t="s">
        <v>32</v>
      </c>
      <c r="C10" s="36" t="s">
        <v>33</v>
      </c>
      <c r="D10" s="36" t="str">
        <f>"0,6214"</f>
        <v>0,6214</v>
      </c>
      <c r="E10" s="35" t="s">
        <v>21</v>
      </c>
      <c r="F10" s="35" t="s">
        <v>34</v>
      </c>
      <c r="G10" s="36" t="s">
        <v>35</v>
      </c>
      <c r="H10" s="36" t="s">
        <v>36</v>
      </c>
      <c r="I10" s="37" t="s">
        <v>37</v>
      </c>
      <c r="J10" s="37"/>
      <c r="K10" s="35" t="str">
        <f>"260,0"</f>
        <v>260,0</v>
      </c>
      <c r="L10" s="36" t="str">
        <f>"161,5640"</f>
        <v>161,5640</v>
      </c>
      <c r="M10" s="35"/>
    </row>
    <row r="11" spans="1:13" x14ac:dyDescent="0.2">
      <c r="A11" s="54" t="s">
        <v>39</v>
      </c>
      <c r="B11" s="41" t="s">
        <v>40</v>
      </c>
      <c r="C11" s="41" t="s">
        <v>41</v>
      </c>
      <c r="D11" s="41" t="str">
        <f>"0,6454"</f>
        <v>0,6454</v>
      </c>
      <c r="E11" s="54" t="s">
        <v>21</v>
      </c>
      <c r="F11" s="54" t="s">
        <v>42</v>
      </c>
      <c r="G11" s="41" t="s">
        <v>36</v>
      </c>
      <c r="H11" s="41" t="s">
        <v>43</v>
      </c>
      <c r="I11" s="41" t="s">
        <v>44</v>
      </c>
      <c r="J11" s="55"/>
      <c r="K11" s="54" t="str">
        <f>"272,5"</f>
        <v>272,5</v>
      </c>
      <c r="L11" s="41" t="str">
        <f>"175,8715"</f>
        <v>175,8715</v>
      </c>
      <c r="M11" s="54"/>
    </row>
    <row r="12" spans="1:13" x14ac:dyDescent="0.2">
      <c r="A12" s="38" t="s">
        <v>39</v>
      </c>
      <c r="B12" s="39" t="s">
        <v>45</v>
      </c>
      <c r="C12" s="39" t="s">
        <v>41</v>
      </c>
      <c r="D12" s="39" t="str">
        <f>"0,6454"</f>
        <v>0,6454</v>
      </c>
      <c r="E12" s="38" t="s">
        <v>21</v>
      </c>
      <c r="F12" s="38" t="s">
        <v>42</v>
      </c>
      <c r="G12" s="39" t="s">
        <v>36</v>
      </c>
      <c r="H12" s="39" t="s">
        <v>43</v>
      </c>
      <c r="I12" s="39" t="s">
        <v>44</v>
      </c>
      <c r="J12" s="40"/>
      <c r="K12" s="38" t="str">
        <f>"272,5"</f>
        <v>272,5</v>
      </c>
      <c r="L12" s="39" t="str">
        <f>"175,8715"</f>
        <v>175,8715</v>
      </c>
      <c r="M12" s="38"/>
    </row>
    <row r="14" spans="1:13" ht="15" x14ac:dyDescent="0.2">
      <c r="A14" s="52" t="s">
        <v>46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 x14ac:dyDescent="0.2">
      <c r="A15" s="56" t="s">
        <v>48</v>
      </c>
      <c r="B15" s="42" t="s">
        <v>49</v>
      </c>
      <c r="C15" s="42" t="s">
        <v>50</v>
      </c>
      <c r="D15" s="42" t="str">
        <f>"0,5926"</f>
        <v>0,5926</v>
      </c>
      <c r="E15" s="56" t="s">
        <v>21</v>
      </c>
      <c r="F15" s="56" t="s">
        <v>34</v>
      </c>
      <c r="G15" s="42" t="s">
        <v>51</v>
      </c>
      <c r="H15" s="42" t="s">
        <v>52</v>
      </c>
      <c r="I15" s="57" t="s">
        <v>53</v>
      </c>
      <c r="J15" s="57"/>
      <c r="K15" s="56" t="str">
        <f>"255,0"</f>
        <v>255,0</v>
      </c>
      <c r="L15" s="42" t="str">
        <f>"161,5398"</f>
        <v>161,5398</v>
      </c>
      <c r="M15" s="56"/>
    </row>
    <row r="17" spans="1:13" ht="15" x14ac:dyDescent="0.2">
      <c r="A17" s="52" t="s">
        <v>54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3" x14ac:dyDescent="0.2">
      <c r="A18" s="35" t="s">
        <v>56</v>
      </c>
      <c r="B18" s="36" t="s">
        <v>57</v>
      </c>
      <c r="C18" s="36" t="s">
        <v>58</v>
      </c>
      <c r="D18" s="36" t="str">
        <f>"0,5808"</f>
        <v>0,5808</v>
      </c>
      <c r="E18" s="35" t="s">
        <v>21</v>
      </c>
      <c r="F18" s="35" t="s">
        <v>34</v>
      </c>
      <c r="G18" s="36" t="s">
        <v>59</v>
      </c>
      <c r="H18" s="36" t="s">
        <v>60</v>
      </c>
      <c r="I18" s="36" t="s">
        <v>61</v>
      </c>
      <c r="J18" s="37"/>
      <c r="K18" s="35" t="str">
        <f>"210,0"</f>
        <v>210,0</v>
      </c>
      <c r="L18" s="36" t="str">
        <f>"121,9680"</f>
        <v>121,9680</v>
      </c>
      <c r="M18" s="35"/>
    </row>
    <row r="19" spans="1:13" x14ac:dyDescent="0.2">
      <c r="A19" s="38" t="s">
        <v>63</v>
      </c>
      <c r="B19" s="39" t="s">
        <v>64</v>
      </c>
      <c r="C19" s="39" t="s">
        <v>65</v>
      </c>
      <c r="D19" s="39" t="str">
        <f>"0,5616"</f>
        <v>0,5616</v>
      </c>
      <c r="E19" s="38" t="s">
        <v>21</v>
      </c>
      <c r="F19" s="38" t="s">
        <v>22</v>
      </c>
      <c r="G19" s="39" t="s">
        <v>23</v>
      </c>
      <c r="H19" s="39" t="s">
        <v>66</v>
      </c>
      <c r="I19" s="39" t="s">
        <v>67</v>
      </c>
      <c r="J19" s="40"/>
      <c r="K19" s="38" t="str">
        <f>"220,0"</f>
        <v>220,0</v>
      </c>
      <c r="L19" s="39" t="str">
        <f>"123,5520"</f>
        <v>123,5520</v>
      </c>
      <c r="M19" s="38"/>
    </row>
    <row r="21" spans="1:13" ht="15" x14ac:dyDescent="0.2">
      <c r="A21" s="52" t="s">
        <v>68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3" x14ac:dyDescent="0.2">
      <c r="A22" s="35" t="s">
        <v>70</v>
      </c>
      <c r="B22" s="36" t="s">
        <v>71</v>
      </c>
      <c r="C22" s="36" t="s">
        <v>72</v>
      </c>
      <c r="D22" s="36" t="str">
        <f>"0,5469"</f>
        <v>0,5469</v>
      </c>
      <c r="E22" s="35" t="s">
        <v>21</v>
      </c>
      <c r="F22" s="35" t="s">
        <v>34</v>
      </c>
      <c r="G22" s="36" t="s">
        <v>73</v>
      </c>
      <c r="H22" s="37" t="s">
        <v>74</v>
      </c>
      <c r="I22" s="37" t="s">
        <v>74</v>
      </c>
      <c r="J22" s="37"/>
      <c r="K22" s="35" t="str">
        <f>"285,0"</f>
        <v>285,0</v>
      </c>
      <c r="L22" s="36" t="str">
        <f>"155,8665"</f>
        <v>155,8665</v>
      </c>
      <c r="M22" s="35"/>
    </row>
    <row r="23" spans="1:13" x14ac:dyDescent="0.2">
      <c r="A23" s="38" t="s">
        <v>76</v>
      </c>
      <c r="B23" s="39" t="s">
        <v>77</v>
      </c>
      <c r="C23" s="39" t="s">
        <v>78</v>
      </c>
      <c r="D23" s="39" t="str">
        <f>"0,5370"</f>
        <v>0,5370</v>
      </c>
      <c r="E23" s="38" t="s">
        <v>21</v>
      </c>
      <c r="F23" s="38" t="s">
        <v>22</v>
      </c>
      <c r="G23" s="39" t="s">
        <v>67</v>
      </c>
      <c r="H23" s="39" t="s">
        <v>79</v>
      </c>
      <c r="I23" s="40" t="s">
        <v>80</v>
      </c>
      <c r="J23" s="40"/>
      <c r="K23" s="38" t="str">
        <f>"230,0"</f>
        <v>230,0</v>
      </c>
      <c r="L23" s="39" t="str">
        <f>"124,6216"</f>
        <v>124,6216</v>
      </c>
      <c r="M23" s="38"/>
    </row>
    <row r="25" spans="1:13" ht="15" x14ac:dyDescent="0.2">
      <c r="A25" s="52" t="s">
        <v>81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3" x14ac:dyDescent="0.2">
      <c r="A26" s="35" t="s">
        <v>83</v>
      </c>
      <c r="B26" s="36" t="s">
        <v>84</v>
      </c>
      <c r="C26" s="36" t="s">
        <v>85</v>
      </c>
      <c r="D26" s="36" t="str">
        <f>"0,5261"</f>
        <v>0,5261</v>
      </c>
      <c r="E26" s="35" t="s">
        <v>21</v>
      </c>
      <c r="F26" s="35" t="s">
        <v>86</v>
      </c>
      <c r="G26" s="36" t="s">
        <v>87</v>
      </c>
      <c r="H26" s="36" t="s">
        <v>73</v>
      </c>
      <c r="I26" s="36" t="s">
        <v>74</v>
      </c>
      <c r="J26" s="37"/>
      <c r="K26" s="35" t="str">
        <f>"295,0"</f>
        <v>295,0</v>
      </c>
      <c r="L26" s="36" t="str">
        <f>"155,1995"</f>
        <v>155,1995</v>
      </c>
      <c r="M26" s="35"/>
    </row>
    <row r="27" spans="1:13" x14ac:dyDescent="0.2">
      <c r="A27" s="54" t="s">
        <v>89</v>
      </c>
      <c r="B27" s="41" t="s">
        <v>90</v>
      </c>
      <c r="C27" s="41" t="s">
        <v>91</v>
      </c>
      <c r="D27" s="41" t="str">
        <f>"0,5286"</f>
        <v>0,5286</v>
      </c>
      <c r="E27" s="54" t="s">
        <v>21</v>
      </c>
      <c r="F27" s="54" t="s">
        <v>22</v>
      </c>
      <c r="G27" s="41" t="s">
        <v>92</v>
      </c>
      <c r="H27" s="41" t="s">
        <v>93</v>
      </c>
      <c r="I27" s="41" t="s">
        <v>94</v>
      </c>
      <c r="J27" s="55"/>
      <c r="K27" s="54" t="str">
        <f>"320,0"</f>
        <v>320,0</v>
      </c>
      <c r="L27" s="41" t="str">
        <f>"184,7140"</f>
        <v>184,7140</v>
      </c>
      <c r="M27" s="54"/>
    </row>
    <row r="28" spans="1:13" x14ac:dyDescent="0.2">
      <c r="A28" s="54" t="s">
        <v>96</v>
      </c>
      <c r="B28" s="41" t="s">
        <v>97</v>
      </c>
      <c r="C28" s="41" t="s">
        <v>98</v>
      </c>
      <c r="D28" s="41" t="str">
        <f>"0,5290"</f>
        <v>0,5290</v>
      </c>
      <c r="E28" s="54" t="s">
        <v>21</v>
      </c>
      <c r="F28" s="54" t="s">
        <v>22</v>
      </c>
      <c r="G28" s="41" t="s">
        <v>92</v>
      </c>
      <c r="H28" s="41" t="s">
        <v>99</v>
      </c>
      <c r="I28" s="55"/>
      <c r="J28" s="55"/>
      <c r="K28" s="54" t="str">
        <f>"290,0"</f>
        <v>290,0</v>
      </c>
      <c r="L28" s="41" t="str">
        <f>"179,9499"</f>
        <v>179,9499</v>
      </c>
      <c r="M28" s="54"/>
    </row>
    <row r="29" spans="1:13" x14ac:dyDescent="0.2">
      <c r="A29" s="38" t="s">
        <v>101</v>
      </c>
      <c r="B29" s="39" t="s">
        <v>102</v>
      </c>
      <c r="C29" s="39" t="s">
        <v>103</v>
      </c>
      <c r="D29" s="39" t="str">
        <f>"0,5316"</f>
        <v>0,5316</v>
      </c>
      <c r="E29" s="38" t="s">
        <v>21</v>
      </c>
      <c r="F29" s="38" t="s">
        <v>22</v>
      </c>
      <c r="G29" s="39" t="s">
        <v>23</v>
      </c>
      <c r="H29" s="39" t="s">
        <v>24</v>
      </c>
      <c r="I29" s="39" t="s">
        <v>66</v>
      </c>
      <c r="J29" s="40"/>
      <c r="K29" s="38" t="str">
        <f>"200,0"</f>
        <v>200,0</v>
      </c>
      <c r="L29" s="39" t="str">
        <f>"174,8964"</f>
        <v>174,8964</v>
      </c>
      <c r="M29" s="38"/>
    </row>
    <row r="31" spans="1:13" ht="15" x14ac:dyDescent="0.2">
      <c r="E31" s="58" t="s">
        <v>104</v>
      </c>
    </row>
    <row r="32" spans="1:13" ht="15" x14ac:dyDescent="0.2">
      <c r="E32" s="58" t="s">
        <v>105</v>
      </c>
    </row>
    <row r="33" spans="1:5" ht="15" x14ac:dyDescent="0.2">
      <c r="E33" s="58" t="s">
        <v>106</v>
      </c>
    </row>
    <row r="34" spans="1:5" x14ac:dyDescent="0.2">
      <c r="E34" s="4" t="s">
        <v>107</v>
      </c>
    </row>
    <row r="35" spans="1:5" x14ac:dyDescent="0.2">
      <c r="E35" s="4" t="s">
        <v>108</v>
      </c>
    </row>
    <row r="36" spans="1:5" x14ac:dyDescent="0.2">
      <c r="E36" s="4" t="s">
        <v>109</v>
      </c>
    </row>
    <row r="39" spans="1:5" ht="18" x14ac:dyDescent="0.25">
      <c r="A39" s="59" t="s">
        <v>110</v>
      </c>
      <c r="B39" s="60"/>
    </row>
    <row r="40" spans="1:5" ht="15" x14ac:dyDescent="0.2">
      <c r="A40" s="61" t="s">
        <v>111</v>
      </c>
      <c r="B40" s="62"/>
    </row>
    <row r="41" spans="1:5" ht="14.25" x14ac:dyDescent="0.2">
      <c r="A41" s="64"/>
      <c r="B41" s="65" t="s">
        <v>112</v>
      </c>
    </row>
    <row r="42" spans="1:5" ht="15" x14ac:dyDescent="0.2">
      <c r="A42" s="66" t="s">
        <v>0</v>
      </c>
      <c r="B42" s="66" t="s">
        <v>113</v>
      </c>
      <c r="C42" s="66" t="s">
        <v>114</v>
      </c>
      <c r="D42" s="66" t="s">
        <v>115</v>
      </c>
      <c r="E42" s="66" t="s">
        <v>14</v>
      </c>
    </row>
    <row r="43" spans="1:5" x14ac:dyDescent="0.2">
      <c r="A43" s="63" t="s">
        <v>55</v>
      </c>
      <c r="B43" s="5" t="s">
        <v>116</v>
      </c>
      <c r="C43" s="5" t="s">
        <v>117</v>
      </c>
      <c r="D43" s="5" t="s">
        <v>61</v>
      </c>
      <c r="E43" s="67" t="s">
        <v>118</v>
      </c>
    </row>
    <row r="45" spans="1:5" ht="14.25" x14ac:dyDescent="0.2">
      <c r="A45" s="64"/>
      <c r="B45" s="65" t="s">
        <v>119</v>
      </c>
    </row>
    <row r="46" spans="1:5" ht="15" x14ac:dyDescent="0.2">
      <c r="A46" s="66" t="s">
        <v>0</v>
      </c>
      <c r="B46" s="66" t="s">
        <v>113</v>
      </c>
      <c r="C46" s="66" t="s">
        <v>114</v>
      </c>
      <c r="D46" s="66" t="s">
        <v>115</v>
      </c>
      <c r="E46" s="66" t="s">
        <v>14</v>
      </c>
    </row>
    <row r="47" spans="1:5" x14ac:dyDescent="0.2">
      <c r="A47" s="63" t="s">
        <v>30</v>
      </c>
      <c r="B47" s="5" t="s">
        <v>120</v>
      </c>
      <c r="C47" s="5" t="s">
        <v>121</v>
      </c>
      <c r="D47" s="5" t="s">
        <v>36</v>
      </c>
      <c r="E47" s="67" t="s">
        <v>122</v>
      </c>
    </row>
    <row r="49" spans="1:5" ht="14.25" x14ac:dyDescent="0.2">
      <c r="A49" s="64"/>
      <c r="B49" s="65" t="s">
        <v>123</v>
      </c>
    </row>
    <row r="50" spans="1:5" ht="15" x14ac:dyDescent="0.2">
      <c r="A50" s="66" t="s">
        <v>0</v>
      </c>
      <c r="B50" s="66" t="s">
        <v>113</v>
      </c>
      <c r="C50" s="66" t="s">
        <v>114</v>
      </c>
      <c r="D50" s="66" t="s">
        <v>115</v>
      </c>
      <c r="E50" s="66" t="s">
        <v>14</v>
      </c>
    </row>
    <row r="51" spans="1:5" x14ac:dyDescent="0.2">
      <c r="A51" s="63" t="s">
        <v>38</v>
      </c>
      <c r="B51" s="5" t="s">
        <v>123</v>
      </c>
      <c r="C51" s="5" t="s">
        <v>121</v>
      </c>
      <c r="D51" s="5" t="s">
        <v>44</v>
      </c>
      <c r="E51" s="67" t="s">
        <v>124</v>
      </c>
    </row>
    <row r="52" spans="1:5" x14ac:dyDescent="0.2">
      <c r="A52" s="63" t="s">
        <v>69</v>
      </c>
      <c r="B52" s="5" t="s">
        <v>123</v>
      </c>
      <c r="C52" s="5" t="s">
        <v>125</v>
      </c>
      <c r="D52" s="5" t="s">
        <v>73</v>
      </c>
      <c r="E52" s="67" t="s">
        <v>126</v>
      </c>
    </row>
    <row r="53" spans="1:5" x14ac:dyDescent="0.2">
      <c r="A53" s="63" t="s">
        <v>82</v>
      </c>
      <c r="B53" s="5" t="s">
        <v>123</v>
      </c>
      <c r="C53" s="5" t="s">
        <v>127</v>
      </c>
      <c r="D53" s="5" t="s">
        <v>74</v>
      </c>
      <c r="E53" s="67" t="s">
        <v>128</v>
      </c>
    </row>
    <row r="54" spans="1:5" x14ac:dyDescent="0.2">
      <c r="A54" s="63" t="s">
        <v>17</v>
      </c>
      <c r="B54" s="5" t="s">
        <v>123</v>
      </c>
      <c r="C54" s="5" t="s">
        <v>129</v>
      </c>
      <c r="D54" s="5" t="s">
        <v>24</v>
      </c>
      <c r="E54" s="67" t="s">
        <v>130</v>
      </c>
    </row>
    <row r="56" spans="1:5" ht="14.25" x14ac:dyDescent="0.2">
      <c r="A56" s="64"/>
      <c r="B56" s="65" t="s">
        <v>131</v>
      </c>
    </row>
    <row r="57" spans="1:5" ht="15" x14ac:dyDescent="0.2">
      <c r="A57" s="66" t="s">
        <v>0</v>
      </c>
      <c r="B57" s="66" t="s">
        <v>113</v>
      </c>
      <c r="C57" s="66" t="s">
        <v>114</v>
      </c>
      <c r="D57" s="66" t="s">
        <v>115</v>
      </c>
      <c r="E57" s="66" t="s">
        <v>14</v>
      </c>
    </row>
    <row r="58" spans="1:5" x14ac:dyDescent="0.2">
      <c r="A58" s="63" t="s">
        <v>38</v>
      </c>
      <c r="B58" s="5" t="s">
        <v>132</v>
      </c>
      <c r="C58" s="5" t="s">
        <v>121</v>
      </c>
      <c r="D58" s="5" t="s">
        <v>44</v>
      </c>
      <c r="E58" s="67" t="s">
        <v>124</v>
      </c>
    </row>
    <row r="60" spans="1:5" ht="14.25" x14ac:dyDescent="0.2">
      <c r="A60" s="64"/>
      <c r="B60" s="65" t="s">
        <v>133</v>
      </c>
    </row>
    <row r="61" spans="1:5" ht="15" x14ac:dyDescent="0.2">
      <c r="A61" s="66" t="s">
        <v>0</v>
      </c>
      <c r="B61" s="66" t="s">
        <v>113</v>
      </c>
      <c r="C61" s="66" t="s">
        <v>114</v>
      </c>
      <c r="D61" s="66" t="s">
        <v>115</v>
      </c>
      <c r="E61" s="66" t="s">
        <v>14</v>
      </c>
    </row>
    <row r="62" spans="1:5" x14ac:dyDescent="0.2">
      <c r="A62" s="63" t="s">
        <v>88</v>
      </c>
      <c r="B62" s="5" t="s">
        <v>134</v>
      </c>
      <c r="C62" s="5" t="s">
        <v>127</v>
      </c>
      <c r="D62" s="5" t="s">
        <v>94</v>
      </c>
      <c r="E62" s="67" t="s">
        <v>135</v>
      </c>
    </row>
    <row r="63" spans="1:5" x14ac:dyDescent="0.2">
      <c r="A63" s="63" t="s">
        <v>95</v>
      </c>
      <c r="B63" s="5" t="s">
        <v>136</v>
      </c>
      <c r="C63" s="5" t="s">
        <v>127</v>
      </c>
      <c r="D63" s="5" t="s">
        <v>99</v>
      </c>
      <c r="E63" s="67" t="s">
        <v>137</v>
      </c>
    </row>
    <row r="64" spans="1:5" x14ac:dyDescent="0.2">
      <c r="A64" s="63" t="s">
        <v>100</v>
      </c>
      <c r="B64" s="5" t="s">
        <v>138</v>
      </c>
      <c r="C64" s="5" t="s">
        <v>127</v>
      </c>
      <c r="D64" s="5" t="s">
        <v>66</v>
      </c>
      <c r="E64" s="67" t="s">
        <v>139</v>
      </c>
    </row>
    <row r="65" spans="1:5" x14ac:dyDescent="0.2">
      <c r="A65" s="63" t="s">
        <v>47</v>
      </c>
      <c r="B65" s="5" t="s">
        <v>134</v>
      </c>
      <c r="C65" s="5" t="s">
        <v>140</v>
      </c>
      <c r="D65" s="5" t="s">
        <v>52</v>
      </c>
      <c r="E65" s="67" t="s">
        <v>141</v>
      </c>
    </row>
    <row r="66" spans="1:5" x14ac:dyDescent="0.2">
      <c r="A66" s="63" t="s">
        <v>75</v>
      </c>
      <c r="B66" s="5" t="s">
        <v>142</v>
      </c>
      <c r="C66" s="5" t="s">
        <v>125</v>
      </c>
      <c r="D66" s="5" t="s">
        <v>79</v>
      </c>
      <c r="E66" s="67" t="s">
        <v>143</v>
      </c>
    </row>
    <row r="67" spans="1:5" x14ac:dyDescent="0.2">
      <c r="A67" s="63" t="s">
        <v>62</v>
      </c>
      <c r="B67" s="5" t="s">
        <v>142</v>
      </c>
      <c r="C67" s="5" t="s">
        <v>117</v>
      </c>
      <c r="D67" s="5" t="s">
        <v>67</v>
      </c>
      <c r="E67" s="67" t="s">
        <v>144</v>
      </c>
    </row>
  </sheetData>
  <mergeCells count="17">
    <mergeCell ref="A25:L25"/>
    <mergeCell ref="A5:L5"/>
    <mergeCell ref="A9:L9"/>
    <mergeCell ref="A14:L14"/>
    <mergeCell ref="A17:L17"/>
    <mergeCell ref="A21:L21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65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3" width="2.140625" style="5" bestFit="1" customWidth="1"/>
    <col min="14" max="14" width="5" style="5" bestFit="1" customWidth="1"/>
    <col min="15" max="17" width="2.140625" style="5" bestFit="1" customWidth="1"/>
    <col min="18" max="18" width="5" style="5" bestFit="1" customWidth="1"/>
    <col min="19" max="19" width="6.140625" style="4" bestFit="1" customWidth="1"/>
    <col min="20" max="20" width="4.285156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959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x14ac:dyDescent="0.2">
      <c r="A5" s="4"/>
      <c r="E5" s="4"/>
      <c r="F5" s="4"/>
      <c r="S5" s="4"/>
      <c r="U5" s="4"/>
    </row>
    <row r="6" spans="1:21" s="5" customFormat="1" ht="15" x14ac:dyDescent="0.2">
      <c r="A6" s="4"/>
      <c r="E6" s="58" t="s">
        <v>104</v>
      </c>
      <c r="F6" s="4"/>
      <c r="S6" s="4"/>
      <c r="U6" s="4"/>
    </row>
    <row r="7" spans="1:21" s="5" customFormat="1" ht="15" x14ac:dyDescent="0.2">
      <c r="A7" s="4"/>
      <c r="E7" s="58" t="s">
        <v>105</v>
      </c>
      <c r="F7" s="4"/>
      <c r="S7" s="4"/>
      <c r="U7" s="4"/>
    </row>
    <row r="8" spans="1:21" ht="15" x14ac:dyDescent="0.2">
      <c r="E8" s="58" t="s">
        <v>106</v>
      </c>
    </row>
    <row r="9" spans="1:21" x14ac:dyDescent="0.2">
      <c r="E9" s="4" t="s">
        <v>107</v>
      </c>
    </row>
    <row r="10" spans="1:21" x14ac:dyDescent="0.2">
      <c r="E10" s="4" t="s">
        <v>108</v>
      </c>
    </row>
    <row r="11" spans="1:21" x14ac:dyDescent="0.2">
      <c r="E11" s="4" t="s">
        <v>109</v>
      </c>
    </row>
    <row r="14" spans="1:21" ht="18" x14ac:dyDescent="0.25">
      <c r="A14" s="59" t="s">
        <v>110</v>
      </c>
      <c r="B14" s="60"/>
    </row>
  </sheetData>
  <mergeCells count="13">
    <mergeCell ref="S3:S4"/>
    <mergeCell ref="T3:T4"/>
    <mergeCell ref="U3:U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4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3" width="5.5703125" style="5" bestFit="1" customWidth="1"/>
    <col min="14" max="14" width="5" style="5" bestFit="1" customWidth="1"/>
    <col min="15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938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ht="15" x14ac:dyDescent="0.2">
      <c r="A5" s="34" t="s">
        <v>421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4"/>
    </row>
    <row r="6" spans="1:21" s="5" customFormat="1" x14ac:dyDescent="0.2">
      <c r="A6" s="56" t="s">
        <v>940</v>
      </c>
      <c r="B6" s="42" t="s">
        <v>941</v>
      </c>
      <c r="C6" s="42" t="s">
        <v>942</v>
      </c>
      <c r="D6" s="42" t="str">
        <f>"0,8347"</f>
        <v>0,8347</v>
      </c>
      <c r="E6" s="56" t="s">
        <v>21</v>
      </c>
      <c r="F6" s="56" t="s">
        <v>22</v>
      </c>
      <c r="G6" s="57" t="s">
        <v>565</v>
      </c>
      <c r="H6" s="42" t="s">
        <v>129</v>
      </c>
      <c r="I6" s="57" t="s">
        <v>560</v>
      </c>
      <c r="J6" s="57"/>
      <c r="K6" s="42" t="s">
        <v>404</v>
      </c>
      <c r="L6" s="42" t="s">
        <v>550</v>
      </c>
      <c r="M6" s="57" t="s">
        <v>170</v>
      </c>
      <c r="N6" s="57"/>
      <c r="O6" s="42" t="s">
        <v>420</v>
      </c>
      <c r="P6" s="42" t="s">
        <v>560</v>
      </c>
      <c r="Q6" s="57" t="s">
        <v>140</v>
      </c>
      <c r="R6" s="57"/>
      <c r="S6" s="56" t="str">
        <f>"200,0"</f>
        <v>200,0</v>
      </c>
      <c r="T6" s="42" t="str">
        <f>"166,9400"</f>
        <v>166,9400</v>
      </c>
      <c r="U6" s="56"/>
    </row>
    <row r="7" spans="1:21" s="5" customFormat="1" x14ac:dyDescent="0.2">
      <c r="A7" s="4"/>
      <c r="E7" s="4"/>
      <c r="F7" s="4"/>
      <c r="S7" s="4"/>
      <c r="U7" s="4"/>
    </row>
    <row r="8" spans="1:21" ht="15" x14ac:dyDescent="0.2">
      <c r="A8" s="52" t="s">
        <v>29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1" x14ac:dyDescent="0.2">
      <c r="A9" s="56" t="s">
        <v>944</v>
      </c>
      <c r="B9" s="42" t="s">
        <v>945</v>
      </c>
      <c r="C9" s="42" t="s">
        <v>946</v>
      </c>
      <c r="D9" s="42" t="str">
        <f>"0,6780"</f>
        <v>0,6780</v>
      </c>
      <c r="E9" s="56" t="s">
        <v>21</v>
      </c>
      <c r="F9" s="56" t="s">
        <v>22</v>
      </c>
      <c r="G9" s="42" t="s">
        <v>125</v>
      </c>
      <c r="H9" s="42" t="s">
        <v>199</v>
      </c>
      <c r="I9" s="42" t="s">
        <v>189</v>
      </c>
      <c r="J9" s="57"/>
      <c r="K9" s="42" t="s">
        <v>172</v>
      </c>
      <c r="L9" s="57" t="s">
        <v>807</v>
      </c>
      <c r="M9" s="57" t="s">
        <v>807</v>
      </c>
      <c r="N9" s="57"/>
      <c r="O9" s="42" t="s">
        <v>125</v>
      </c>
      <c r="P9" s="42" t="s">
        <v>199</v>
      </c>
      <c r="Q9" s="42" t="s">
        <v>127</v>
      </c>
      <c r="R9" s="57"/>
      <c r="S9" s="56" t="str">
        <f>"310,0"</f>
        <v>310,0</v>
      </c>
      <c r="T9" s="42" t="str">
        <f>"210,1800"</f>
        <v>210,1800</v>
      </c>
      <c r="U9" s="56"/>
    </row>
    <row r="11" spans="1:21" ht="15" x14ac:dyDescent="0.2">
      <c r="A11" s="52" t="s">
        <v>405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1" x14ac:dyDescent="0.2">
      <c r="A12" s="56" t="s">
        <v>948</v>
      </c>
      <c r="B12" s="42" t="s">
        <v>949</v>
      </c>
      <c r="C12" s="42" t="s">
        <v>950</v>
      </c>
      <c r="D12" s="42" t="str">
        <f>"0,9368"</f>
        <v>0,9368</v>
      </c>
      <c r="E12" s="56" t="s">
        <v>21</v>
      </c>
      <c r="F12" s="56" t="s">
        <v>22</v>
      </c>
      <c r="G12" s="42" t="s">
        <v>125</v>
      </c>
      <c r="H12" s="42" t="s">
        <v>199</v>
      </c>
      <c r="I12" s="42" t="s">
        <v>189</v>
      </c>
      <c r="J12" s="57"/>
      <c r="K12" s="42" t="s">
        <v>565</v>
      </c>
      <c r="L12" s="42" t="s">
        <v>560</v>
      </c>
      <c r="M12" s="42" t="s">
        <v>830</v>
      </c>
      <c r="N12" s="57"/>
      <c r="O12" s="42" t="s">
        <v>125</v>
      </c>
      <c r="P12" s="42" t="s">
        <v>199</v>
      </c>
      <c r="Q12" s="57" t="s">
        <v>189</v>
      </c>
      <c r="R12" s="57"/>
      <c r="S12" s="56" t="str">
        <f>"342,5"</f>
        <v>342,5</v>
      </c>
      <c r="T12" s="42" t="str">
        <f>"320,8540"</f>
        <v>320,8540</v>
      </c>
      <c r="U12" s="56"/>
    </row>
    <row r="14" spans="1:21" ht="15" x14ac:dyDescent="0.2">
      <c r="A14" s="52" t="s">
        <v>54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x14ac:dyDescent="0.2">
      <c r="A15" s="35" t="s">
        <v>707</v>
      </c>
      <c r="B15" s="36" t="s">
        <v>708</v>
      </c>
      <c r="C15" s="36" t="s">
        <v>709</v>
      </c>
      <c r="D15" s="36" t="str">
        <f>"0,5570"</f>
        <v>0,5570</v>
      </c>
      <c r="E15" s="35" t="s">
        <v>21</v>
      </c>
      <c r="F15" s="35" t="s">
        <v>710</v>
      </c>
      <c r="G15" s="36" t="s">
        <v>43</v>
      </c>
      <c r="H15" s="36" t="s">
        <v>99</v>
      </c>
      <c r="I15" s="37" t="s">
        <v>321</v>
      </c>
      <c r="J15" s="37"/>
      <c r="K15" s="36" t="s">
        <v>220</v>
      </c>
      <c r="L15" s="36" t="s">
        <v>210</v>
      </c>
      <c r="M15" s="37" t="s">
        <v>338</v>
      </c>
      <c r="N15" s="37"/>
      <c r="O15" s="36" t="s">
        <v>51</v>
      </c>
      <c r="P15" s="37" t="s">
        <v>52</v>
      </c>
      <c r="Q15" s="37"/>
      <c r="R15" s="37"/>
      <c r="S15" s="35" t="str">
        <f>"715,0"</f>
        <v>715,0</v>
      </c>
      <c r="T15" s="36" t="str">
        <f>"398,2550"</f>
        <v>398,2550</v>
      </c>
      <c r="U15" s="35"/>
    </row>
    <row r="16" spans="1:21" x14ac:dyDescent="0.2">
      <c r="A16" s="38" t="s">
        <v>951</v>
      </c>
      <c r="B16" s="39" t="s">
        <v>952</v>
      </c>
      <c r="C16" s="39" t="s">
        <v>953</v>
      </c>
      <c r="D16" s="39" t="str">
        <f>"0,5622"</f>
        <v>0,5622</v>
      </c>
      <c r="E16" s="38" t="s">
        <v>21</v>
      </c>
      <c r="F16" s="38" t="s">
        <v>22</v>
      </c>
      <c r="G16" s="39" t="s">
        <v>61</v>
      </c>
      <c r="H16" s="39" t="s">
        <v>79</v>
      </c>
      <c r="I16" s="40" t="s">
        <v>344</v>
      </c>
      <c r="J16" s="40"/>
      <c r="K16" s="40" t="s">
        <v>189</v>
      </c>
      <c r="L16" s="40" t="s">
        <v>189</v>
      </c>
      <c r="M16" s="40" t="s">
        <v>189</v>
      </c>
      <c r="N16" s="40"/>
      <c r="O16" s="40" t="s">
        <v>67</v>
      </c>
      <c r="P16" s="40"/>
      <c r="Q16" s="40"/>
      <c r="R16" s="40"/>
      <c r="S16" s="38" t="str">
        <f>"0.00"</f>
        <v>0.00</v>
      </c>
      <c r="T16" s="39" t="str">
        <f>"0,0000"</f>
        <v>0,0000</v>
      </c>
      <c r="U16" s="38"/>
    </row>
    <row r="18" spans="1:5" ht="15" x14ac:dyDescent="0.2">
      <c r="E18" s="58" t="s">
        <v>104</v>
      </c>
    </row>
    <row r="19" spans="1:5" ht="15" x14ac:dyDescent="0.2">
      <c r="E19" s="58" t="s">
        <v>105</v>
      </c>
    </row>
    <row r="20" spans="1:5" ht="15" x14ac:dyDescent="0.2">
      <c r="E20" s="58" t="s">
        <v>106</v>
      </c>
    </row>
    <row r="21" spans="1:5" x14ac:dyDescent="0.2">
      <c r="E21" s="4" t="s">
        <v>107</v>
      </c>
    </row>
    <row r="22" spans="1:5" x14ac:dyDescent="0.2">
      <c r="E22" s="4" t="s">
        <v>108</v>
      </c>
    </row>
    <row r="23" spans="1:5" x14ac:dyDescent="0.2">
      <c r="E23" s="4" t="s">
        <v>109</v>
      </c>
    </row>
    <row r="26" spans="1:5" ht="18" x14ac:dyDescent="0.25">
      <c r="A26" s="59" t="s">
        <v>110</v>
      </c>
      <c r="B26" s="60"/>
    </row>
    <row r="27" spans="1:5" ht="15" x14ac:dyDescent="0.2">
      <c r="A27" s="61" t="s">
        <v>257</v>
      </c>
      <c r="B27" s="62"/>
    </row>
    <row r="28" spans="1:5" ht="14.25" x14ac:dyDescent="0.2">
      <c r="A28" s="64"/>
      <c r="B28" s="65" t="s">
        <v>112</v>
      </c>
    </row>
    <row r="29" spans="1:5" ht="15" x14ac:dyDescent="0.2">
      <c r="A29" s="66" t="s">
        <v>0</v>
      </c>
      <c r="B29" s="66" t="s">
        <v>113</v>
      </c>
      <c r="C29" s="66" t="s">
        <v>114</v>
      </c>
      <c r="D29" s="66" t="s">
        <v>115</v>
      </c>
      <c r="E29" s="66" t="s">
        <v>14</v>
      </c>
    </row>
    <row r="30" spans="1:5" x14ac:dyDescent="0.2">
      <c r="A30" s="63" t="s">
        <v>939</v>
      </c>
      <c r="B30" s="5" t="s">
        <v>116</v>
      </c>
      <c r="C30" s="5" t="s">
        <v>507</v>
      </c>
      <c r="D30" s="5" t="s">
        <v>66</v>
      </c>
      <c r="E30" s="67" t="s">
        <v>954</v>
      </c>
    </row>
    <row r="32" spans="1:5" ht="14.25" x14ac:dyDescent="0.2">
      <c r="A32" s="64"/>
      <c r="B32" s="65" t="s">
        <v>123</v>
      </c>
    </row>
    <row r="33" spans="1:5" ht="15" x14ac:dyDescent="0.2">
      <c r="A33" s="66" t="s">
        <v>0</v>
      </c>
      <c r="B33" s="66" t="s">
        <v>113</v>
      </c>
      <c r="C33" s="66" t="s">
        <v>114</v>
      </c>
      <c r="D33" s="66" t="s">
        <v>115</v>
      </c>
      <c r="E33" s="66" t="s">
        <v>14</v>
      </c>
    </row>
    <row r="34" spans="1:5" x14ac:dyDescent="0.2">
      <c r="A34" s="63" t="s">
        <v>943</v>
      </c>
      <c r="B34" s="5" t="s">
        <v>123</v>
      </c>
      <c r="C34" s="5" t="s">
        <v>121</v>
      </c>
      <c r="D34" s="5" t="s">
        <v>321</v>
      </c>
      <c r="E34" s="67" t="s">
        <v>955</v>
      </c>
    </row>
    <row r="37" spans="1:5" ht="15" x14ac:dyDescent="0.2">
      <c r="A37" s="61" t="s">
        <v>111</v>
      </c>
      <c r="B37" s="62"/>
    </row>
    <row r="38" spans="1:5" ht="14.25" x14ac:dyDescent="0.2">
      <c r="A38" s="64"/>
      <c r="B38" s="65" t="s">
        <v>112</v>
      </c>
    </row>
    <row r="39" spans="1:5" ht="15" x14ac:dyDescent="0.2">
      <c r="A39" s="66" t="s">
        <v>0</v>
      </c>
      <c r="B39" s="66" t="s">
        <v>113</v>
      </c>
      <c r="C39" s="66" t="s">
        <v>114</v>
      </c>
      <c r="D39" s="66" t="s">
        <v>115</v>
      </c>
      <c r="E39" s="66" t="s">
        <v>14</v>
      </c>
    </row>
    <row r="40" spans="1:5" x14ac:dyDescent="0.2">
      <c r="A40" s="63" t="s">
        <v>947</v>
      </c>
      <c r="B40" s="5" t="s">
        <v>258</v>
      </c>
      <c r="C40" s="5" t="s">
        <v>505</v>
      </c>
      <c r="D40" s="5" t="s">
        <v>916</v>
      </c>
      <c r="E40" s="67" t="s">
        <v>956</v>
      </c>
    </row>
    <row r="42" spans="1:5" ht="14.25" x14ac:dyDescent="0.2">
      <c r="A42" s="64"/>
      <c r="B42" s="65" t="s">
        <v>123</v>
      </c>
    </row>
    <row r="43" spans="1:5" ht="15" x14ac:dyDescent="0.2">
      <c r="A43" s="66" t="s">
        <v>0</v>
      </c>
      <c r="B43" s="66" t="s">
        <v>113</v>
      </c>
      <c r="C43" s="66" t="s">
        <v>114</v>
      </c>
      <c r="D43" s="66" t="s">
        <v>115</v>
      </c>
      <c r="E43" s="66" t="s">
        <v>14</v>
      </c>
    </row>
    <row r="44" spans="1:5" x14ac:dyDescent="0.2">
      <c r="A44" s="63" t="s">
        <v>706</v>
      </c>
      <c r="B44" s="5" t="s">
        <v>123</v>
      </c>
      <c r="C44" s="5" t="s">
        <v>117</v>
      </c>
      <c r="D44" s="5" t="s">
        <v>957</v>
      </c>
      <c r="E44" s="67" t="s">
        <v>958</v>
      </c>
    </row>
  </sheetData>
  <mergeCells count="17">
    <mergeCell ref="A14:T14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38.85546875" style="4" bestFit="1" customWidth="1"/>
    <col min="7" max="9" width="5.5703125" style="5" bestFit="1" customWidth="1"/>
    <col min="10" max="10" width="5" style="5" bestFit="1" customWidth="1"/>
    <col min="11" max="17" width="5.5703125" style="5" bestFit="1" customWidth="1"/>
    <col min="18" max="18" width="5" style="5" bestFit="1" customWidth="1"/>
    <col min="19" max="19" width="6.140625" style="4" bestFit="1" customWidth="1"/>
    <col min="20" max="20" width="8.5703125" style="5" bestFit="1" customWidth="1"/>
    <col min="21" max="21" width="7.42578125" style="4" bestFit="1" customWidth="1"/>
    <col min="22" max="16384" width="9.140625" style="3"/>
  </cols>
  <sheetData>
    <row r="1" spans="1:21" s="2" customFormat="1" ht="29.1" customHeight="1" x14ac:dyDescent="0.2">
      <c r="A1" s="43" t="s">
        <v>815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3</v>
      </c>
      <c r="H3" s="26"/>
      <c r="I3" s="26"/>
      <c r="J3" s="27"/>
      <c r="K3" s="25" t="s">
        <v>4</v>
      </c>
      <c r="L3" s="26"/>
      <c r="M3" s="26"/>
      <c r="N3" s="27"/>
      <c r="O3" s="25" t="s">
        <v>5</v>
      </c>
      <c r="P3" s="26"/>
      <c r="Q3" s="26"/>
      <c r="R3" s="27"/>
      <c r="S3" s="49" t="s">
        <v>11</v>
      </c>
      <c r="T3" s="26" t="s">
        <v>7</v>
      </c>
      <c r="U3" s="27" t="s">
        <v>6</v>
      </c>
    </row>
    <row r="4" spans="1:21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12">
        <v>1</v>
      </c>
      <c r="L4" s="13">
        <v>2</v>
      </c>
      <c r="M4" s="13">
        <v>3</v>
      </c>
      <c r="N4" s="14" t="s">
        <v>8</v>
      </c>
      <c r="O4" s="12">
        <v>1</v>
      </c>
      <c r="P4" s="13">
        <v>2</v>
      </c>
      <c r="Q4" s="13">
        <v>3</v>
      </c>
      <c r="R4" s="14" t="s">
        <v>8</v>
      </c>
      <c r="S4" s="50"/>
      <c r="T4" s="30"/>
      <c r="U4" s="31"/>
    </row>
    <row r="5" spans="1:21" s="5" customFormat="1" ht="15" x14ac:dyDescent="0.2">
      <c r="A5" s="34" t="s">
        <v>405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4"/>
    </row>
    <row r="6" spans="1:21" s="5" customFormat="1" x14ac:dyDescent="0.2">
      <c r="A6" s="35" t="s">
        <v>816</v>
      </c>
      <c r="B6" s="36" t="s">
        <v>817</v>
      </c>
      <c r="C6" s="36" t="s">
        <v>818</v>
      </c>
      <c r="D6" s="36" t="str">
        <f>"0,9167"</f>
        <v>0,9167</v>
      </c>
      <c r="E6" s="35" t="s">
        <v>21</v>
      </c>
      <c r="F6" s="35" t="s">
        <v>22</v>
      </c>
      <c r="G6" s="37" t="s">
        <v>117</v>
      </c>
      <c r="H6" s="37" t="s">
        <v>310</v>
      </c>
      <c r="I6" s="37" t="s">
        <v>125</v>
      </c>
      <c r="J6" s="37"/>
      <c r="K6" s="37" t="s">
        <v>171</v>
      </c>
      <c r="L6" s="37"/>
      <c r="M6" s="37"/>
      <c r="N6" s="37"/>
      <c r="O6" s="37" t="s">
        <v>117</v>
      </c>
      <c r="P6" s="37"/>
      <c r="Q6" s="37"/>
      <c r="R6" s="37"/>
      <c r="S6" s="35" t="str">
        <f>"0.00"</f>
        <v>0.00</v>
      </c>
      <c r="T6" s="36" t="str">
        <f>"0,0000"</f>
        <v>0,0000</v>
      </c>
      <c r="U6" s="35"/>
    </row>
    <row r="7" spans="1:21" s="5" customFormat="1" x14ac:dyDescent="0.2">
      <c r="A7" s="54" t="s">
        <v>820</v>
      </c>
      <c r="B7" s="41" t="s">
        <v>821</v>
      </c>
      <c r="C7" s="41" t="s">
        <v>822</v>
      </c>
      <c r="D7" s="41" t="str">
        <f>"0,9222"</f>
        <v>0,9222</v>
      </c>
      <c r="E7" s="54" t="s">
        <v>21</v>
      </c>
      <c r="F7" s="54" t="s">
        <v>22</v>
      </c>
      <c r="G7" s="41" t="s">
        <v>117</v>
      </c>
      <c r="H7" s="41" t="s">
        <v>310</v>
      </c>
      <c r="I7" s="55" t="s">
        <v>577</v>
      </c>
      <c r="J7" s="55"/>
      <c r="K7" s="41" t="s">
        <v>823</v>
      </c>
      <c r="L7" s="55" t="s">
        <v>565</v>
      </c>
      <c r="M7" s="41" t="s">
        <v>565</v>
      </c>
      <c r="N7" s="55"/>
      <c r="O7" s="41" t="s">
        <v>182</v>
      </c>
      <c r="P7" s="55" t="s">
        <v>239</v>
      </c>
      <c r="Q7" s="55" t="s">
        <v>239</v>
      </c>
      <c r="R7" s="55"/>
      <c r="S7" s="54" t="str">
        <f>"310,0"</f>
        <v>310,0</v>
      </c>
      <c r="T7" s="41" t="str">
        <f>"285,8820"</f>
        <v>285,8820</v>
      </c>
      <c r="U7" s="54"/>
    </row>
    <row r="8" spans="1:21" x14ac:dyDescent="0.2">
      <c r="A8" s="54" t="s">
        <v>824</v>
      </c>
      <c r="B8" s="41" t="s">
        <v>408</v>
      </c>
      <c r="C8" s="41" t="s">
        <v>409</v>
      </c>
      <c r="D8" s="41" t="str">
        <f>"0,9122"</f>
        <v>0,9122</v>
      </c>
      <c r="E8" s="54" t="s">
        <v>21</v>
      </c>
      <c r="F8" s="54" t="s">
        <v>22</v>
      </c>
      <c r="G8" s="41" t="s">
        <v>577</v>
      </c>
      <c r="H8" s="41" t="s">
        <v>311</v>
      </c>
      <c r="I8" s="55" t="s">
        <v>199</v>
      </c>
      <c r="J8" s="55"/>
      <c r="K8" s="55" t="s">
        <v>170</v>
      </c>
      <c r="L8" s="55" t="s">
        <v>170</v>
      </c>
      <c r="M8" s="41" t="s">
        <v>825</v>
      </c>
      <c r="N8" s="55"/>
      <c r="O8" s="41" t="s">
        <v>311</v>
      </c>
      <c r="P8" s="41" t="s">
        <v>411</v>
      </c>
      <c r="Q8" s="55" t="s">
        <v>633</v>
      </c>
      <c r="R8" s="55"/>
      <c r="S8" s="54" t="str">
        <f>"285,0"</f>
        <v>285,0</v>
      </c>
      <c r="T8" s="41" t="str">
        <f>"259,9770"</f>
        <v>259,9770</v>
      </c>
      <c r="U8" s="54"/>
    </row>
    <row r="9" spans="1:21" x14ac:dyDescent="0.2">
      <c r="A9" s="54" t="s">
        <v>827</v>
      </c>
      <c r="B9" s="41" t="s">
        <v>828</v>
      </c>
      <c r="C9" s="41" t="s">
        <v>829</v>
      </c>
      <c r="D9" s="41" t="str">
        <f>"0,9208"</f>
        <v>0,9208</v>
      </c>
      <c r="E9" s="54" t="s">
        <v>21</v>
      </c>
      <c r="F9" s="54" t="s">
        <v>22</v>
      </c>
      <c r="G9" s="41" t="s">
        <v>560</v>
      </c>
      <c r="H9" s="41" t="s">
        <v>830</v>
      </c>
      <c r="I9" s="55" t="s">
        <v>831</v>
      </c>
      <c r="J9" s="55"/>
      <c r="K9" s="41" t="s">
        <v>170</v>
      </c>
      <c r="L9" s="41" t="s">
        <v>171</v>
      </c>
      <c r="M9" s="55" t="s">
        <v>172</v>
      </c>
      <c r="N9" s="55"/>
      <c r="O9" s="41" t="s">
        <v>140</v>
      </c>
      <c r="P9" s="41" t="s">
        <v>831</v>
      </c>
      <c r="Q9" s="55" t="s">
        <v>582</v>
      </c>
      <c r="R9" s="55"/>
      <c r="S9" s="54" t="str">
        <f>"240,0"</f>
        <v>240,0</v>
      </c>
      <c r="T9" s="41" t="str">
        <f>"220,9920"</f>
        <v>220,9920</v>
      </c>
      <c r="U9" s="54"/>
    </row>
    <row r="10" spans="1:21" x14ac:dyDescent="0.2">
      <c r="A10" s="38" t="s">
        <v>833</v>
      </c>
      <c r="B10" s="39" t="s">
        <v>834</v>
      </c>
      <c r="C10" s="39" t="s">
        <v>835</v>
      </c>
      <c r="D10" s="39" t="str">
        <f>"0,9153"</f>
        <v>0,9153</v>
      </c>
      <c r="E10" s="38" t="s">
        <v>21</v>
      </c>
      <c r="F10" s="38" t="s">
        <v>22</v>
      </c>
      <c r="G10" s="39" t="s">
        <v>836</v>
      </c>
      <c r="H10" s="39" t="s">
        <v>117</v>
      </c>
      <c r="I10" s="40" t="s">
        <v>310</v>
      </c>
      <c r="J10" s="40"/>
      <c r="K10" s="39" t="s">
        <v>837</v>
      </c>
      <c r="L10" s="39" t="s">
        <v>172</v>
      </c>
      <c r="M10" s="39" t="s">
        <v>838</v>
      </c>
      <c r="N10" s="40"/>
      <c r="O10" s="39" t="s">
        <v>199</v>
      </c>
      <c r="P10" s="39" t="s">
        <v>127</v>
      </c>
      <c r="Q10" s="39" t="s">
        <v>182</v>
      </c>
      <c r="R10" s="40"/>
      <c r="S10" s="38" t="str">
        <f>"292,5"</f>
        <v>292,5</v>
      </c>
      <c r="T10" s="39" t="str">
        <f>"286,1983"</f>
        <v>286,1983</v>
      </c>
      <c r="U10" s="38"/>
    </row>
    <row r="12" spans="1:21" ht="15" x14ac:dyDescent="0.2">
      <c r="A12" s="52" t="s">
        <v>412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1" x14ac:dyDescent="0.2">
      <c r="A13" s="35" t="s">
        <v>840</v>
      </c>
      <c r="B13" s="36" t="s">
        <v>841</v>
      </c>
      <c r="C13" s="36" t="s">
        <v>842</v>
      </c>
      <c r="D13" s="36" t="str">
        <f>"0,8603"</f>
        <v>0,8603</v>
      </c>
      <c r="E13" s="35" t="s">
        <v>21</v>
      </c>
      <c r="F13" s="35" t="s">
        <v>22</v>
      </c>
      <c r="G13" s="36" t="s">
        <v>843</v>
      </c>
      <c r="H13" s="36" t="s">
        <v>836</v>
      </c>
      <c r="I13" s="37" t="s">
        <v>117</v>
      </c>
      <c r="J13" s="37"/>
      <c r="K13" s="36" t="s">
        <v>170</v>
      </c>
      <c r="L13" s="37" t="s">
        <v>825</v>
      </c>
      <c r="M13" s="37" t="s">
        <v>171</v>
      </c>
      <c r="N13" s="37"/>
      <c r="O13" s="36" t="s">
        <v>831</v>
      </c>
      <c r="P13" s="36" t="s">
        <v>125</v>
      </c>
      <c r="Q13" s="36" t="s">
        <v>578</v>
      </c>
      <c r="R13" s="37"/>
      <c r="S13" s="35" t="str">
        <f>"252,5"</f>
        <v>252,5</v>
      </c>
      <c r="T13" s="36" t="str">
        <f>"217,2258"</f>
        <v>217,2258</v>
      </c>
      <c r="U13" s="35"/>
    </row>
    <row r="14" spans="1:21" x14ac:dyDescent="0.2">
      <c r="A14" s="38" t="s">
        <v>845</v>
      </c>
      <c r="B14" s="39" t="s">
        <v>846</v>
      </c>
      <c r="C14" s="39" t="s">
        <v>847</v>
      </c>
      <c r="D14" s="39" t="str">
        <f>"0,8775"</f>
        <v>0,8775</v>
      </c>
      <c r="E14" s="38" t="s">
        <v>21</v>
      </c>
      <c r="F14" s="38" t="s">
        <v>22</v>
      </c>
      <c r="G14" s="40" t="s">
        <v>560</v>
      </c>
      <c r="H14" s="40" t="s">
        <v>560</v>
      </c>
      <c r="I14" s="39" t="s">
        <v>560</v>
      </c>
      <c r="J14" s="40"/>
      <c r="K14" s="39" t="s">
        <v>171</v>
      </c>
      <c r="L14" s="39" t="s">
        <v>172</v>
      </c>
      <c r="M14" s="40" t="s">
        <v>838</v>
      </c>
      <c r="N14" s="40"/>
      <c r="O14" s="39" t="s">
        <v>830</v>
      </c>
      <c r="P14" s="39" t="s">
        <v>831</v>
      </c>
      <c r="Q14" s="39" t="s">
        <v>117</v>
      </c>
      <c r="R14" s="40"/>
      <c r="S14" s="38" t="str">
        <f>"240,0"</f>
        <v>240,0</v>
      </c>
      <c r="T14" s="39" t="str">
        <f>"210,6000"</f>
        <v>210,6000</v>
      </c>
      <c r="U14" s="38"/>
    </row>
    <row r="16" spans="1:21" ht="15" x14ac:dyDescent="0.2">
      <c r="A16" s="52" t="s">
        <v>421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1" x14ac:dyDescent="0.2">
      <c r="A17" s="56" t="s">
        <v>849</v>
      </c>
      <c r="B17" s="42" t="s">
        <v>850</v>
      </c>
      <c r="C17" s="42" t="s">
        <v>851</v>
      </c>
      <c r="D17" s="42" t="str">
        <f>"0,8213"</f>
        <v>0,8213</v>
      </c>
      <c r="E17" s="56" t="s">
        <v>21</v>
      </c>
      <c r="F17" s="56" t="s">
        <v>22</v>
      </c>
      <c r="G17" s="57" t="s">
        <v>836</v>
      </c>
      <c r="H17" s="42" t="s">
        <v>836</v>
      </c>
      <c r="I17" s="42" t="s">
        <v>117</v>
      </c>
      <c r="J17" s="57"/>
      <c r="K17" s="42" t="s">
        <v>172</v>
      </c>
      <c r="L17" s="42" t="s">
        <v>838</v>
      </c>
      <c r="M17" s="57" t="s">
        <v>807</v>
      </c>
      <c r="N17" s="57"/>
      <c r="O17" s="42" t="s">
        <v>836</v>
      </c>
      <c r="P17" s="42" t="s">
        <v>582</v>
      </c>
      <c r="Q17" s="42" t="s">
        <v>577</v>
      </c>
      <c r="R17" s="57"/>
      <c r="S17" s="56" t="str">
        <f>"265,0"</f>
        <v>265,0</v>
      </c>
      <c r="T17" s="42" t="str">
        <f>"217,6445"</f>
        <v>217,6445</v>
      </c>
      <c r="U17" s="56"/>
    </row>
    <row r="19" spans="1:21" ht="15" x14ac:dyDescent="0.2">
      <c r="A19" s="52" t="s">
        <v>412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</row>
    <row r="20" spans="1:21" x14ac:dyDescent="0.2">
      <c r="A20" s="56" t="s">
        <v>853</v>
      </c>
      <c r="B20" s="42" t="s">
        <v>854</v>
      </c>
      <c r="C20" s="42" t="s">
        <v>855</v>
      </c>
      <c r="D20" s="42" t="str">
        <f>"0,8406"</f>
        <v>0,8406</v>
      </c>
      <c r="E20" s="56" t="s">
        <v>21</v>
      </c>
      <c r="F20" s="56" t="s">
        <v>419</v>
      </c>
      <c r="G20" s="42" t="s">
        <v>836</v>
      </c>
      <c r="H20" s="42" t="s">
        <v>310</v>
      </c>
      <c r="I20" s="42" t="s">
        <v>125</v>
      </c>
      <c r="J20" s="57"/>
      <c r="K20" s="42" t="s">
        <v>807</v>
      </c>
      <c r="L20" s="42" t="s">
        <v>823</v>
      </c>
      <c r="M20" s="42" t="s">
        <v>565</v>
      </c>
      <c r="N20" s="57"/>
      <c r="O20" s="42" t="s">
        <v>311</v>
      </c>
      <c r="P20" s="42" t="s">
        <v>127</v>
      </c>
      <c r="Q20" s="42" t="s">
        <v>189</v>
      </c>
      <c r="R20" s="57"/>
      <c r="S20" s="56" t="str">
        <f>"310,0"</f>
        <v>310,0</v>
      </c>
      <c r="T20" s="42" t="str">
        <f>"260,5860"</f>
        <v>260,5860</v>
      </c>
      <c r="U20" s="56"/>
    </row>
    <row r="22" spans="1:21" ht="15" x14ac:dyDescent="0.2">
      <c r="A22" s="52" t="s">
        <v>421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1:21" x14ac:dyDescent="0.2">
      <c r="A23" s="56" t="s">
        <v>857</v>
      </c>
      <c r="B23" s="42" t="s">
        <v>858</v>
      </c>
      <c r="C23" s="42" t="s">
        <v>859</v>
      </c>
      <c r="D23" s="42" t="str">
        <f>"0,7337"</f>
        <v>0,7337</v>
      </c>
      <c r="E23" s="56" t="s">
        <v>21</v>
      </c>
      <c r="F23" s="56" t="s">
        <v>22</v>
      </c>
      <c r="G23" s="42" t="s">
        <v>420</v>
      </c>
      <c r="H23" s="42" t="s">
        <v>140</v>
      </c>
      <c r="I23" s="57" t="s">
        <v>836</v>
      </c>
      <c r="J23" s="57"/>
      <c r="K23" s="42" t="s">
        <v>823</v>
      </c>
      <c r="L23" s="57" t="s">
        <v>312</v>
      </c>
      <c r="M23" s="57" t="s">
        <v>312</v>
      </c>
      <c r="N23" s="57"/>
      <c r="O23" s="42" t="s">
        <v>125</v>
      </c>
      <c r="P23" s="42" t="s">
        <v>199</v>
      </c>
      <c r="Q23" s="57" t="s">
        <v>189</v>
      </c>
      <c r="R23" s="57"/>
      <c r="S23" s="56" t="str">
        <f>"275,0"</f>
        <v>275,0</v>
      </c>
      <c r="T23" s="42" t="str">
        <f>"387,3936"</f>
        <v>387,3936</v>
      </c>
      <c r="U23" s="56"/>
    </row>
    <row r="25" spans="1:21" ht="15" x14ac:dyDescent="0.2">
      <c r="A25" s="52" t="s">
        <v>16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1" x14ac:dyDescent="0.2">
      <c r="A26" s="35" t="s">
        <v>431</v>
      </c>
      <c r="B26" s="36" t="s">
        <v>432</v>
      </c>
      <c r="C26" s="36" t="s">
        <v>433</v>
      </c>
      <c r="D26" s="36" t="str">
        <f>"0,7164"</f>
        <v>0,7164</v>
      </c>
      <c r="E26" s="35" t="s">
        <v>21</v>
      </c>
      <c r="F26" s="35" t="s">
        <v>434</v>
      </c>
      <c r="G26" s="36" t="s">
        <v>140</v>
      </c>
      <c r="H26" s="36" t="s">
        <v>836</v>
      </c>
      <c r="I26" s="36" t="s">
        <v>117</v>
      </c>
      <c r="J26" s="37"/>
      <c r="K26" s="36" t="s">
        <v>565</v>
      </c>
      <c r="L26" s="36" t="s">
        <v>313</v>
      </c>
      <c r="M26" s="36" t="s">
        <v>420</v>
      </c>
      <c r="N26" s="37"/>
      <c r="O26" s="36" t="s">
        <v>199</v>
      </c>
      <c r="P26" s="36" t="s">
        <v>127</v>
      </c>
      <c r="Q26" s="36" t="s">
        <v>595</v>
      </c>
      <c r="R26" s="37"/>
      <c r="S26" s="35" t="str">
        <f>"312,5"</f>
        <v>312,5</v>
      </c>
      <c r="T26" s="36" t="str">
        <f>"223,8750"</f>
        <v>223,8750</v>
      </c>
      <c r="U26" s="35"/>
    </row>
    <row r="27" spans="1:21" x14ac:dyDescent="0.2">
      <c r="A27" s="54" t="s">
        <v>609</v>
      </c>
      <c r="B27" s="41" t="s">
        <v>610</v>
      </c>
      <c r="C27" s="41" t="s">
        <v>611</v>
      </c>
      <c r="D27" s="41" t="str">
        <f>"0,6680"</f>
        <v>0,6680</v>
      </c>
      <c r="E27" s="54" t="s">
        <v>21</v>
      </c>
      <c r="F27" s="54" t="s">
        <v>612</v>
      </c>
      <c r="G27" s="41" t="s">
        <v>66</v>
      </c>
      <c r="H27" s="41" t="s">
        <v>67</v>
      </c>
      <c r="I27" s="55" t="s">
        <v>51</v>
      </c>
      <c r="J27" s="55"/>
      <c r="K27" s="41" t="s">
        <v>189</v>
      </c>
      <c r="L27" s="41" t="s">
        <v>183</v>
      </c>
      <c r="M27" s="55" t="s">
        <v>190</v>
      </c>
      <c r="N27" s="55"/>
      <c r="O27" s="41" t="s">
        <v>66</v>
      </c>
      <c r="P27" s="41" t="s">
        <v>67</v>
      </c>
      <c r="Q27" s="55" t="s">
        <v>79</v>
      </c>
      <c r="R27" s="55"/>
      <c r="S27" s="54" t="str">
        <f>"580,0"</f>
        <v>580,0</v>
      </c>
      <c r="T27" s="41" t="str">
        <f>"387,4400"</f>
        <v>387,4400</v>
      </c>
      <c r="U27" s="54"/>
    </row>
    <row r="28" spans="1:21" x14ac:dyDescent="0.2">
      <c r="A28" s="54" t="s">
        <v>861</v>
      </c>
      <c r="B28" s="41" t="s">
        <v>862</v>
      </c>
      <c r="C28" s="41" t="s">
        <v>863</v>
      </c>
      <c r="D28" s="41" t="str">
        <f>"0,6851"</f>
        <v>0,6851</v>
      </c>
      <c r="E28" s="54" t="s">
        <v>21</v>
      </c>
      <c r="F28" s="54" t="s">
        <v>22</v>
      </c>
      <c r="G28" s="55" t="s">
        <v>117</v>
      </c>
      <c r="H28" s="41" t="s">
        <v>125</v>
      </c>
      <c r="I28" s="41" t="s">
        <v>199</v>
      </c>
      <c r="J28" s="55"/>
      <c r="K28" s="41" t="s">
        <v>129</v>
      </c>
      <c r="L28" s="41" t="s">
        <v>560</v>
      </c>
      <c r="M28" s="41" t="s">
        <v>830</v>
      </c>
      <c r="N28" s="55"/>
      <c r="O28" s="55" t="s">
        <v>183</v>
      </c>
      <c r="P28" s="41" t="s">
        <v>183</v>
      </c>
      <c r="Q28" s="41" t="s">
        <v>190</v>
      </c>
      <c r="R28" s="55"/>
      <c r="S28" s="54" t="str">
        <f>"362,5"</f>
        <v>362,5</v>
      </c>
      <c r="T28" s="41" t="str">
        <f>"248,3488"</f>
        <v>248,3488</v>
      </c>
      <c r="U28" s="54"/>
    </row>
    <row r="29" spans="1:21" x14ac:dyDescent="0.2">
      <c r="A29" s="54" t="s">
        <v>864</v>
      </c>
      <c r="B29" s="41" t="s">
        <v>865</v>
      </c>
      <c r="C29" s="41" t="s">
        <v>866</v>
      </c>
      <c r="D29" s="41" t="str">
        <f>"0,6989"</f>
        <v>0,6989</v>
      </c>
      <c r="E29" s="54" t="s">
        <v>21</v>
      </c>
      <c r="F29" s="54" t="s">
        <v>161</v>
      </c>
      <c r="G29" s="55" t="s">
        <v>189</v>
      </c>
      <c r="H29" s="55" t="s">
        <v>190</v>
      </c>
      <c r="I29" s="55" t="s">
        <v>190</v>
      </c>
      <c r="J29" s="55"/>
      <c r="K29" s="55" t="s">
        <v>140</v>
      </c>
      <c r="L29" s="55"/>
      <c r="M29" s="55"/>
      <c r="N29" s="55"/>
      <c r="O29" s="55" t="s">
        <v>190</v>
      </c>
      <c r="P29" s="55"/>
      <c r="Q29" s="55"/>
      <c r="R29" s="55"/>
      <c r="S29" s="54" t="str">
        <f>"0.00"</f>
        <v>0.00</v>
      </c>
      <c r="T29" s="41" t="str">
        <f>"0,0000"</f>
        <v>0,0000</v>
      </c>
      <c r="U29" s="54"/>
    </row>
    <row r="30" spans="1:21" x14ac:dyDescent="0.2">
      <c r="A30" s="38" t="s">
        <v>868</v>
      </c>
      <c r="B30" s="39" t="s">
        <v>869</v>
      </c>
      <c r="C30" s="39" t="s">
        <v>870</v>
      </c>
      <c r="D30" s="39" t="str">
        <f>"0,6708"</f>
        <v>0,6708</v>
      </c>
      <c r="E30" s="38" t="s">
        <v>21</v>
      </c>
      <c r="F30" s="38" t="s">
        <v>22</v>
      </c>
      <c r="G30" s="40" t="s">
        <v>205</v>
      </c>
      <c r="H30" s="40" t="s">
        <v>205</v>
      </c>
      <c r="I30" s="39" t="s">
        <v>205</v>
      </c>
      <c r="J30" s="40"/>
      <c r="K30" s="39" t="s">
        <v>140</v>
      </c>
      <c r="L30" s="39" t="s">
        <v>831</v>
      </c>
      <c r="M30" s="39" t="s">
        <v>582</v>
      </c>
      <c r="N30" s="40"/>
      <c r="O30" s="39" t="s">
        <v>220</v>
      </c>
      <c r="P30" s="39" t="s">
        <v>23</v>
      </c>
      <c r="Q30" s="39" t="s">
        <v>24</v>
      </c>
      <c r="R30" s="40"/>
      <c r="S30" s="38" t="str">
        <f>"447,5"</f>
        <v>447,5</v>
      </c>
      <c r="T30" s="39" t="str">
        <f>"305,5863"</f>
        <v>305,5863</v>
      </c>
      <c r="U30" s="38"/>
    </row>
    <row r="32" spans="1:21" ht="15" x14ac:dyDescent="0.2">
      <c r="A32" s="52" t="s">
        <v>29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1" x14ac:dyDescent="0.2">
      <c r="A33" s="35" t="s">
        <v>872</v>
      </c>
      <c r="B33" s="36" t="s">
        <v>873</v>
      </c>
      <c r="C33" s="36" t="s">
        <v>874</v>
      </c>
      <c r="D33" s="36" t="str">
        <f>"0,6193"</f>
        <v>0,6193</v>
      </c>
      <c r="E33" s="35" t="s">
        <v>21</v>
      </c>
      <c r="F33" s="35" t="s">
        <v>22</v>
      </c>
      <c r="G33" s="37" t="s">
        <v>23</v>
      </c>
      <c r="H33" s="36" t="s">
        <v>60</v>
      </c>
      <c r="I33" s="36" t="s">
        <v>67</v>
      </c>
      <c r="J33" s="37"/>
      <c r="K33" s="36" t="s">
        <v>189</v>
      </c>
      <c r="L33" s="37" t="s">
        <v>183</v>
      </c>
      <c r="M33" s="37" t="s">
        <v>183</v>
      </c>
      <c r="N33" s="37"/>
      <c r="O33" s="36" t="s">
        <v>79</v>
      </c>
      <c r="P33" s="37" t="s">
        <v>35</v>
      </c>
      <c r="Q33" s="37" t="s">
        <v>35</v>
      </c>
      <c r="R33" s="37"/>
      <c r="S33" s="35" t="str">
        <f>"580,0"</f>
        <v>580,0</v>
      </c>
      <c r="T33" s="36" t="str">
        <f>"359,1940"</f>
        <v>359,1940</v>
      </c>
      <c r="U33" s="35"/>
    </row>
    <row r="34" spans="1:21" x14ac:dyDescent="0.2">
      <c r="A34" s="54" t="s">
        <v>876</v>
      </c>
      <c r="B34" s="41" t="s">
        <v>877</v>
      </c>
      <c r="C34" s="41" t="s">
        <v>878</v>
      </c>
      <c r="D34" s="41" t="str">
        <f>"0,6329"</f>
        <v>0,6329</v>
      </c>
      <c r="E34" s="54" t="s">
        <v>21</v>
      </c>
      <c r="F34" s="54" t="s">
        <v>22</v>
      </c>
      <c r="G34" s="41" t="s">
        <v>23</v>
      </c>
      <c r="H34" s="41" t="s">
        <v>210</v>
      </c>
      <c r="I34" s="55" t="s">
        <v>24</v>
      </c>
      <c r="J34" s="55"/>
      <c r="K34" s="41" t="s">
        <v>127</v>
      </c>
      <c r="L34" s="41" t="s">
        <v>189</v>
      </c>
      <c r="M34" s="55" t="s">
        <v>182</v>
      </c>
      <c r="N34" s="55"/>
      <c r="O34" s="41" t="s">
        <v>23</v>
      </c>
      <c r="P34" s="41" t="s">
        <v>66</v>
      </c>
      <c r="Q34" s="41" t="s">
        <v>61</v>
      </c>
      <c r="R34" s="55"/>
      <c r="S34" s="54" t="str">
        <f>"525,0"</f>
        <v>525,0</v>
      </c>
      <c r="T34" s="41" t="str">
        <f>"332,2725"</f>
        <v>332,2725</v>
      </c>
      <c r="U34" s="54"/>
    </row>
    <row r="35" spans="1:21" x14ac:dyDescent="0.2">
      <c r="A35" s="38" t="s">
        <v>879</v>
      </c>
      <c r="B35" s="39" t="s">
        <v>659</v>
      </c>
      <c r="C35" s="39" t="s">
        <v>660</v>
      </c>
      <c r="D35" s="39" t="str">
        <f>"0,6570"</f>
        <v>0,6570</v>
      </c>
      <c r="E35" s="38" t="s">
        <v>21</v>
      </c>
      <c r="F35" s="38" t="s">
        <v>22</v>
      </c>
      <c r="G35" s="40" t="s">
        <v>311</v>
      </c>
      <c r="H35" s="40" t="s">
        <v>311</v>
      </c>
      <c r="I35" s="40" t="s">
        <v>311</v>
      </c>
      <c r="J35" s="40"/>
      <c r="K35" s="40" t="s">
        <v>420</v>
      </c>
      <c r="L35" s="40"/>
      <c r="M35" s="40"/>
      <c r="N35" s="40"/>
      <c r="O35" s="40" t="s">
        <v>190</v>
      </c>
      <c r="P35" s="40"/>
      <c r="Q35" s="40"/>
      <c r="R35" s="40"/>
      <c r="S35" s="38" t="str">
        <f>"0.00"</f>
        <v>0.00</v>
      </c>
      <c r="T35" s="39" t="str">
        <f>"0,0000"</f>
        <v>0,0000</v>
      </c>
      <c r="U35" s="38"/>
    </row>
    <row r="37" spans="1:21" ht="15" x14ac:dyDescent="0.2">
      <c r="A37" s="52" t="s">
        <v>46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1" x14ac:dyDescent="0.2">
      <c r="A38" s="35" t="s">
        <v>449</v>
      </c>
      <c r="B38" s="36" t="s">
        <v>450</v>
      </c>
      <c r="C38" s="36" t="s">
        <v>451</v>
      </c>
      <c r="D38" s="36" t="str">
        <f>"0,6122"</f>
        <v>0,6122</v>
      </c>
      <c r="E38" s="35" t="s">
        <v>21</v>
      </c>
      <c r="F38" s="35" t="s">
        <v>434</v>
      </c>
      <c r="G38" s="36" t="s">
        <v>183</v>
      </c>
      <c r="H38" s="36" t="s">
        <v>239</v>
      </c>
      <c r="I38" s="37" t="s">
        <v>190</v>
      </c>
      <c r="J38" s="37"/>
      <c r="K38" s="36" t="s">
        <v>560</v>
      </c>
      <c r="L38" s="36" t="s">
        <v>140</v>
      </c>
      <c r="M38" s="37" t="s">
        <v>836</v>
      </c>
      <c r="N38" s="37"/>
      <c r="O38" s="36" t="s">
        <v>255</v>
      </c>
      <c r="P38" s="36" t="s">
        <v>220</v>
      </c>
      <c r="Q38" s="36" t="s">
        <v>177</v>
      </c>
      <c r="R38" s="37"/>
      <c r="S38" s="35" t="str">
        <f>"407,5"</f>
        <v>407,5</v>
      </c>
      <c r="T38" s="36" t="str">
        <f>"249,4715"</f>
        <v>249,4715</v>
      </c>
      <c r="U38" s="35"/>
    </row>
    <row r="39" spans="1:21" x14ac:dyDescent="0.2">
      <c r="A39" s="54" t="s">
        <v>880</v>
      </c>
      <c r="B39" s="41" t="s">
        <v>669</v>
      </c>
      <c r="C39" s="41" t="s">
        <v>881</v>
      </c>
      <c r="D39" s="41" t="str">
        <f>"0,5889"</f>
        <v>0,5889</v>
      </c>
      <c r="E39" s="54" t="s">
        <v>21</v>
      </c>
      <c r="F39" s="54" t="s">
        <v>22</v>
      </c>
      <c r="G39" s="41" t="s">
        <v>66</v>
      </c>
      <c r="H39" s="55" t="s">
        <v>61</v>
      </c>
      <c r="I39" s="41" t="s">
        <v>61</v>
      </c>
      <c r="J39" s="55"/>
      <c r="K39" s="41" t="s">
        <v>239</v>
      </c>
      <c r="L39" s="41" t="s">
        <v>205</v>
      </c>
      <c r="M39" s="55" t="s">
        <v>256</v>
      </c>
      <c r="N39" s="55"/>
      <c r="O39" s="55" t="s">
        <v>79</v>
      </c>
      <c r="P39" s="41" t="s">
        <v>79</v>
      </c>
      <c r="Q39" s="41" t="s">
        <v>152</v>
      </c>
      <c r="R39" s="55"/>
      <c r="S39" s="54" t="str">
        <f>"600,0"</f>
        <v>600,0</v>
      </c>
      <c r="T39" s="41" t="str">
        <f>"353,3400"</f>
        <v>353,3400</v>
      </c>
      <c r="U39" s="54"/>
    </row>
    <row r="40" spans="1:21" x14ac:dyDescent="0.2">
      <c r="A40" s="38" t="s">
        <v>883</v>
      </c>
      <c r="B40" s="39" t="s">
        <v>884</v>
      </c>
      <c r="C40" s="39" t="s">
        <v>885</v>
      </c>
      <c r="D40" s="39" t="str">
        <f>"0,6162"</f>
        <v>0,6162</v>
      </c>
      <c r="E40" s="38" t="s">
        <v>21</v>
      </c>
      <c r="F40" s="38" t="s">
        <v>22</v>
      </c>
      <c r="G40" s="39" t="s">
        <v>256</v>
      </c>
      <c r="H40" s="40" t="s">
        <v>177</v>
      </c>
      <c r="I40" s="40" t="s">
        <v>345</v>
      </c>
      <c r="J40" s="40"/>
      <c r="K40" s="39" t="s">
        <v>633</v>
      </c>
      <c r="L40" s="39" t="s">
        <v>595</v>
      </c>
      <c r="M40" s="40" t="s">
        <v>182</v>
      </c>
      <c r="N40" s="40"/>
      <c r="O40" s="39" t="s">
        <v>24</v>
      </c>
      <c r="P40" s="39" t="s">
        <v>25</v>
      </c>
      <c r="Q40" s="39" t="s">
        <v>245</v>
      </c>
      <c r="R40" s="40"/>
      <c r="S40" s="38" t="str">
        <f>"505,0"</f>
        <v>505,0</v>
      </c>
      <c r="T40" s="39" t="str">
        <f>"311,1810"</f>
        <v>311,1810</v>
      </c>
      <c r="U40" s="38"/>
    </row>
    <row r="42" spans="1:21" ht="15" x14ac:dyDescent="0.2">
      <c r="A42" s="52" t="s">
        <v>54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1" x14ac:dyDescent="0.2">
      <c r="A43" s="35" t="s">
        <v>475</v>
      </c>
      <c r="B43" s="36" t="s">
        <v>476</v>
      </c>
      <c r="C43" s="36" t="s">
        <v>477</v>
      </c>
      <c r="D43" s="36" t="str">
        <f>"0,5540"</f>
        <v>0,5540</v>
      </c>
      <c r="E43" s="35" t="s">
        <v>21</v>
      </c>
      <c r="F43" s="35" t="s">
        <v>461</v>
      </c>
      <c r="G43" s="36" t="s">
        <v>210</v>
      </c>
      <c r="H43" s="36" t="s">
        <v>66</v>
      </c>
      <c r="I43" s="36" t="s">
        <v>61</v>
      </c>
      <c r="J43" s="37"/>
      <c r="K43" s="36" t="s">
        <v>127</v>
      </c>
      <c r="L43" s="36" t="s">
        <v>189</v>
      </c>
      <c r="M43" s="36" t="s">
        <v>182</v>
      </c>
      <c r="N43" s="36" t="s">
        <v>183</v>
      </c>
      <c r="O43" s="36" t="s">
        <v>210</v>
      </c>
      <c r="P43" s="36" t="s">
        <v>66</v>
      </c>
      <c r="Q43" s="36" t="s">
        <v>478</v>
      </c>
      <c r="R43" s="37"/>
      <c r="S43" s="35" t="str">
        <f>"560,0"</f>
        <v>560,0</v>
      </c>
      <c r="T43" s="36" t="str">
        <f>"310,2400"</f>
        <v>310,2400</v>
      </c>
      <c r="U43" s="35"/>
    </row>
    <row r="44" spans="1:21" x14ac:dyDescent="0.2">
      <c r="A44" s="54" t="s">
        <v>887</v>
      </c>
      <c r="B44" s="41" t="s">
        <v>888</v>
      </c>
      <c r="C44" s="41" t="s">
        <v>889</v>
      </c>
      <c r="D44" s="41" t="str">
        <f>"0,5568"</f>
        <v>0,5568</v>
      </c>
      <c r="E44" s="54" t="s">
        <v>21</v>
      </c>
      <c r="F44" s="54" t="s">
        <v>22</v>
      </c>
      <c r="G44" s="41" t="s">
        <v>255</v>
      </c>
      <c r="H44" s="41" t="s">
        <v>256</v>
      </c>
      <c r="I44" s="41" t="s">
        <v>220</v>
      </c>
      <c r="J44" s="55"/>
      <c r="K44" s="41" t="s">
        <v>199</v>
      </c>
      <c r="L44" s="41" t="s">
        <v>633</v>
      </c>
      <c r="M44" s="41" t="s">
        <v>189</v>
      </c>
      <c r="N44" s="55"/>
      <c r="O44" s="41" t="s">
        <v>210</v>
      </c>
      <c r="P44" s="41" t="s">
        <v>66</v>
      </c>
      <c r="Q44" s="41" t="s">
        <v>61</v>
      </c>
      <c r="R44" s="55"/>
      <c r="S44" s="54" t="str">
        <f>"510,0"</f>
        <v>510,0</v>
      </c>
      <c r="T44" s="41" t="str">
        <f>"283,9680"</f>
        <v>283,9680</v>
      </c>
      <c r="U44" s="54"/>
    </row>
    <row r="45" spans="1:21" x14ac:dyDescent="0.2">
      <c r="A45" s="54" t="s">
        <v>891</v>
      </c>
      <c r="B45" s="41" t="s">
        <v>481</v>
      </c>
      <c r="C45" s="41" t="s">
        <v>892</v>
      </c>
      <c r="D45" s="41" t="str">
        <f>"0,5548"</f>
        <v>0,5548</v>
      </c>
      <c r="E45" s="54" t="s">
        <v>21</v>
      </c>
      <c r="F45" s="54" t="s">
        <v>161</v>
      </c>
      <c r="G45" s="55" t="s">
        <v>24</v>
      </c>
      <c r="H45" s="41" t="s">
        <v>59</v>
      </c>
      <c r="I45" s="41" t="s">
        <v>66</v>
      </c>
      <c r="J45" s="55"/>
      <c r="K45" s="41" t="s">
        <v>190</v>
      </c>
      <c r="L45" s="41" t="s">
        <v>255</v>
      </c>
      <c r="M45" s="55" t="s">
        <v>220</v>
      </c>
      <c r="N45" s="55"/>
      <c r="O45" s="41" t="s">
        <v>66</v>
      </c>
      <c r="P45" s="41" t="s">
        <v>61</v>
      </c>
      <c r="Q45" s="41" t="s">
        <v>67</v>
      </c>
      <c r="R45" s="55"/>
      <c r="S45" s="54" t="str">
        <f>"580,0"</f>
        <v>580,0</v>
      </c>
      <c r="T45" s="41" t="str">
        <f>"321,7840"</f>
        <v>321,7840</v>
      </c>
      <c r="U45" s="54"/>
    </row>
    <row r="46" spans="1:21" x14ac:dyDescent="0.2">
      <c r="A46" s="38" t="s">
        <v>893</v>
      </c>
      <c r="B46" s="39" t="s">
        <v>481</v>
      </c>
      <c r="C46" s="39" t="s">
        <v>482</v>
      </c>
      <c r="D46" s="39" t="str">
        <f>"0,5710"</f>
        <v>0,5710</v>
      </c>
      <c r="E46" s="38" t="s">
        <v>21</v>
      </c>
      <c r="F46" s="38" t="s">
        <v>434</v>
      </c>
      <c r="G46" s="39" t="s">
        <v>23</v>
      </c>
      <c r="H46" s="39" t="s">
        <v>59</v>
      </c>
      <c r="I46" s="40" t="s">
        <v>60</v>
      </c>
      <c r="J46" s="40"/>
      <c r="K46" s="39" t="s">
        <v>311</v>
      </c>
      <c r="L46" s="39" t="s">
        <v>127</v>
      </c>
      <c r="M46" s="39" t="s">
        <v>189</v>
      </c>
      <c r="N46" s="40"/>
      <c r="O46" s="40" t="s">
        <v>67</v>
      </c>
      <c r="P46" s="39" t="s">
        <v>79</v>
      </c>
      <c r="Q46" s="40" t="s">
        <v>51</v>
      </c>
      <c r="R46" s="40"/>
      <c r="S46" s="38" t="str">
        <f>"555,0"</f>
        <v>555,0</v>
      </c>
      <c r="T46" s="39" t="str">
        <f>"316,9050"</f>
        <v>316,9050</v>
      </c>
      <c r="U46" s="38"/>
    </row>
    <row r="48" spans="1:21" ht="15" x14ac:dyDescent="0.2">
      <c r="A48" s="52" t="s">
        <v>68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21" x14ac:dyDescent="0.2">
      <c r="A49" s="35" t="s">
        <v>895</v>
      </c>
      <c r="B49" s="36" t="s">
        <v>896</v>
      </c>
      <c r="C49" s="36" t="s">
        <v>897</v>
      </c>
      <c r="D49" s="36" t="str">
        <f>"0,5515"</f>
        <v>0,5515</v>
      </c>
      <c r="E49" s="35" t="s">
        <v>21</v>
      </c>
      <c r="F49" s="35" t="s">
        <v>169</v>
      </c>
      <c r="G49" s="36" t="s">
        <v>125</v>
      </c>
      <c r="H49" s="36" t="s">
        <v>311</v>
      </c>
      <c r="I49" s="36" t="s">
        <v>199</v>
      </c>
      <c r="J49" s="37"/>
      <c r="K49" s="36" t="s">
        <v>823</v>
      </c>
      <c r="L49" s="36" t="s">
        <v>312</v>
      </c>
      <c r="M49" s="37" t="s">
        <v>313</v>
      </c>
      <c r="N49" s="37"/>
      <c r="O49" s="36" t="s">
        <v>189</v>
      </c>
      <c r="P49" s="36" t="s">
        <v>183</v>
      </c>
      <c r="Q49" s="36" t="s">
        <v>190</v>
      </c>
      <c r="R49" s="37"/>
      <c r="S49" s="35" t="str">
        <f>"342,5"</f>
        <v>342,5</v>
      </c>
      <c r="T49" s="36" t="str">
        <f>"188,8888"</f>
        <v>188,8888</v>
      </c>
      <c r="U49" s="35"/>
    </row>
    <row r="50" spans="1:21" x14ac:dyDescent="0.2">
      <c r="A50" s="38" t="s">
        <v>899</v>
      </c>
      <c r="B50" s="39" t="s">
        <v>900</v>
      </c>
      <c r="C50" s="39" t="s">
        <v>901</v>
      </c>
      <c r="D50" s="39" t="str">
        <f>"0,5416"</f>
        <v>0,5416</v>
      </c>
      <c r="E50" s="38" t="s">
        <v>21</v>
      </c>
      <c r="F50" s="38" t="s">
        <v>22</v>
      </c>
      <c r="G50" s="39" t="s">
        <v>255</v>
      </c>
      <c r="H50" s="40" t="s">
        <v>220</v>
      </c>
      <c r="I50" s="39" t="s">
        <v>220</v>
      </c>
      <c r="J50" s="40"/>
      <c r="K50" s="39" t="s">
        <v>311</v>
      </c>
      <c r="L50" s="39" t="s">
        <v>410</v>
      </c>
      <c r="M50" s="39" t="s">
        <v>199</v>
      </c>
      <c r="N50" s="40"/>
      <c r="O50" s="39" t="s">
        <v>23</v>
      </c>
      <c r="P50" s="39" t="s">
        <v>24</v>
      </c>
      <c r="Q50" s="39" t="s">
        <v>66</v>
      </c>
      <c r="R50" s="40"/>
      <c r="S50" s="38" t="str">
        <f>"490,0"</f>
        <v>490,0</v>
      </c>
      <c r="T50" s="39" t="str">
        <f>"265,3840"</f>
        <v>265,3840</v>
      </c>
      <c r="U50" s="38"/>
    </row>
    <row r="52" spans="1:21" ht="15" x14ac:dyDescent="0.2">
      <c r="E52" s="58" t="s">
        <v>104</v>
      </c>
    </row>
    <row r="53" spans="1:21" ht="15" x14ac:dyDescent="0.2">
      <c r="E53" s="58" t="s">
        <v>105</v>
      </c>
    </row>
    <row r="54" spans="1:21" ht="15" x14ac:dyDescent="0.2">
      <c r="E54" s="58" t="s">
        <v>106</v>
      </c>
    </row>
    <row r="55" spans="1:21" x14ac:dyDescent="0.2">
      <c r="E55" s="4" t="s">
        <v>107</v>
      </c>
    </row>
    <row r="56" spans="1:21" x14ac:dyDescent="0.2">
      <c r="E56" s="4" t="s">
        <v>108</v>
      </c>
    </row>
    <row r="57" spans="1:21" x14ac:dyDescent="0.2">
      <c r="E57" s="4" t="s">
        <v>109</v>
      </c>
    </row>
    <row r="60" spans="1:21" ht="18" x14ac:dyDescent="0.25">
      <c r="A60" s="59" t="s">
        <v>110</v>
      </c>
      <c r="B60" s="60"/>
    </row>
    <row r="61" spans="1:21" ht="15" x14ac:dyDescent="0.2">
      <c r="A61" s="61" t="s">
        <v>257</v>
      </c>
      <c r="B61" s="62"/>
    </row>
    <row r="62" spans="1:21" ht="14.25" x14ac:dyDescent="0.2">
      <c r="A62" s="64"/>
      <c r="B62" s="65" t="s">
        <v>119</v>
      </c>
    </row>
    <row r="63" spans="1:21" ht="15" x14ac:dyDescent="0.2">
      <c r="A63" s="66" t="s">
        <v>0</v>
      </c>
      <c r="B63" s="66" t="s">
        <v>113</v>
      </c>
      <c r="C63" s="66" t="s">
        <v>114</v>
      </c>
      <c r="D63" s="66" t="s">
        <v>115</v>
      </c>
      <c r="E63" s="66" t="s">
        <v>14</v>
      </c>
    </row>
    <row r="64" spans="1:21" x14ac:dyDescent="0.2">
      <c r="A64" s="63" t="s">
        <v>839</v>
      </c>
      <c r="B64" s="5" t="s">
        <v>120</v>
      </c>
      <c r="C64" s="5" t="s">
        <v>807</v>
      </c>
      <c r="D64" s="5" t="s">
        <v>902</v>
      </c>
      <c r="E64" s="67" t="s">
        <v>903</v>
      </c>
    </row>
    <row r="66" spans="1:5" ht="14.25" x14ac:dyDescent="0.2">
      <c r="A66" s="64"/>
      <c r="B66" s="65" t="s">
        <v>123</v>
      </c>
    </row>
    <row r="67" spans="1:5" ht="15" x14ac:dyDescent="0.2">
      <c r="A67" s="66" t="s">
        <v>0</v>
      </c>
      <c r="B67" s="66" t="s">
        <v>113</v>
      </c>
      <c r="C67" s="66" t="s">
        <v>114</v>
      </c>
      <c r="D67" s="66" t="s">
        <v>115</v>
      </c>
      <c r="E67" s="66" t="s">
        <v>14</v>
      </c>
    </row>
    <row r="68" spans="1:5" x14ac:dyDescent="0.2">
      <c r="A68" s="63" t="s">
        <v>819</v>
      </c>
      <c r="B68" s="5" t="s">
        <v>123</v>
      </c>
      <c r="C68" s="5" t="s">
        <v>505</v>
      </c>
      <c r="D68" s="5" t="s">
        <v>321</v>
      </c>
      <c r="E68" s="67" t="s">
        <v>904</v>
      </c>
    </row>
    <row r="69" spans="1:5" x14ac:dyDescent="0.2">
      <c r="A69" s="63" t="s">
        <v>406</v>
      </c>
      <c r="B69" s="5" t="s">
        <v>123</v>
      </c>
      <c r="C69" s="5" t="s">
        <v>505</v>
      </c>
      <c r="D69" s="5" t="s">
        <v>73</v>
      </c>
      <c r="E69" s="67" t="s">
        <v>905</v>
      </c>
    </row>
    <row r="70" spans="1:5" x14ac:dyDescent="0.2">
      <c r="A70" s="63" t="s">
        <v>826</v>
      </c>
      <c r="B70" s="5" t="s">
        <v>123</v>
      </c>
      <c r="C70" s="5" t="s">
        <v>505</v>
      </c>
      <c r="D70" s="5" t="s">
        <v>51</v>
      </c>
      <c r="E70" s="67" t="s">
        <v>906</v>
      </c>
    </row>
    <row r="71" spans="1:5" x14ac:dyDescent="0.2">
      <c r="A71" s="63" t="s">
        <v>848</v>
      </c>
      <c r="B71" s="5" t="s">
        <v>123</v>
      </c>
      <c r="C71" s="5" t="s">
        <v>507</v>
      </c>
      <c r="D71" s="5" t="s">
        <v>53</v>
      </c>
      <c r="E71" s="67" t="s">
        <v>907</v>
      </c>
    </row>
    <row r="72" spans="1:5" x14ac:dyDescent="0.2">
      <c r="A72" s="63" t="s">
        <v>844</v>
      </c>
      <c r="B72" s="5" t="s">
        <v>123</v>
      </c>
      <c r="C72" s="5" t="s">
        <v>807</v>
      </c>
      <c r="D72" s="5" t="s">
        <v>51</v>
      </c>
      <c r="E72" s="67" t="s">
        <v>908</v>
      </c>
    </row>
    <row r="74" spans="1:5" ht="14.25" x14ac:dyDescent="0.2">
      <c r="A74" s="64"/>
      <c r="B74" s="65" t="s">
        <v>133</v>
      </c>
    </row>
    <row r="75" spans="1:5" ht="15" x14ac:dyDescent="0.2">
      <c r="A75" s="66" t="s">
        <v>0</v>
      </c>
      <c r="B75" s="66" t="s">
        <v>113</v>
      </c>
      <c r="C75" s="66" t="s">
        <v>114</v>
      </c>
      <c r="D75" s="66" t="s">
        <v>115</v>
      </c>
      <c r="E75" s="66" t="s">
        <v>14</v>
      </c>
    </row>
    <row r="76" spans="1:5" x14ac:dyDescent="0.2">
      <c r="A76" s="63" t="s">
        <v>832</v>
      </c>
      <c r="B76" s="5" t="s">
        <v>134</v>
      </c>
      <c r="C76" s="5" t="s">
        <v>505</v>
      </c>
      <c r="D76" s="5" t="s">
        <v>37</v>
      </c>
      <c r="E76" s="67" t="s">
        <v>909</v>
      </c>
    </row>
    <row r="79" spans="1:5" ht="15" x14ac:dyDescent="0.2">
      <c r="A79" s="61" t="s">
        <v>111</v>
      </c>
      <c r="B79" s="62"/>
    </row>
    <row r="80" spans="1:5" ht="14.25" x14ac:dyDescent="0.2">
      <c r="A80" s="64"/>
      <c r="B80" s="65" t="s">
        <v>112</v>
      </c>
    </row>
    <row r="81" spans="1:5" ht="15" x14ac:dyDescent="0.2">
      <c r="A81" s="66" t="s">
        <v>0</v>
      </c>
      <c r="B81" s="66" t="s">
        <v>113</v>
      </c>
      <c r="C81" s="66" t="s">
        <v>114</v>
      </c>
      <c r="D81" s="66" t="s">
        <v>115</v>
      </c>
      <c r="E81" s="66" t="s">
        <v>14</v>
      </c>
    </row>
    <row r="82" spans="1:5" x14ac:dyDescent="0.2">
      <c r="A82" s="63" t="s">
        <v>474</v>
      </c>
      <c r="B82" s="5" t="s">
        <v>258</v>
      </c>
      <c r="C82" s="5" t="s">
        <v>117</v>
      </c>
      <c r="D82" s="5" t="s">
        <v>368</v>
      </c>
      <c r="E82" s="67" t="s">
        <v>910</v>
      </c>
    </row>
    <row r="83" spans="1:5" x14ac:dyDescent="0.2">
      <c r="A83" s="63" t="s">
        <v>852</v>
      </c>
      <c r="B83" s="5" t="s">
        <v>116</v>
      </c>
      <c r="C83" s="5" t="s">
        <v>807</v>
      </c>
      <c r="D83" s="5" t="s">
        <v>321</v>
      </c>
      <c r="E83" s="67" t="s">
        <v>911</v>
      </c>
    </row>
    <row r="84" spans="1:5" x14ac:dyDescent="0.2">
      <c r="A84" s="63" t="s">
        <v>448</v>
      </c>
      <c r="B84" s="5" t="s">
        <v>116</v>
      </c>
      <c r="C84" s="5" t="s">
        <v>140</v>
      </c>
      <c r="D84" s="5" t="s">
        <v>912</v>
      </c>
      <c r="E84" s="67" t="s">
        <v>913</v>
      </c>
    </row>
    <row r="85" spans="1:5" x14ac:dyDescent="0.2">
      <c r="A85" s="63" t="s">
        <v>430</v>
      </c>
      <c r="B85" s="5" t="s">
        <v>116</v>
      </c>
      <c r="C85" s="5" t="s">
        <v>129</v>
      </c>
      <c r="D85" s="5" t="s">
        <v>914</v>
      </c>
      <c r="E85" s="67" t="s">
        <v>915</v>
      </c>
    </row>
    <row r="86" spans="1:5" x14ac:dyDescent="0.2">
      <c r="A86" s="63" t="s">
        <v>894</v>
      </c>
      <c r="B86" s="5" t="s">
        <v>116</v>
      </c>
      <c r="C86" s="5" t="s">
        <v>125</v>
      </c>
      <c r="D86" s="5" t="s">
        <v>916</v>
      </c>
      <c r="E86" s="67" t="s">
        <v>917</v>
      </c>
    </row>
    <row r="88" spans="1:5" ht="14.25" x14ac:dyDescent="0.2">
      <c r="A88" s="64"/>
      <c r="B88" s="65" t="s">
        <v>119</v>
      </c>
    </row>
    <row r="89" spans="1:5" ht="15" x14ac:dyDescent="0.2">
      <c r="A89" s="66" t="s">
        <v>0</v>
      </c>
      <c r="B89" s="66" t="s">
        <v>113</v>
      </c>
      <c r="C89" s="66" t="s">
        <v>114</v>
      </c>
      <c r="D89" s="66" t="s">
        <v>115</v>
      </c>
      <c r="E89" s="66" t="s">
        <v>14</v>
      </c>
    </row>
    <row r="90" spans="1:5" x14ac:dyDescent="0.2">
      <c r="A90" s="63" t="s">
        <v>608</v>
      </c>
      <c r="B90" s="5" t="s">
        <v>120</v>
      </c>
      <c r="C90" s="5" t="s">
        <v>129</v>
      </c>
      <c r="D90" s="5" t="s">
        <v>918</v>
      </c>
      <c r="E90" s="67" t="s">
        <v>919</v>
      </c>
    </row>
    <row r="91" spans="1:5" x14ac:dyDescent="0.2">
      <c r="A91" s="63" t="s">
        <v>667</v>
      </c>
      <c r="B91" s="5" t="s">
        <v>120</v>
      </c>
      <c r="C91" s="5" t="s">
        <v>140</v>
      </c>
      <c r="D91" s="5" t="s">
        <v>920</v>
      </c>
      <c r="E91" s="67" t="s">
        <v>921</v>
      </c>
    </row>
    <row r="92" spans="1:5" x14ac:dyDescent="0.2">
      <c r="A92" s="63" t="s">
        <v>882</v>
      </c>
      <c r="B92" s="5" t="s">
        <v>120</v>
      </c>
      <c r="C92" s="5" t="s">
        <v>140</v>
      </c>
      <c r="D92" s="5" t="s">
        <v>374</v>
      </c>
      <c r="E92" s="67" t="s">
        <v>922</v>
      </c>
    </row>
    <row r="93" spans="1:5" x14ac:dyDescent="0.2">
      <c r="A93" s="63" t="s">
        <v>886</v>
      </c>
      <c r="B93" s="5" t="s">
        <v>120</v>
      </c>
      <c r="C93" s="5" t="s">
        <v>117</v>
      </c>
      <c r="D93" s="5" t="s">
        <v>923</v>
      </c>
      <c r="E93" s="67" t="s">
        <v>924</v>
      </c>
    </row>
    <row r="95" spans="1:5" ht="14.25" x14ac:dyDescent="0.2">
      <c r="A95" s="64"/>
      <c r="B95" s="65" t="s">
        <v>123</v>
      </c>
    </row>
    <row r="96" spans="1:5" ht="15" x14ac:dyDescent="0.2">
      <c r="A96" s="66" t="s">
        <v>0</v>
      </c>
      <c r="B96" s="66" t="s">
        <v>113</v>
      </c>
      <c r="C96" s="66" t="s">
        <v>114</v>
      </c>
      <c r="D96" s="66" t="s">
        <v>115</v>
      </c>
      <c r="E96" s="66" t="s">
        <v>14</v>
      </c>
    </row>
    <row r="97" spans="1:5" x14ac:dyDescent="0.2">
      <c r="A97" s="63" t="s">
        <v>871</v>
      </c>
      <c r="B97" s="5" t="s">
        <v>123</v>
      </c>
      <c r="C97" s="5" t="s">
        <v>121</v>
      </c>
      <c r="D97" s="5" t="s">
        <v>918</v>
      </c>
      <c r="E97" s="67" t="s">
        <v>925</v>
      </c>
    </row>
    <row r="98" spans="1:5" x14ac:dyDescent="0.2">
      <c r="A98" s="63" t="s">
        <v>875</v>
      </c>
      <c r="B98" s="5" t="s">
        <v>123</v>
      </c>
      <c r="C98" s="5" t="s">
        <v>121</v>
      </c>
      <c r="D98" s="5" t="s">
        <v>926</v>
      </c>
      <c r="E98" s="67" t="s">
        <v>927</v>
      </c>
    </row>
    <row r="99" spans="1:5" x14ac:dyDescent="0.2">
      <c r="A99" s="63" t="s">
        <v>890</v>
      </c>
      <c r="B99" s="5" t="s">
        <v>123</v>
      </c>
      <c r="C99" s="5" t="s">
        <v>117</v>
      </c>
      <c r="D99" s="5" t="s">
        <v>918</v>
      </c>
      <c r="E99" s="67" t="s">
        <v>928</v>
      </c>
    </row>
    <row r="100" spans="1:5" x14ac:dyDescent="0.2">
      <c r="A100" s="63" t="s">
        <v>479</v>
      </c>
      <c r="B100" s="5" t="s">
        <v>123</v>
      </c>
      <c r="C100" s="5" t="s">
        <v>117</v>
      </c>
      <c r="D100" s="5" t="s">
        <v>929</v>
      </c>
      <c r="E100" s="67" t="s">
        <v>930</v>
      </c>
    </row>
    <row r="101" spans="1:5" x14ac:dyDescent="0.2">
      <c r="A101" s="63" t="s">
        <v>898</v>
      </c>
      <c r="B101" s="5" t="s">
        <v>123</v>
      </c>
      <c r="C101" s="5" t="s">
        <v>125</v>
      </c>
      <c r="D101" s="5" t="s">
        <v>931</v>
      </c>
      <c r="E101" s="67" t="s">
        <v>932</v>
      </c>
    </row>
    <row r="102" spans="1:5" x14ac:dyDescent="0.2">
      <c r="A102" s="63" t="s">
        <v>860</v>
      </c>
      <c r="B102" s="5" t="s">
        <v>123</v>
      </c>
      <c r="C102" s="5" t="s">
        <v>129</v>
      </c>
      <c r="D102" s="5" t="s">
        <v>933</v>
      </c>
      <c r="E102" s="67" t="s">
        <v>934</v>
      </c>
    </row>
    <row r="104" spans="1:5" ht="14.25" x14ac:dyDescent="0.2">
      <c r="A104" s="64"/>
      <c r="B104" s="65" t="s">
        <v>133</v>
      </c>
    </row>
    <row r="105" spans="1:5" ht="15" x14ac:dyDescent="0.2">
      <c r="A105" s="66" t="s">
        <v>0</v>
      </c>
      <c r="B105" s="66" t="s">
        <v>113</v>
      </c>
      <c r="C105" s="66" t="s">
        <v>114</v>
      </c>
      <c r="D105" s="66" t="s">
        <v>115</v>
      </c>
      <c r="E105" s="66" t="s">
        <v>14</v>
      </c>
    </row>
    <row r="106" spans="1:5" x14ac:dyDescent="0.2">
      <c r="A106" s="63" t="s">
        <v>856</v>
      </c>
      <c r="B106" s="5" t="s">
        <v>790</v>
      </c>
      <c r="C106" s="5" t="s">
        <v>507</v>
      </c>
      <c r="D106" s="5" t="s">
        <v>87</v>
      </c>
      <c r="E106" s="67" t="s">
        <v>935</v>
      </c>
    </row>
    <row r="107" spans="1:5" x14ac:dyDescent="0.2">
      <c r="A107" s="63" t="s">
        <v>867</v>
      </c>
      <c r="B107" s="5" t="s">
        <v>142</v>
      </c>
      <c r="C107" s="5" t="s">
        <v>129</v>
      </c>
      <c r="D107" s="5" t="s">
        <v>936</v>
      </c>
      <c r="E107" s="67" t="s">
        <v>937</v>
      </c>
    </row>
  </sheetData>
  <mergeCells count="23">
    <mergeCell ref="A48:T48"/>
    <mergeCell ref="A19:T19"/>
    <mergeCell ref="A22:T22"/>
    <mergeCell ref="A25:T25"/>
    <mergeCell ref="A32:T32"/>
    <mergeCell ref="A37:T37"/>
    <mergeCell ref="A42:T42"/>
    <mergeCell ref="S3:S4"/>
    <mergeCell ref="T3:T4"/>
    <mergeCell ref="U3:U4"/>
    <mergeCell ref="A5:T5"/>
    <mergeCell ref="A12:T12"/>
    <mergeCell ref="A16:T16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814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58" t="s">
        <v>104</v>
      </c>
      <c r="F6" s="4"/>
      <c r="K6" s="4"/>
      <c r="M6" s="4"/>
    </row>
    <row r="7" spans="1:13" s="5" customFormat="1" ht="15" x14ac:dyDescent="0.2">
      <c r="A7" s="4"/>
      <c r="E7" s="58" t="s">
        <v>105</v>
      </c>
      <c r="F7" s="4"/>
      <c r="K7" s="4"/>
      <c r="M7" s="4"/>
    </row>
    <row r="8" spans="1:13" ht="15" x14ac:dyDescent="0.2">
      <c r="E8" s="58" t="s">
        <v>106</v>
      </c>
    </row>
    <row r="9" spans="1:13" x14ac:dyDescent="0.2">
      <c r="E9" s="4" t="s">
        <v>107</v>
      </c>
    </row>
    <row r="10" spans="1:13" x14ac:dyDescent="0.2">
      <c r="E10" s="4" t="s">
        <v>108</v>
      </c>
    </row>
    <row r="11" spans="1:13" x14ac:dyDescent="0.2">
      <c r="E11" s="4" t="s">
        <v>109</v>
      </c>
    </row>
    <row r="14" spans="1:13" ht="18" x14ac:dyDescent="0.25">
      <c r="A14" s="59" t="s">
        <v>110</v>
      </c>
      <c r="B14" s="60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7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806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530</v>
      </c>
      <c r="B6" s="42" t="s">
        <v>531</v>
      </c>
      <c r="C6" s="42" t="s">
        <v>532</v>
      </c>
      <c r="D6" s="42" t="str">
        <f>"0,7650"</f>
        <v>0,7650</v>
      </c>
      <c r="E6" s="56" t="s">
        <v>21</v>
      </c>
      <c r="F6" s="56" t="s">
        <v>22</v>
      </c>
      <c r="G6" s="42" t="s">
        <v>171</v>
      </c>
      <c r="H6" s="57" t="s">
        <v>807</v>
      </c>
      <c r="I6" s="57" t="s">
        <v>807</v>
      </c>
      <c r="J6" s="57"/>
      <c r="K6" s="56" t="str">
        <f>"50,0"</f>
        <v>50,0</v>
      </c>
      <c r="L6" s="42" t="str">
        <f>"38,2500"</f>
        <v>38,2500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2" t="s">
        <v>29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x14ac:dyDescent="0.2">
      <c r="A9" s="56" t="s">
        <v>809</v>
      </c>
      <c r="B9" s="42" t="s">
        <v>810</v>
      </c>
      <c r="C9" s="42" t="s">
        <v>811</v>
      </c>
      <c r="D9" s="42" t="str">
        <f>"0,6352"</f>
        <v>0,6352</v>
      </c>
      <c r="E9" s="56" t="s">
        <v>21</v>
      </c>
      <c r="F9" s="56" t="s">
        <v>22</v>
      </c>
      <c r="G9" s="42" t="s">
        <v>183</v>
      </c>
      <c r="H9" s="42" t="s">
        <v>190</v>
      </c>
      <c r="I9" s="57" t="s">
        <v>205</v>
      </c>
      <c r="J9" s="57"/>
      <c r="K9" s="56" t="str">
        <f>"150,0"</f>
        <v>150,0</v>
      </c>
      <c r="L9" s="42" t="str">
        <f>"95,2800"</f>
        <v>95,2800</v>
      </c>
      <c r="M9" s="56"/>
    </row>
    <row r="11" spans="1:13" ht="15" x14ac:dyDescent="0.2">
      <c r="E11" s="58" t="s">
        <v>104</v>
      </c>
    </row>
    <row r="12" spans="1:13" ht="15" x14ac:dyDescent="0.2">
      <c r="E12" s="58" t="s">
        <v>105</v>
      </c>
    </row>
    <row r="13" spans="1:13" ht="15" x14ac:dyDescent="0.2">
      <c r="E13" s="58" t="s">
        <v>106</v>
      </c>
    </row>
    <row r="14" spans="1:13" x14ac:dyDescent="0.2">
      <c r="E14" s="4" t="s">
        <v>107</v>
      </c>
    </row>
    <row r="15" spans="1:13" x14ac:dyDescent="0.2">
      <c r="E15" s="4" t="s">
        <v>108</v>
      </c>
    </row>
    <row r="16" spans="1:13" x14ac:dyDescent="0.2">
      <c r="E16" s="4" t="s">
        <v>109</v>
      </c>
    </row>
    <row r="19" spans="1:5" ht="18" x14ac:dyDescent="0.25">
      <c r="A19" s="59" t="s">
        <v>110</v>
      </c>
      <c r="B19" s="60"/>
    </row>
    <row r="20" spans="1:5" ht="15" x14ac:dyDescent="0.2">
      <c r="A20" s="61" t="s">
        <v>257</v>
      </c>
      <c r="B20" s="62"/>
    </row>
    <row r="21" spans="1:5" ht="14.25" x14ac:dyDescent="0.2">
      <c r="A21" s="64"/>
      <c r="B21" s="65" t="s">
        <v>123</v>
      </c>
    </row>
    <row r="22" spans="1:5" ht="15" x14ac:dyDescent="0.2">
      <c r="A22" s="66" t="s">
        <v>0</v>
      </c>
      <c r="B22" s="66" t="s">
        <v>113</v>
      </c>
      <c r="C22" s="66" t="s">
        <v>114</v>
      </c>
      <c r="D22" s="66" t="s">
        <v>115</v>
      </c>
      <c r="E22" s="66" t="s">
        <v>14</v>
      </c>
    </row>
    <row r="23" spans="1:5" x14ac:dyDescent="0.2">
      <c r="A23" s="63" t="s">
        <v>529</v>
      </c>
      <c r="B23" s="5" t="s">
        <v>123</v>
      </c>
      <c r="C23" s="5" t="s">
        <v>129</v>
      </c>
      <c r="D23" s="5" t="s">
        <v>171</v>
      </c>
      <c r="E23" s="67" t="s">
        <v>812</v>
      </c>
    </row>
    <row r="26" spans="1:5" ht="15" x14ac:dyDescent="0.2">
      <c r="A26" s="61" t="s">
        <v>111</v>
      </c>
      <c r="B26" s="62"/>
    </row>
    <row r="27" spans="1:5" ht="14.25" x14ac:dyDescent="0.2">
      <c r="A27" s="64"/>
      <c r="B27" s="65" t="s">
        <v>123</v>
      </c>
    </row>
    <row r="28" spans="1:5" ht="15" x14ac:dyDescent="0.2">
      <c r="A28" s="66" t="s">
        <v>0</v>
      </c>
      <c r="B28" s="66" t="s">
        <v>113</v>
      </c>
      <c r="C28" s="66" t="s">
        <v>114</v>
      </c>
      <c r="D28" s="66" t="s">
        <v>115</v>
      </c>
      <c r="E28" s="66" t="s">
        <v>14</v>
      </c>
    </row>
    <row r="29" spans="1:5" x14ac:dyDescent="0.2">
      <c r="A29" s="63" t="s">
        <v>808</v>
      </c>
      <c r="B29" s="5" t="s">
        <v>123</v>
      </c>
      <c r="C29" s="5" t="s">
        <v>121</v>
      </c>
      <c r="D29" s="5" t="s">
        <v>190</v>
      </c>
      <c r="E29" s="67" t="s">
        <v>813</v>
      </c>
    </row>
  </sheetData>
  <mergeCells count="13">
    <mergeCell ref="K3:K4"/>
    <mergeCell ref="L3:L4"/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26.8554687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38.8554687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12.7109375" style="4" bestFit="1" customWidth="1"/>
    <col min="14" max="16384" width="9.140625" style="3"/>
  </cols>
  <sheetData>
    <row r="1" spans="1:13" s="2" customFormat="1" ht="29.1" customHeight="1" x14ac:dyDescent="0.2">
      <c r="A1" s="43" t="s">
        <v>545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4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156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547</v>
      </c>
      <c r="B6" s="42" t="s">
        <v>548</v>
      </c>
      <c r="C6" s="42" t="s">
        <v>549</v>
      </c>
      <c r="D6" s="42" t="str">
        <f>"1,1261"</f>
        <v>1,1261</v>
      </c>
      <c r="E6" s="56" t="s">
        <v>21</v>
      </c>
      <c r="F6" s="56" t="s">
        <v>250</v>
      </c>
      <c r="G6" s="42" t="s">
        <v>550</v>
      </c>
      <c r="H6" s="57" t="s">
        <v>551</v>
      </c>
      <c r="I6" s="57" t="s">
        <v>551</v>
      </c>
      <c r="J6" s="57"/>
      <c r="K6" s="56" t="str">
        <f>"40,0"</f>
        <v>40,0</v>
      </c>
      <c r="L6" s="42" t="str">
        <f>"45,0440"</f>
        <v>45,0440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2" t="s">
        <v>405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x14ac:dyDescent="0.2">
      <c r="A9" s="56" t="s">
        <v>553</v>
      </c>
      <c r="B9" s="42" t="s">
        <v>554</v>
      </c>
      <c r="C9" s="42" t="s">
        <v>555</v>
      </c>
      <c r="D9" s="42" t="str">
        <f>"0,9333"</f>
        <v>0,9333</v>
      </c>
      <c r="E9" s="56" t="s">
        <v>21</v>
      </c>
      <c r="F9" s="56" t="s">
        <v>22</v>
      </c>
      <c r="G9" s="42" t="s">
        <v>171</v>
      </c>
      <c r="H9" s="57" t="s">
        <v>172</v>
      </c>
      <c r="I9" s="57" t="s">
        <v>172</v>
      </c>
      <c r="J9" s="57"/>
      <c r="K9" s="56" t="str">
        <f>"50,0"</f>
        <v>50,0</v>
      </c>
      <c r="L9" s="42" t="str">
        <f>"46,6650"</f>
        <v>46,6650</v>
      </c>
      <c r="M9" s="56"/>
    </row>
    <row r="11" spans="1:13" ht="15" x14ac:dyDescent="0.2">
      <c r="A11" s="52" t="s">
        <v>412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 x14ac:dyDescent="0.2">
      <c r="A12" s="56" t="s">
        <v>413</v>
      </c>
      <c r="B12" s="42" t="s">
        <v>414</v>
      </c>
      <c r="C12" s="42" t="s">
        <v>415</v>
      </c>
      <c r="D12" s="42" t="str">
        <f>"0,9019"</f>
        <v>0,9019</v>
      </c>
      <c r="E12" s="56" t="s">
        <v>21</v>
      </c>
      <c r="F12" s="56" t="s">
        <v>22</v>
      </c>
      <c r="G12" s="57" t="s">
        <v>403</v>
      </c>
      <c r="H12" s="57"/>
      <c r="I12" s="57"/>
      <c r="J12" s="57"/>
      <c r="K12" s="56" t="str">
        <f>"0.00"</f>
        <v>0.00</v>
      </c>
      <c r="L12" s="42" t="str">
        <f>"0,0000"</f>
        <v>0,0000</v>
      </c>
      <c r="M12" s="56"/>
    </row>
    <row r="14" spans="1:13" ht="15" x14ac:dyDescent="0.2">
      <c r="A14" s="52" t="s">
        <v>421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 x14ac:dyDescent="0.2">
      <c r="A15" s="56" t="s">
        <v>557</v>
      </c>
      <c r="B15" s="42" t="s">
        <v>558</v>
      </c>
      <c r="C15" s="42" t="s">
        <v>559</v>
      </c>
      <c r="D15" s="42" t="str">
        <f>"0,8021"</f>
        <v>0,8021</v>
      </c>
      <c r="E15" s="56" t="s">
        <v>21</v>
      </c>
      <c r="F15" s="56" t="s">
        <v>22</v>
      </c>
      <c r="G15" s="42" t="s">
        <v>420</v>
      </c>
      <c r="H15" s="57" t="s">
        <v>560</v>
      </c>
      <c r="I15" s="57"/>
      <c r="J15" s="57"/>
      <c r="K15" s="56" t="str">
        <f>"80,0"</f>
        <v>80,0</v>
      </c>
      <c r="L15" s="42" t="str">
        <f>"64,1680"</f>
        <v>64,1680</v>
      </c>
      <c r="M15" s="56"/>
    </row>
    <row r="17" spans="1:13" ht="15" x14ac:dyDescent="0.2">
      <c r="A17" s="52" t="s">
        <v>16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3" x14ac:dyDescent="0.2">
      <c r="A18" s="56" t="s">
        <v>562</v>
      </c>
      <c r="B18" s="42" t="s">
        <v>563</v>
      </c>
      <c r="C18" s="42" t="s">
        <v>564</v>
      </c>
      <c r="D18" s="42" t="str">
        <f>"0,7293"</f>
        <v>0,7293</v>
      </c>
      <c r="E18" s="56" t="s">
        <v>21</v>
      </c>
      <c r="F18" s="56" t="s">
        <v>22</v>
      </c>
      <c r="G18" s="42" t="s">
        <v>565</v>
      </c>
      <c r="H18" s="42" t="s">
        <v>312</v>
      </c>
      <c r="I18" s="42" t="s">
        <v>129</v>
      </c>
      <c r="J18" s="57"/>
      <c r="K18" s="56" t="str">
        <f>"75,0"</f>
        <v>75,0</v>
      </c>
      <c r="L18" s="42" t="str">
        <f>"54,6975"</f>
        <v>54,6975</v>
      </c>
      <c r="M18" s="56"/>
    </row>
    <row r="20" spans="1:13" ht="15" x14ac:dyDescent="0.2">
      <c r="A20" s="52" t="s">
        <v>156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3" x14ac:dyDescent="0.2">
      <c r="A21" s="56" t="s">
        <v>567</v>
      </c>
      <c r="B21" s="42" t="s">
        <v>568</v>
      </c>
      <c r="C21" s="42" t="s">
        <v>569</v>
      </c>
      <c r="D21" s="42" t="str">
        <f>"1,3133"</f>
        <v>1,3133</v>
      </c>
      <c r="E21" s="56" t="s">
        <v>21</v>
      </c>
      <c r="F21" s="56" t="s">
        <v>22</v>
      </c>
      <c r="G21" s="42" t="s">
        <v>162</v>
      </c>
      <c r="H21" s="42" t="s">
        <v>164</v>
      </c>
      <c r="I21" s="42" t="s">
        <v>570</v>
      </c>
      <c r="J21" s="57"/>
      <c r="K21" s="56" t="str">
        <f>"27,5"</f>
        <v>27,5</v>
      </c>
      <c r="L21" s="42" t="str">
        <f>"36,1158"</f>
        <v>36,1158</v>
      </c>
      <c r="M21" s="56"/>
    </row>
    <row r="23" spans="1:13" ht="15" x14ac:dyDescent="0.2">
      <c r="A23" s="52" t="s">
        <v>405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3" x14ac:dyDescent="0.2">
      <c r="A24" s="56" t="s">
        <v>417</v>
      </c>
      <c r="B24" s="42" t="s">
        <v>418</v>
      </c>
      <c r="C24" s="42" t="s">
        <v>409</v>
      </c>
      <c r="D24" s="42" t="str">
        <f>"0,8748"</f>
        <v>0,8748</v>
      </c>
      <c r="E24" s="56" t="s">
        <v>21</v>
      </c>
      <c r="F24" s="56" t="s">
        <v>419</v>
      </c>
      <c r="G24" s="42" t="s">
        <v>571</v>
      </c>
      <c r="H24" s="42" t="s">
        <v>507</v>
      </c>
      <c r="I24" s="42" t="s">
        <v>312</v>
      </c>
      <c r="J24" s="57"/>
      <c r="K24" s="56" t="str">
        <f>"72,5"</f>
        <v>72,5</v>
      </c>
      <c r="L24" s="42" t="str">
        <f>"63,4230"</f>
        <v>63,4230</v>
      </c>
      <c r="M24" s="56"/>
    </row>
    <row r="26" spans="1:13" ht="15" x14ac:dyDescent="0.2">
      <c r="A26" s="52" t="s">
        <v>421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3" x14ac:dyDescent="0.2">
      <c r="A27" s="35" t="s">
        <v>573</v>
      </c>
      <c r="B27" s="36" t="s">
        <v>574</v>
      </c>
      <c r="C27" s="36" t="s">
        <v>575</v>
      </c>
      <c r="D27" s="36" t="str">
        <f>"0,7535"</f>
        <v>0,7535</v>
      </c>
      <c r="E27" s="35" t="s">
        <v>21</v>
      </c>
      <c r="F27" s="35" t="s">
        <v>576</v>
      </c>
      <c r="G27" s="36" t="s">
        <v>577</v>
      </c>
      <c r="H27" s="36" t="s">
        <v>125</v>
      </c>
      <c r="I27" s="36" t="s">
        <v>578</v>
      </c>
      <c r="J27" s="37"/>
      <c r="K27" s="35" t="str">
        <f>"112,5"</f>
        <v>112,5</v>
      </c>
      <c r="L27" s="36" t="str">
        <f>"84,7687"</f>
        <v>84,7687</v>
      </c>
      <c r="M27" s="35"/>
    </row>
    <row r="28" spans="1:13" x14ac:dyDescent="0.2">
      <c r="A28" s="54" t="s">
        <v>580</v>
      </c>
      <c r="B28" s="41" t="s">
        <v>581</v>
      </c>
      <c r="C28" s="41" t="s">
        <v>425</v>
      </c>
      <c r="D28" s="41" t="str">
        <f>"0,7387"</f>
        <v>0,7387</v>
      </c>
      <c r="E28" s="54" t="s">
        <v>21</v>
      </c>
      <c r="F28" s="54" t="s">
        <v>250</v>
      </c>
      <c r="G28" s="41" t="s">
        <v>582</v>
      </c>
      <c r="H28" s="41" t="s">
        <v>577</v>
      </c>
      <c r="I28" s="41" t="s">
        <v>125</v>
      </c>
      <c r="J28" s="55"/>
      <c r="K28" s="54" t="str">
        <f>"110,0"</f>
        <v>110,0</v>
      </c>
      <c r="L28" s="41" t="str">
        <f>"81,2570"</f>
        <v>81,2570</v>
      </c>
      <c r="M28" s="54"/>
    </row>
    <row r="29" spans="1:13" x14ac:dyDescent="0.2">
      <c r="A29" s="54" t="s">
        <v>584</v>
      </c>
      <c r="B29" s="41" t="s">
        <v>585</v>
      </c>
      <c r="C29" s="41" t="s">
        <v>586</v>
      </c>
      <c r="D29" s="41" t="str">
        <f>"0,7625"</f>
        <v>0,7625</v>
      </c>
      <c r="E29" s="54" t="s">
        <v>21</v>
      </c>
      <c r="F29" s="54" t="s">
        <v>419</v>
      </c>
      <c r="G29" s="41" t="s">
        <v>582</v>
      </c>
      <c r="H29" s="41" t="s">
        <v>310</v>
      </c>
      <c r="I29" s="41" t="s">
        <v>577</v>
      </c>
      <c r="J29" s="55"/>
      <c r="K29" s="54" t="str">
        <f>"107,5"</f>
        <v>107,5</v>
      </c>
      <c r="L29" s="41" t="str">
        <f>"81,9687"</f>
        <v>81,9687</v>
      </c>
      <c r="M29" s="54"/>
    </row>
    <row r="30" spans="1:13" x14ac:dyDescent="0.2">
      <c r="A30" s="54" t="s">
        <v>588</v>
      </c>
      <c r="B30" s="41" t="s">
        <v>589</v>
      </c>
      <c r="C30" s="41" t="s">
        <v>590</v>
      </c>
      <c r="D30" s="41" t="str">
        <f>"0,7802"</f>
        <v>0,7802</v>
      </c>
      <c r="E30" s="54" t="s">
        <v>21</v>
      </c>
      <c r="F30" s="54" t="s">
        <v>22</v>
      </c>
      <c r="G30" s="41" t="s">
        <v>127</v>
      </c>
      <c r="H30" s="41" t="s">
        <v>189</v>
      </c>
      <c r="I30" s="55"/>
      <c r="J30" s="55"/>
      <c r="K30" s="54" t="str">
        <f>"130,0"</f>
        <v>130,0</v>
      </c>
      <c r="L30" s="41" t="str">
        <f>"101,4260"</f>
        <v>101,4260</v>
      </c>
      <c r="M30" s="54"/>
    </row>
    <row r="31" spans="1:13" x14ac:dyDescent="0.2">
      <c r="A31" s="54" t="s">
        <v>592</v>
      </c>
      <c r="B31" s="41" t="s">
        <v>593</v>
      </c>
      <c r="C31" s="41" t="s">
        <v>594</v>
      </c>
      <c r="D31" s="41" t="str">
        <f>"0,7398"</f>
        <v>0,7398</v>
      </c>
      <c r="E31" s="54" t="s">
        <v>21</v>
      </c>
      <c r="F31" s="54" t="s">
        <v>22</v>
      </c>
      <c r="G31" s="41" t="s">
        <v>595</v>
      </c>
      <c r="H31" s="41" t="s">
        <v>596</v>
      </c>
      <c r="I31" s="41" t="s">
        <v>215</v>
      </c>
      <c r="J31" s="55"/>
      <c r="K31" s="54" t="str">
        <f>"142,5"</f>
        <v>142,5</v>
      </c>
      <c r="L31" s="41" t="str">
        <f>"105,4215"</f>
        <v>105,4215</v>
      </c>
      <c r="M31" s="54"/>
    </row>
    <row r="32" spans="1:13" x14ac:dyDescent="0.2">
      <c r="A32" s="54" t="s">
        <v>598</v>
      </c>
      <c r="B32" s="41" t="s">
        <v>599</v>
      </c>
      <c r="C32" s="41" t="s">
        <v>425</v>
      </c>
      <c r="D32" s="41" t="str">
        <f>"0,7387"</f>
        <v>0,7387</v>
      </c>
      <c r="E32" s="54" t="s">
        <v>21</v>
      </c>
      <c r="F32" s="54" t="s">
        <v>169</v>
      </c>
      <c r="G32" s="41" t="s">
        <v>582</v>
      </c>
      <c r="H32" s="41" t="s">
        <v>577</v>
      </c>
      <c r="I32" s="55" t="s">
        <v>125</v>
      </c>
      <c r="J32" s="55"/>
      <c r="K32" s="54" t="str">
        <f>"107,5"</f>
        <v>107,5</v>
      </c>
      <c r="L32" s="41" t="str">
        <f>"79,4102"</f>
        <v>79,4102</v>
      </c>
      <c r="M32" s="54"/>
    </row>
    <row r="33" spans="1:13" x14ac:dyDescent="0.2">
      <c r="A33" s="54" t="s">
        <v>427</v>
      </c>
      <c r="B33" s="41" t="s">
        <v>428</v>
      </c>
      <c r="C33" s="41" t="s">
        <v>429</v>
      </c>
      <c r="D33" s="41" t="str">
        <f>"0,7580"</f>
        <v>0,7580</v>
      </c>
      <c r="E33" s="54" t="s">
        <v>21</v>
      </c>
      <c r="F33" s="54" t="s">
        <v>161</v>
      </c>
      <c r="G33" s="41" t="s">
        <v>565</v>
      </c>
      <c r="H33" s="41" t="s">
        <v>129</v>
      </c>
      <c r="I33" s="55" t="s">
        <v>313</v>
      </c>
      <c r="J33" s="55"/>
      <c r="K33" s="54" t="str">
        <f>"75,0"</f>
        <v>75,0</v>
      </c>
      <c r="L33" s="41" t="str">
        <f>"70,4372"</f>
        <v>70,4372</v>
      </c>
      <c r="M33" s="54"/>
    </row>
    <row r="34" spans="1:13" x14ac:dyDescent="0.2">
      <c r="A34" s="38" t="s">
        <v>601</v>
      </c>
      <c r="B34" s="39" t="s">
        <v>602</v>
      </c>
      <c r="C34" s="39" t="s">
        <v>603</v>
      </c>
      <c r="D34" s="39" t="str">
        <f>"0,7258"</f>
        <v>0,7258</v>
      </c>
      <c r="E34" s="38" t="s">
        <v>21</v>
      </c>
      <c r="F34" s="38" t="s">
        <v>250</v>
      </c>
      <c r="G34" s="39" t="s">
        <v>199</v>
      </c>
      <c r="H34" s="40" t="s">
        <v>127</v>
      </c>
      <c r="I34" s="39" t="s">
        <v>127</v>
      </c>
      <c r="J34" s="40"/>
      <c r="K34" s="38" t="str">
        <f>"125,0"</f>
        <v>125,0</v>
      </c>
      <c r="L34" s="39" t="str">
        <f>"129,7367"</f>
        <v>129,7367</v>
      </c>
      <c r="M34" s="38"/>
    </row>
    <row r="36" spans="1:13" ht="15" x14ac:dyDescent="0.2">
      <c r="A36" s="52" t="s">
        <v>16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3" x14ac:dyDescent="0.2">
      <c r="A37" s="35" t="s">
        <v>605</v>
      </c>
      <c r="B37" s="36" t="s">
        <v>606</v>
      </c>
      <c r="C37" s="36" t="s">
        <v>607</v>
      </c>
      <c r="D37" s="36" t="str">
        <f>"0,6812"</f>
        <v>0,6812</v>
      </c>
      <c r="E37" s="35" t="s">
        <v>21</v>
      </c>
      <c r="F37" s="35" t="s">
        <v>419</v>
      </c>
      <c r="G37" s="36" t="s">
        <v>310</v>
      </c>
      <c r="H37" s="36" t="s">
        <v>125</v>
      </c>
      <c r="I37" s="37" t="s">
        <v>578</v>
      </c>
      <c r="J37" s="37"/>
      <c r="K37" s="35" t="str">
        <f>"110,0"</f>
        <v>110,0</v>
      </c>
      <c r="L37" s="36" t="str">
        <f>"74,9320"</f>
        <v>74,9320</v>
      </c>
      <c r="M37" s="35"/>
    </row>
    <row r="38" spans="1:13" x14ac:dyDescent="0.2">
      <c r="A38" s="54" t="s">
        <v>609</v>
      </c>
      <c r="B38" s="41" t="s">
        <v>610</v>
      </c>
      <c r="C38" s="41" t="s">
        <v>611</v>
      </c>
      <c r="D38" s="41" t="str">
        <f>"0,6680"</f>
        <v>0,6680</v>
      </c>
      <c r="E38" s="54" t="s">
        <v>21</v>
      </c>
      <c r="F38" s="54" t="s">
        <v>612</v>
      </c>
      <c r="G38" s="41" t="s">
        <v>189</v>
      </c>
      <c r="H38" s="41" t="s">
        <v>183</v>
      </c>
      <c r="I38" s="55" t="s">
        <v>190</v>
      </c>
      <c r="J38" s="55"/>
      <c r="K38" s="54" t="str">
        <f>"140,0"</f>
        <v>140,0</v>
      </c>
      <c r="L38" s="41" t="str">
        <f>"93,5200"</f>
        <v>93,5200</v>
      </c>
      <c r="M38" s="54"/>
    </row>
    <row r="39" spans="1:13" x14ac:dyDescent="0.2">
      <c r="A39" s="54" t="s">
        <v>614</v>
      </c>
      <c r="B39" s="41" t="s">
        <v>615</v>
      </c>
      <c r="C39" s="41" t="s">
        <v>616</v>
      </c>
      <c r="D39" s="41" t="str">
        <f>"0,6737"</f>
        <v>0,6737</v>
      </c>
      <c r="E39" s="54" t="s">
        <v>21</v>
      </c>
      <c r="F39" s="54" t="s">
        <v>22</v>
      </c>
      <c r="G39" s="41" t="s">
        <v>189</v>
      </c>
      <c r="H39" s="41" t="s">
        <v>182</v>
      </c>
      <c r="I39" s="55" t="s">
        <v>596</v>
      </c>
      <c r="J39" s="55"/>
      <c r="K39" s="54" t="str">
        <f>"135,0"</f>
        <v>135,0</v>
      </c>
      <c r="L39" s="41" t="str">
        <f>"90,9495"</f>
        <v>90,9495</v>
      </c>
      <c r="M39" s="54"/>
    </row>
    <row r="40" spans="1:13" x14ac:dyDescent="0.2">
      <c r="A40" s="38" t="s">
        <v>617</v>
      </c>
      <c r="B40" s="39" t="s">
        <v>618</v>
      </c>
      <c r="C40" s="39" t="s">
        <v>619</v>
      </c>
      <c r="D40" s="39" t="str">
        <f>"0,6820"</f>
        <v>0,6820</v>
      </c>
      <c r="E40" s="38" t="s">
        <v>21</v>
      </c>
      <c r="F40" s="38" t="s">
        <v>22</v>
      </c>
      <c r="G40" s="40" t="s">
        <v>410</v>
      </c>
      <c r="H40" s="40" t="s">
        <v>410</v>
      </c>
      <c r="I40" s="40" t="s">
        <v>410</v>
      </c>
      <c r="J40" s="40"/>
      <c r="K40" s="38" t="str">
        <f>"0.00"</f>
        <v>0.00</v>
      </c>
      <c r="L40" s="39" t="str">
        <f>"0,0000"</f>
        <v>0,0000</v>
      </c>
      <c r="M40" s="38"/>
    </row>
    <row r="42" spans="1:13" ht="15" x14ac:dyDescent="0.2">
      <c r="A42" s="52" t="s">
        <v>29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">
      <c r="A43" s="35" t="s">
        <v>621</v>
      </c>
      <c r="B43" s="36" t="s">
        <v>622</v>
      </c>
      <c r="C43" s="36" t="s">
        <v>623</v>
      </c>
      <c r="D43" s="36" t="str">
        <f>"0,6324"</f>
        <v>0,6324</v>
      </c>
      <c r="E43" s="35" t="s">
        <v>21</v>
      </c>
      <c r="F43" s="35" t="s">
        <v>22</v>
      </c>
      <c r="G43" s="36" t="s">
        <v>255</v>
      </c>
      <c r="H43" s="36" t="s">
        <v>220</v>
      </c>
      <c r="I43" s="36" t="s">
        <v>23</v>
      </c>
      <c r="J43" s="37"/>
      <c r="K43" s="35" t="str">
        <f>"180,0"</f>
        <v>180,0</v>
      </c>
      <c r="L43" s="36" t="str">
        <f>"113,8320"</f>
        <v>113,8320</v>
      </c>
      <c r="M43" s="35" t="s">
        <v>624</v>
      </c>
    </row>
    <row r="44" spans="1:13" x14ac:dyDescent="0.2">
      <c r="A44" s="54" t="s">
        <v>626</v>
      </c>
      <c r="B44" s="41" t="s">
        <v>627</v>
      </c>
      <c r="C44" s="41" t="s">
        <v>628</v>
      </c>
      <c r="D44" s="41" t="str">
        <f>"0,6209"</f>
        <v>0,6209</v>
      </c>
      <c r="E44" s="54" t="s">
        <v>21</v>
      </c>
      <c r="F44" s="54" t="s">
        <v>22</v>
      </c>
      <c r="G44" s="41" t="s">
        <v>182</v>
      </c>
      <c r="H44" s="41" t="s">
        <v>239</v>
      </c>
      <c r="I44" s="55" t="s">
        <v>190</v>
      </c>
      <c r="J44" s="55"/>
      <c r="K44" s="54" t="str">
        <f>"145,0"</f>
        <v>145,0</v>
      </c>
      <c r="L44" s="41" t="str">
        <f>"90,0305"</f>
        <v>90,0305</v>
      </c>
      <c r="M44" s="54"/>
    </row>
    <row r="45" spans="1:13" x14ac:dyDescent="0.2">
      <c r="A45" s="54" t="s">
        <v>630</v>
      </c>
      <c r="B45" s="41" t="s">
        <v>631</v>
      </c>
      <c r="C45" s="41" t="s">
        <v>632</v>
      </c>
      <c r="D45" s="41" t="str">
        <f>"0,6370"</f>
        <v>0,6370</v>
      </c>
      <c r="E45" s="54" t="s">
        <v>21</v>
      </c>
      <c r="F45" s="54" t="s">
        <v>22</v>
      </c>
      <c r="G45" s="41" t="s">
        <v>411</v>
      </c>
      <c r="H45" s="41" t="s">
        <v>633</v>
      </c>
      <c r="I45" s="41" t="s">
        <v>189</v>
      </c>
      <c r="J45" s="55"/>
      <c r="K45" s="54" t="str">
        <f>"130,0"</f>
        <v>130,0</v>
      </c>
      <c r="L45" s="41" t="str">
        <f>"82,8100"</f>
        <v>82,8100</v>
      </c>
      <c r="M45" s="54"/>
    </row>
    <row r="46" spans="1:13" x14ac:dyDescent="0.2">
      <c r="A46" s="54" t="s">
        <v>635</v>
      </c>
      <c r="B46" s="41" t="s">
        <v>636</v>
      </c>
      <c r="C46" s="41" t="s">
        <v>637</v>
      </c>
      <c r="D46" s="41" t="str">
        <f>"0,6230"</f>
        <v>0,6230</v>
      </c>
      <c r="E46" s="54" t="s">
        <v>21</v>
      </c>
      <c r="F46" s="54" t="s">
        <v>34</v>
      </c>
      <c r="G46" s="41" t="s">
        <v>199</v>
      </c>
      <c r="H46" s="41" t="s">
        <v>633</v>
      </c>
      <c r="I46" s="55" t="s">
        <v>239</v>
      </c>
      <c r="J46" s="55"/>
      <c r="K46" s="54" t="str">
        <f>"127,5"</f>
        <v>127,5</v>
      </c>
      <c r="L46" s="41" t="str">
        <f>"79,4325"</f>
        <v>79,4325</v>
      </c>
      <c r="M46" s="54"/>
    </row>
    <row r="47" spans="1:13" x14ac:dyDescent="0.2">
      <c r="A47" s="54" t="s">
        <v>639</v>
      </c>
      <c r="B47" s="41" t="s">
        <v>640</v>
      </c>
      <c r="C47" s="41" t="s">
        <v>641</v>
      </c>
      <c r="D47" s="41" t="str">
        <f>"0,6384"</f>
        <v>0,6384</v>
      </c>
      <c r="E47" s="54" t="s">
        <v>21</v>
      </c>
      <c r="F47" s="54" t="s">
        <v>22</v>
      </c>
      <c r="G47" s="55" t="s">
        <v>239</v>
      </c>
      <c r="H47" s="55" t="s">
        <v>239</v>
      </c>
      <c r="I47" s="41" t="s">
        <v>239</v>
      </c>
      <c r="J47" s="55"/>
      <c r="K47" s="54" t="str">
        <f>"145,0"</f>
        <v>145,0</v>
      </c>
      <c r="L47" s="41" t="str">
        <f>"111,4519"</f>
        <v>111,4519</v>
      </c>
      <c r="M47" s="54"/>
    </row>
    <row r="48" spans="1:13" x14ac:dyDescent="0.2">
      <c r="A48" s="54" t="s">
        <v>643</v>
      </c>
      <c r="B48" s="41" t="s">
        <v>644</v>
      </c>
      <c r="C48" s="41" t="s">
        <v>645</v>
      </c>
      <c r="D48" s="41" t="str">
        <f>"0,6262"</f>
        <v>0,6262</v>
      </c>
      <c r="E48" s="54" t="s">
        <v>21</v>
      </c>
      <c r="F48" s="54" t="s">
        <v>169</v>
      </c>
      <c r="G48" s="41" t="s">
        <v>411</v>
      </c>
      <c r="H48" s="41" t="s">
        <v>633</v>
      </c>
      <c r="I48" s="55" t="s">
        <v>595</v>
      </c>
      <c r="J48" s="55"/>
      <c r="K48" s="54" t="str">
        <f>"127,5"</f>
        <v>127,5</v>
      </c>
      <c r="L48" s="41" t="str">
        <f>"93,6529"</f>
        <v>93,6529</v>
      </c>
      <c r="M48" s="54"/>
    </row>
    <row r="49" spans="1:13" x14ac:dyDescent="0.2">
      <c r="A49" s="54" t="s">
        <v>647</v>
      </c>
      <c r="B49" s="41" t="s">
        <v>648</v>
      </c>
      <c r="C49" s="41" t="s">
        <v>628</v>
      </c>
      <c r="D49" s="41" t="str">
        <f>"0,6209"</f>
        <v>0,6209</v>
      </c>
      <c r="E49" s="54" t="s">
        <v>21</v>
      </c>
      <c r="F49" s="54" t="s">
        <v>169</v>
      </c>
      <c r="G49" s="41" t="s">
        <v>127</v>
      </c>
      <c r="H49" s="41" t="s">
        <v>189</v>
      </c>
      <c r="I49" s="41" t="s">
        <v>182</v>
      </c>
      <c r="J49" s="55"/>
      <c r="K49" s="54" t="str">
        <f>"135,0"</f>
        <v>135,0</v>
      </c>
      <c r="L49" s="41" t="str">
        <f>"115,6737"</f>
        <v>115,6737</v>
      </c>
      <c r="M49" s="54"/>
    </row>
    <row r="50" spans="1:13" x14ac:dyDescent="0.2">
      <c r="A50" s="54" t="s">
        <v>650</v>
      </c>
      <c r="B50" s="41" t="s">
        <v>651</v>
      </c>
      <c r="C50" s="41" t="s">
        <v>652</v>
      </c>
      <c r="D50" s="41" t="str">
        <f>"0,6203"</f>
        <v>0,6203</v>
      </c>
      <c r="E50" s="54" t="s">
        <v>21</v>
      </c>
      <c r="F50" s="54" t="s">
        <v>34</v>
      </c>
      <c r="G50" s="41" t="s">
        <v>420</v>
      </c>
      <c r="H50" s="55" t="s">
        <v>140</v>
      </c>
      <c r="I50" s="41" t="s">
        <v>140</v>
      </c>
      <c r="J50" s="55"/>
      <c r="K50" s="54" t="str">
        <f>"90,0"</f>
        <v>90,0</v>
      </c>
      <c r="L50" s="41" t="str">
        <f>"94,9059"</f>
        <v>94,9059</v>
      </c>
      <c r="M50" s="54"/>
    </row>
    <row r="51" spans="1:13" x14ac:dyDescent="0.2">
      <c r="A51" s="54" t="s">
        <v>654</v>
      </c>
      <c r="B51" s="41" t="s">
        <v>655</v>
      </c>
      <c r="C51" s="41" t="s">
        <v>656</v>
      </c>
      <c r="D51" s="41" t="str">
        <f>"0,6319"</f>
        <v>0,6319</v>
      </c>
      <c r="E51" s="54" t="s">
        <v>21</v>
      </c>
      <c r="F51" s="54" t="s">
        <v>22</v>
      </c>
      <c r="G51" s="41" t="s">
        <v>125</v>
      </c>
      <c r="H51" s="41" t="s">
        <v>311</v>
      </c>
      <c r="I51" s="41" t="s">
        <v>199</v>
      </c>
      <c r="J51" s="55"/>
      <c r="K51" s="54" t="str">
        <f>"120,0"</f>
        <v>120,0</v>
      </c>
      <c r="L51" s="41" t="str">
        <f>"145,5898"</f>
        <v>145,5898</v>
      </c>
      <c r="M51" s="54"/>
    </row>
    <row r="52" spans="1:13" x14ac:dyDescent="0.2">
      <c r="A52" s="38" t="s">
        <v>658</v>
      </c>
      <c r="B52" s="39" t="s">
        <v>659</v>
      </c>
      <c r="C52" s="39" t="s">
        <v>660</v>
      </c>
      <c r="D52" s="39" t="str">
        <f>"0,6570"</f>
        <v>0,6570</v>
      </c>
      <c r="E52" s="38" t="s">
        <v>21</v>
      </c>
      <c r="F52" s="38" t="s">
        <v>22</v>
      </c>
      <c r="G52" s="39" t="s">
        <v>420</v>
      </c>
      <c r="H52" s="40" t="s">
        <v>560</v>
      </c>
      <c r="I52" s="39" t="s">
        <v>560</v>
      </c>
      <c r="J52" s="40"/>
      <c r="K52" s="38" t="str">
        <f>"85,0"</f>
        <v>85,0</v>
      </c>
      <c r="L52" s="39" t="str">
        <f>"107,2224"</f>
        <v>107,2224</v>
      </c>
      <c r="M52" s="38"/>
    </row>
    <row r="54" spans="1:13" ht="15" x14ac:dyDescent="0.2">
      <c r="A54" s="52" t="s">
        <v>46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3" x14ac:dyDescent="0.2">
      <c r="A55" s="35" t="s">
        <v>662</v>
      </c>
      <c r="B55" s="36" t="s">
        <v>663</v>
      </c>
      <c r="C55" s="36" t="s">
        <v>664</v>
      </c>
      <c r="D55" s="36" t="str">
        <f>"0,5991"</f>
        <v>0,5991</v>
      </c>
      <c r="E55" s="35" t="s">
        <v>21</v>
      </c>
      <c r="F55" s="35" t="s">
        <v>22</v>
      </c>
      <c r="G55" s="36" t="s">
        <v>190</v>
      </c>
      <c r="H55" s="36" t="s">
        <v>665</v>
      </c>
      <c r="I55" s="37" t="s">
        <v>666</v>
      </c>
      <c r="J55" s="37"/>
      <c r="K55" s="35" t="str">
        <f>"157,5"</f>
        <v>157,5</v>
      </c>
      <c r="L55" s="36" t="str">
        <f>"94,3582"</f>
        <v>94,3582</v>
      </c>
      <c r="M55" s="35"/>
    </row>
    <row r="56" spans="1:13" x14ac:dyDescent="0.2">
      <c r="A56" s="54" t="s">
        <v>668</v>
      </c>
      <c r="B56" s="41" t="s">
        <v>669</v>
      </c>
      <c r="C56" s="41" t="s">
        <v>670</v>
      </c>
      <c r="D56" s="41" t="str">
        <f>"0,5877"</f>
        <v>0,5877</v>
      </c>
      <c r="E56" s="54" t="s">
        <v>21</v>
      </c>
      <c r="F56" s="54" t="s">
        <v>22</v>
      </c>
      <c r="G56" s="41" t="s">
        <v>190</v>
      </c>
      <c r="H56" s="41" t="s">
        <v>205</v>
      </c>
      <c r="I56" s="55" t="s">
        <v>255</v>
      </c>
      <c r="J56" s="55"/>
      <c r="K56" s="54" t="str">
        <f>"155,0"</f>
        <v>155,0</v>
      </c>
      <c r="L56" s="41" t="str">
        <f>"91,0935"</f>
        <v>91,0935</v>
      </c>
      <c r="M56" s="54"/>
    </row>
    <row r="57" spans="1:13" x14ac:dyDescent="0.2">
      <c r="A57" s="54" t="s">
        <v>672</v>
      </c>
      <c r="B57" s="41" t="s">
        <v>673</v>
      </c>
      <c r="C57" s="41" t="s">
        <v>674</v>
      </c>
      <c r="D57" s="41" t="str">
        <f>"0,5973"</f>
        <v>0,5973</v>
      </c>
      <c r="E57" s="54" t="s">
        <v>21</v>
      </c>
      <c r="F57" s="54" t="s">
        <v>22</v>
      </c>
      <c r="G57" s="41" t="s">
        <v>183</v>
      </c>
      <c r="H57" s="41" t="s">
        <v>675</v>
      </c>
      <c r="I57" s="55" t="s">
        <v>665</v>
      </c>
      <c r="J57" s="55"/>
      <c r="K57" s="54" t="str">
        <f>"152,5"</f>
        <v>152,5</v>
      </c>
      <c r="L57" s="41" t="str">
        <f>"91,0882"</f>
        <v>91,0882</v>
      </c>
      <c r="M57" s="54"/>
    </row>
    <row r="58" spans="1:13" x14ac:dyDescent="0.2">
      <c r="A58" s="54" t="s">
        <v>676</v>
      </c>
      <c r="B58" s="41" t="s">
        <v>459</v>
      </c>
      <c r="C58" s="41" t="s">
        <v>460</v>
      </c>
      <c r="D58" s="41" t="str">
        <f>"0,6004"</f>
        <v>0,6004</v>
      </c>
      <c r="E58" s="54" t="s">
        <v>21</v>
      </c>
      <c r="F58" s="54" t="s">
        <v>461</v>
      </c>
      <c r="G58" s="41" t="s">
        <v>183</v>
      </c>
      <c r="H58" s="41" t="s">
        <v>239</v>
      </c>
      <c r="I58" s="55" t="s">
        <v>190</v>
      </c>
      <c r="J58" s="55"/>
      <c r="K58" s="54" t="str">
        <f>"145,0"</f>
        <v>145,0</v>
      </c>
      <c r="L58" s="41" t="str">
        <f>"87,0580"</f>
        <v>87,0580</v>
      </c>
      <c r="M58" s="54"/>
    </row>
    <row r="59" spans="1:13" x14ac:dyDescent="0.2">
      <c r="A59" s="54" t="s">
        <v>678</v>
      </c>
      <c r="B59" s="41" t="s">
        <v>679</v>
      </c>
      <c r="C59" s="41" t="s">
        <v>680</v>
      </c>
      <c r="D59" s="41" t="str">
        <f>"0,5865"</f>
        <v>0,5865</v>
      </c>
      <c r="E59" s="54" t="s">
        <v>21</v>
      </c>
      <c r="F59" s="54" t="s">
        <v>250</v>
      </c>
      <c r="G59" s="55" t="s">
        <v>220</v>
      </c>
      <c r="H59" s="55" t="s">
        <v>345</v>
      </c>
      <c r="I59" s="41" t="s">
        <v>345</v>
      </c>
      <c r="J59" s="55"/>
      <c r="K59" s="54" t="str">
        <f>"175,0"</f>
        <v>175,0</v>
      </c>
      <c r="L59" s="41" t="str">
        <f>"102,6375"</f>
        <v>102,6375</v>
      </c>
      <c r="M59" s="54"/>
    </row>
    <row r="60" spans="1:13" x14ac:dyDescent="0.2">
      <c r="A60" s="54" t="s">
        <v>682</v>
      </c>
      <c r="B60" s="41" t="s">
        <v>683</v>
      </c>
      <c r="C60" s="41" t="s">
        <v>684</v>
      </c>
      <c r="D60" s="41" t="str">
        <f>"0,5885"</f>
        <v>0,5885</v>
      </c>
      <c r="E60" s="54" t="s">
        <v>21</v>
      </c>
      <c r="F60" s="54" t="s">
        <v>34</v>
      </c>
      <c r="G60" s="55" t="s">
        <v>205</v>
      </c>
      <c r="H60" s="41" t="s">
        <v>205</v>
      </c>
      <c r="I60" s="55" t="s">
        <v>255</v>
      </c>
      <c r="J60" s="55"/>
      <c r="K60" s="54" t="str">
        <f>"155,0"</f>
        <v>155,0</v>
      </c>
      <c r="L60" s="41" t="str">
        <f>"91,2175"</f>
        <v>91,2175</v>
      </c>
      <c r="M60" s="54"/>
    </row>
    <row r="61" spans="1:13" x14ac:dyDescent="0.2">
      <c r="A61" s="54" t="s">
        <v>685</v>
      </c>
      <c r="B61" s="41" t="s">
        <v>464</v>
      </c>
      <c r="C61" s="41" t="s">
        <v>465</v>
      </c>
      <c r="D61" s="41" t="str">
        <f>"0,5881"</f>
        <v>0,5881</v>
      </c>
      <c r="E61" s="54" t="s">
        <v>21</v>
      </c>
      <c r="F61" s="54" t="s">
        <v>22</v>
      </c>
      <c r="G61" s="41" t="s">
        <v>183</v>
      </c>
      <c r="H61" s="41" t="s">
        <v>239</v>
      </c>
      <c r="I61" s="55" t="s">
        <v>675</v>
      </c>
      <c r="J61" s="55"/>
      <c r="K61" s="54" t="str">
        <f>"145,0"</f>
        <v>145,0</v>
      </c>
      <c r="L61" s="41" t="str">
        <f>"85,2745"</f>
        <v>85,2745</v>
      </c>
      <c r="M61" s="54"/>
    </row>
    <row r="62" spans="1:13" x14ac:dyDescent="0.2">
      <c r="A62" s="54" t="s">
        <v>687</v>
      </c>
      <c r="B62" s="41" t="s">
        <v>688</v>
      </c>
      <c r="C62" s="41" t="s">
        <v>689</v>
      </c>
      <c r="D62" s="41" t="str">
        <f>"0,5943"</f>
        <v>0,5943</v>
      </c>
      <c r="E62" s="54" t="s">
        <v>21</v>
      </c>
      <c r="F62" s="54" t="s">
        <v>22</v>
      </c>
      <c r="G62" s="55" t="s">
        <v>127</v>
      </c>
      <c r="H62" s="41" t="s">
        <v>595</v>
      </c>
      <c r="I62" s="41" t="s">
        <v>183</v>
      </c>
      <c r="J62" s="55"/>
      <c r="K62" s="54" t="str">
        <f>"140,0"</f>
        <v>140,0</v>
      </c>
      <c r="L62" s="41" t="str">
        <f>"83,2020"</f>
        <v>83,2020</v>
      </c>
      <c r="M62" s="54"/>
    </row>
    <row r="63" spans="1:13" x14ac:dyDescent="0.2">
      <c r="A63" s="54" t="s">
        <v>691</v>
      </c>
      <c r="B63" s="41" t="s">
        <v>692</v>
      </c>
      <c r="C63" s="41" t="s">
        <v>194</v>
      </c>
      <c r="D63" s="41" t="str">
        <f>"0,5939"</f>
        <v>0,5939</v>
      </c>
      <c r="E63" s="54" t="s">
        <v>21</v>
      </c>
      <c r="F63" s="54" t="s">
        <v>169</v>
      </c>
      <c r="G63" s="41" t="s">
        <v>595</v>
      </c>
      <c r="H63" s="41" t="s">
        <v>182</v>
      </c>
      <c r="I63" s="41" t="s">
        <v>183</v>
      </c>
      <c r="J63" s="55"/>
      <c r="K63" s="54" t="str">
        <f>"140,0"</f>
        <v>140,0</v>
      </c>
      <c r="L63" s="41" t="str">
        <f>"83,1460"</f>
        <v>83,1460</v>
      </c>
      <c r="M63" s="54"/>
    </row>
    <row r="64" spans="1:13" x14ac:dyDescent="0.2">
      <c r="A64" s="54" t="s">
        <v>694</v>
      </c>
      <c r="B64" s="41" t="s">
        <v>695</v>
      </c>
      <c r="C64" s="41" t="s">
        <v>696</v>
      </c>
      <c r="D64" s="41" t="str">
        <f>"0,6088"</f>
        <v>0,6088</v>
      </c>
      <c r="E64" s="54" t="s">
        <v>21</v>
      </c>
      <c r="F64" s="54" t="s">
        <v>22</v>
      </c>
      <c r="G64" s="41" t="s">
        <v>310</v>
      </c>
      <c r="H64" s="41" t="s">
        <v>311</v>
      </c>
      <c r="I64" s="55" t="s">
        <v>127</v>
      </c>
      <c r="J64" s="55"/>
      <c r="K64" s="54" t="str">
        <f>"115,0"</f>
        <v>115,0</v>
      </c>
      <c r="L64" s="41" t="str">
        <f>"72,1824"</f>
        <v>72,1824</v>
      </c>
      <c r="M64" s="54"/>
    </row>
    <row r="65" spans="1:13" x14ac:dyDescent="0.2">
      <c r="A65" s="38" t="s">
        <v>697</v>
      </c>
      <c r="B65" s="39" t="s">
        <v>472</v>
      </c>
      <c r="C65" s="39" t="s">
        <v>473</v>
      </c>
      <c r="D65" s="39" t="str">
        <f>"0,6018"</f>
        <v>0,6018</v>
      </c>
      <c r="E65" s="38" t="s">
        <v>21</v>
      </c>
      <c r="F65" s="38" t="s">
        <v>22</v>
      </c>
      <c r="G65" s="39" t="s">
        <v>420</v>
      </c>
      <c r="H65" s="39" t="s">
        <v>560</v>
      </c>
      <c r="I65" s="39" t="s">
        <v>140</v>
      </c>
      <c r="J65" s="40"/>
      <c r="K65" s="38" t="str">
        <f>"90,0"</f>
        <v>90,0</v>
      </c>
      <c r="L65" s="39" t="str">
        <f>"56,7618"</f>
        <v>56,7618</v>
      </c>
      <c r="M65" s="38"/>
    </row>
    <row r="67" spans="1:13" ht="15" x14ac:dyDescent="0.2">
      <c r="A67" s="52" t="s">
        <v>54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3" x14ac:dyDescent="0.2">
      <c r="A68" s="35" t="s">
        <v>475</v>
      </c>
      <c r="B68" s="36" t="s">
        <v>476</v>
      </c>
      <c r="C68" s="36" t="s">
        <v>477</v>
      </c>
      <c r="D68" s="36" t="str">
        <f>"0,5540"</f>
        <v>0,5540</v>
      </c>
      <c r="E68" s="35" t="s">
        <v>21</v>
      </c>
      <c r="F68" s="35" t="s">
        <v>461</v>
      </c>
      <c r="G68" s="36" t="s">
        <v>127</v>
      </c>
      <c r="H68" s="36" t="s">
        <v>189</v>
      </c>
      <c r="I68" s="36" t="s">
        <v>182</v>
      </c>
      <c r="J68" s="37"/>
      <c r="K68" s="35" t="str">
        <f>"135,0"</f>
        <v>135,0</v>
      </c>
      <c r="L68" s="36" t="str">
        <f>"74,7900"</f>
        <v>74,7900</v>
      </c>
      <c r="M68" s="35"/>
    </row>
    <row r="69" spans="1:13" x14ac:dyDescent="0.2">
      <c r="A69" s="54" t="s">
        <v>699</v>
      </c>
      <c r="B69" s="41" t="s">
        <v>700</v>
      </c>
      <c r="C69" s="41" t="s">
        <v>701</v>
      </c>
      <c r="D69" s="41" t="str">
        <f>"0,5591"</f>
        <v>0,5591</v>
      </c>
      <c r="E69" s="54" t="s">
        <v>21</v>
      </c>
      <c r="F69" s="54" t="s">
        <v>169</v>
      </c>
      <c r="G69" s="41" t="s">
        <v>189</v>
      </c>
      <c r="H69" s="55" t="s">
        <v>183</v>
      </c>
      <c r="I69" s="41" t="s">
        <v>183</v>
      </c>
      <c r="J69" s="55"/>
      <c r="K69" s="54" t="str">
        <f>"140,0"</f>
        <v>140,0</v>
      </c>
      <c r="L69" s="41" t="str">
        <f>"78,2740"</f>
        <v>78,2740</v>
      </c>
      <c r="M69" s="54"/>
    </row>
    <row r="70" spans="1:13" x14ac:dyDescent="0.2">
      <c r="A70" s="54" t="s">
        <v>703</v>
      </c>
      <c r="B70" s="41" t="s">
        <v>704</v>
      </c>
      <c r="C70" s="41" t="s">
        <v>705</v>
      </c>
      <c r="D70" s="41" t="str">
        <f>"0,5608"</f>
        <v>0,5608</v>
      </c>
      <c r="E70" s="54" t="s">
        <v>21</v>
      </c>
      <c r="F70" s="54" t="s">
        <v>161</v>
      </c>
      <c r="G70" s="41" t="s">
        <v>189</v>
      </c>
      <c r="H70" s="55" t="s">
        <v>183</v>
      </c>
      <c r="I70" s="55" t="s">
        <v>183</v>
      </c>
      <c r="J70" s="55"/>
      <c r="K70" s="54" t="str">
        <f>"130,0"</f>
        <v>130,0</v>
      </c>
      <c r="L70" s="41" t="str">
        <f>"72,9040"</f>
        <v>72,9040</v>
      </c>
      <c r="M70" s="54"/>
    </row>
    <row r="71" spans="1:13" x14ac:dyDescent="0.2">
      <c r="A71" s="54" t="s">
        <v>707</v>
      </c>
      <c r="B71" s="41" t="s">
        <v>708</v>
      </c>
      <c r="C71" s="41" t="s">
        <v>709</v>
      </c>
      <c r="D71" s="41" t="str">
        <f>"0,5570"</f>
        <v>0,5570</v>
      </c>
      <c r="E71" s="54" t="s">
        <v>21</v>
      </c>
      <c r="F71" s="54" t="s">
        <v>710</v>
      </c>
      <c r="G71" s="41" t="s">
        <v>220</v>
      </c>
      <c r="H71" s="41" t="s">
        <v>210</v>
      </c>
      <c r="I71" s="55" t="s">
        <v>338</v>
      </c>
      <c r="J71" s="55"/>
      <c r="K71" s="54" t="str">
        <f>"185,0"</f>
        <v>185,0</v>
      </c>
      <c r="L71" s="41" t="str">
        <f>"103,0450"</f>
        <v>103,0450</v>
      </c>
      <c r="M71" s="54"/>
    </row>
    <row r="72" spans="1:13" x14ac:dyDescent="0.2">
      <c r="A72" s="54" t="s">
        <v>712</v>
      </c>
      <c r="B72" s="41" t="s">
        <v>713</v>
      </c>
      <c r="C72" s="41" t="s">
        <v>714</v>
      </c>
      <c r="D72" s="41" t="str">
        <f>"0,5636"</f>
        <v>0,5636</v>
      </c>
      <c r="E72" s="54" t="s">
        <v>21</v>
      </c>
      <c r="F72" s="54" t="s">
        <v>161</v>
      </c>
      <c r="G72" s="41" t="s">
        <v>183</v>
      </c>
      <c r="H72" s="41" t="s">
        <v>190</v>
      </c>
      <c r="I72" s="41" t="s">
        <v>666</v>
      </c>
      <c r="J72" s="55"/>
      <c r="K72" s="54" t="str">
        <f>"162,5"</f>
        <v>162,5</v>
      </c>
      <c r="L72" s="41" t="str">
        <f>"91,5850"</f>
        <v>91,5850</v>
      </c>
      <c r="M72" s="54"/>
    </row>
    <row r="73" spans="1:13" x14ac:dyDescent="0.2">
      <c r="A73" s="54" t="s">
        <v>716</v>
      </c>
      <c r="B73" s="41" t="s">
        <v>717</v>
      </c>
      <c r="C73" s="41" t="s">
        <v>718</v>
      </c>
      <c r="D73" s="41" t="str">
        <f>"0,5630"</f>
        <v>0,5630</v>
      </c>
      <c r="E73" s="54" t="s">
        <v>21</v>
      </c>
      <c r="F73" s="54" t="s">
        <v>22</v>
      </c>
      <c r="G73" s="41" t="s">
        <v>184</v>
      </c>
      <c r="H73" s="55" t="s">
        <v>205</v>
      </c>
      <c r="I73" s="55" t="s">
        <v>205</v>
      </c>
      <c r="J73" s="55"/>
      <c r="K73" s="54" t="str">
        <f>"147,5"</f>
        <v>147,5</v>
      </c>
      <c r="L73" s="41" t="str">
        <f>"83,0425"</f>
        <v>83,0425</v>
      </c>
      <c r="M73" s="54"/>
    </row>
    <row r="74" spans="1:13" x14ac:dyDescent="0.2">
      <c r="A74" s="38" t="s">
        <v>720</v>
      </c>
      <c r="B74" s="39" t="s">
        <v>721</v>
      </c>
      <c r="C74" s="39" t="s">
        <v>701</v>
      </c>
      <c r="D74" s="39" t="str">
        <f>"0,5591"</f>
        <v>0,5591</v>
      </c>
      <c r="E74" s="38" t="s">
        <v>21</v>
      </c>
      <c r="F74" s="38" t="s">
        <v>22</v>
      </c>
      <c r="G74" s="40" t="s">
        <v>666</v>
      </c>
      <c r="H74" s="39" t="s">
        <v>666</v>
      </c>
      <c r="I74" s="40" t="s">
        <v>220</v>
      </c>
      <c r="J74" s="40"/>
      <c r="K74" s="38" t="str">
        <f>"162,5"</f>
        <v>162,5</v>
      </c>
      <c r="L74" s="39" t="str">
        <f>"97,1227"</f>
        <v>97,1227</v>
      </c>
      <c r="M74" s="38"/>
    </row>
    <row r="76" spans="1:13" ht="15" x14ac:dyDescent="0.2">
      <c r="A76" s="52" t="s">
        <v>68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3" x14ac:dyDescent="0.2">
      <c r="A77" s="35" t="s">
        <v>723</v>
      </c>
      <c r="B77" s="36" t="s">
        <v>724</v>
      </c>
      <c r="C77" s="36" t="s">
        <v>725</v>
      </c>
      <c r="D77" s="36" t="str">
        <f>"0,5407"</f>
        <v>0,5407</v>
      </c>
      <c r="E77" s="35" t="s">
        <v>21</v>
      </c>
      <c r="F77" s="35" t="s">
        <v>22</v>
      </c>
      <c r="G77" s="37" t="s">
        <v>190</v>
      </c>
      <c r="H77" s="37" t="s">
        <v>177</v>
      </c>
      <c r="I77" s="36" t="s">
        <v>345</v>
      </c>
      <c r="J77" s="37"/>
      <c r="K77" s="35" t="str">
        <f>"175,0"</f>
        <v>175,0</v>
      </c>
      <c r="L77" s="36" t="str">
        <f>"94,6225"</f>
        <v>94,6225</v>
      </c>
      <c r="M77" s="35"/>
    </row>
    <row r="78" spans="1:13" x14ac:dyDescent="0.2">
      <c r="A78" s="54" t="s">
        <v>727</v>
      </c>
      <c r="B78" s="41" t="s">
        <v>728</v>
      </c>
      <c r="C78" s="41" t="s">
        <v>238</v>
      </c>
      <c r="D78" s="41" t="str">
        <f>"0,5421"</f>
        <v>0,5421</v>
      </c>
      <c r="E78" s="54" t="s">
        <v>21</v>
      </c>
      <c r="F78" s="54" t="s">
        <v>22</v>
      </c>
      <c r="G78" s="55" t="s">
        <v>220</v>
      </c>
      <c r="H78" s="41" t="s">
        <v>220</v>
      </c>
      <c r="I78" s="55" t="s">
        <v>345</v>
      </c>
      <c r="J78" s="55"/>
      <c r="K78" s="54" t="str">
        <f>"170,0"</f>
        <v>170,0</v>
      </c>
      <c r="L78" s="41" t="str">
        <f>"92,1570"</f>
        <v>92,1570</v>
      </c>
      <c r="M78" s="54"/>
    </row>
    <row r="79" spans="1:13" x14ac:dyDescent="0.2">
      <c r="A79" s="54" t="s">
        <v>729</v>
      </c>
      <c r="B79" s="41" t="s">
        <v>497</v>
      </c>
      <c r="C79" s="41" t="s">
        <v>498</v>
      </c>
      <c r="D79" s="41" t="str">
        <f>"0,5422"</f>
        <v>0,5422</v>
      </c>
      <c r="E79" s="54" t="s">
        <v>21</v>
      </c>
      <c r="F79" s="54" t="s">
        <v>22</v>
      </c>
      <c r="G79" s="41" t="s">
        <v>205</v>
      </c>
      <c r="H79" s="55" t="s">
        <v>730</v>
      </c>
      <c r="I79" s="55" t="s">
        <v>730</v>
      </c>
      <c r="J79" s="55"/>
      <c r="K79" s="54" t="str">
        <f>"155,0"</f>
        <v>155,0</v>
      </c>
      <c r="L79" s="41" t="str">
        <f>"84,0410"</f>
        <v>84,0410</v>
      </c>
      <c r="M79" s="54"/>
    </row>
    <row r="80" spans="1:13" x14ac:dyDescent="0.2">
      <c r="A80" s="38" t="s">
        <v>732</v>
      </c>
      <c r="B80" s="39" t="s">
        <v>733</v>
      </c>
      <c r="C80" s="39" t="s">
        <v>734</v>
      </c>
      <c r="D80" s="39" t="str">
        <f>"0,5391"</f>
        <v>0,5391</v>
      </c>
      <c r="E80" s="38" t="s">
        <v>21</v>
      </c>
      <c r="F80" s="38" t="s">
        <v>22</v>
      </c>
      <c r="G80" s="39" t="s">
        <v>189</v>
      </c>
      <c r="H80" s="39" t="s">
        <v>596</v>
      </c>
      <c r="I80" s="40" t="s">
        <v>215</v>
      </c>
      <c r="J80" s="40"/>
      <c r="K80" s="38" t="str">
        <f>"137,5"</f>
        <v>137,5</v>
      </c>
      <c r="L80" s="39" t="str">
        <f>"91,8424"</f>
        <v>91,8424</v>
      </c>
      <c r="M80" s="38"/>
    </row>
    <row r="82" spans="1:13" ht="15" x14ac:dyDescent="0.2">
      <c r="A82" s="52" t="s">
        <v>81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</row>
    <row r="83" spans="1:13" x14ac:dyDescent="0.2">
      <c r="A83" s="35" t="s">
        <v>736</v>
      </c>
      <c r="B83" s="36" t="s">
        <v>737</v>
      </c>
      <c r="C83" s="36" t="s">
        <v>103</v>
      </c>
      <c r="D83" s="36" t="str">
        <f>"0,5316"</f>
        <v>0,5316</v>
      </c>
      <c r="E83" s="35" t="s">
        <v>21</v>
      </c>
      <c r="F83" s="35" t="s">
        <v>22</v>
      </c>
      <c r="G83" s="36" t="s">
        <v>337</v>
      </c>
      <c r="H83" s="36" t="s">
        <v>338</v>
      </c>
      <c r="I83" s="37" t="s">
        <v>59</v>
      </c>
      <c r="J83" s="37"/>
      <c r="K83" s="35" t="str">
        <f>"192,5"</f>
        <v>192,5</v>
      </c>
      <c r="L83" s="36" t="str">
        <f>"102,3330"</f>
        <v>102,3330</v>
      </c>
      <c r="M83" s="35"/>
    </row>
    <row r="84" spans="1:13" x14ac:dyDescent="0.2">
      <c r="A84" s="38" t="s">
        <v>739</v>
      </c>
      <c r="B84" s="39" t="s">
        <v>740</v>
      </c>
      <c r="C84" s="39" t="s">
        <v>741</v>
      </c>
      <c r="D84" s="39" t="str">
        <f>"0,5316"</f>
        <v>0,5316</v>
      </c>
      <c r="E84" s="38" t="s">
        <v>21</v>
      </c>
      <c r="F84" s="38" t="s">
        <v>434</v>
      </c>
      <c r="G84" s="40" t="s">
        <v>595</v>
      </c>
      <c r="H84" s="39" t="s">
        <v>595</v>
      </c>
      <c r="I84" s="40" t="s">
        <v>182</v>
      </c>
      <c r="J84" s="40"/>
      <c r="K84" s="38" t="str">
        <f>"132,5"</f>
        <v>132,5</v>
      </c>
      <c r="L84" s="39" t="str">
        <f>"138,7609"</f>
        <v>138,7609</v>
      </c>
      <c r="M84" s="38"/>
    </row>
    <row r="86" spans="1:13" ht="15" x14ac:dyDescent="0.2">
      <c r="A86" s="52" t="s">
        <v>742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3" x14ac:dyDescent="0.2">
      <c r="A87" s="35" t="s">
        <v>744</v>
      </c>
      <c r="B87" s="36" t="s">
        <v>745</v>
      </c>
      <c r="C87" s="36" t="s">
        <v>746</v>
      </c>
      <c r="D87" s="36" t="str">
        <f>"0,5068"</f>
        <v>0,5068</v>
      </c>
      <c r="E87" s="35" t="s">
        <v>21</v>
      </c>
      <c r="F87" s="35" t="s">
        <v>250</v>
      </c>
      <c r="G87" s="36" t="s">
        <v>190</v>
      </c>
      <c r="H87" s="37" t="s">
        <v>665</v>
      </c>
      <c r="I87" s="37" t="s">
        <v>665</v>
      </c>
      <c r="J87" s="37"/>
      <c r="K87" s="35" t="str">
        <f>"150,0"</f>
        <v>150,0</v>
      </c>
      <c r="L87" s="36" t="str">
        <f>"76,0200"</f>
        <v>76,0200</v>
      </c>
      <c r="M87" s="35"/>
    </row>
    <row r="88" spans="1:13" x14ac:dyDescent="0.2">
      <c r="A88" s="38" t="s">
        <v>748</v>
      </c>
      <c r="B88" s="39" t="s">
        <v>749</v>
      </c>
      <c r="C88" s="39" t="s">
        <v>750</v>
      </c>
      <c r="D88" s="39" t="str">
        <f>"0,5202"</f>
        <v>0,5202</v>
      </c>
      <c r="E88" s="38" t="s">
        <v>21</v>
      </c>
      <c r="F88" s="38" t="s">
        <v>22</v>
      </c>
      <c r="G88" s="39" t="s">
        <v>117</v>
      </c>
      <c r="H88" s="40" t="s">
        <v>310</v>
      </c>
      <c r="I88" s="40"/>
      <c r="J88" s="40"/>
      <c r="K88" s="38" t="str">
        <f>"100,0"</f>
        <v>100,0</v>
      </c>
      <c r="L88" s="39" t="str">
        <f>"91,2951"</f>
        <v>91,2951</v>
      </c>
      <c r="M88" s="38"/>
    </row>
    <row r="90" spans="1:13" ht="15" x14ac:dyDescent="0.2">
      <c r="E90" s="58" t="s">
        <v>104</v>
      </c>
    </row>
    <row r="91" spans="1:13" ht="15" x14ac:dyDescent="0.2">
      <c r="E91" s="58" t="s">
        <v>105</v>
      </c>
    </row>
    <row r="92" spans="1:13" ht="15" x14ac:dyDescent="0.2">
      <c r="E92" s="58" t="s">
        <v>106</v>
      </c>
    </row>
    <row r="93" spans="1:13" x14ac:dyDescent="0.2">
      <c r="E93" s="4" t="s">
        <v>107</v>
      </c>
    </row>
    <row r="94" spans="1:13" x14ac:dyDescent="0.2">
      <c r="E94" s="4" t="s">
        <v>108</v>
      </c>
    </row>
    <row r="95" spans="1:13" x14ac:dyDescent="0.2">
      <c r="E95" s="4" t="s">
        <v>109</v>
      </c>
    </row>
    <row r="98" spans="1:5" ht="18" x14ac:dyDescent="0.25">
      <c r="A98" s="59" t="s">
        <v>110</v>
      </c>
      <c r="B98" s="60"/>
    </row>
    <row r="99" spans="1:5" ht="15" x14ac:dyDescent="0.2">
      <c r="A99" s="61" t="s">
        <v>257</v>
      </c>
      <c r="B99" s="62"/>
    </row>
    <row r="100" spans="1:5" ht="14.25" x14ac:dyDescent="0.2">
      <c r="A100" s="64"/>
      <c r="B100" s="65" t="s">
        <v>123</v>
      </c>
    </row>
    <row r="101" spans="1:5" ht="15" x14ac:dyDescent="0.2">
      <c r="A101" s="66" t="s">
        <v>0</v>
      </c>
      <c r="B101" s="66" t="s">
        <v>113</v>
      </c>
      <c r="C101" s="66" t="s">
        <v>114</v>
      </c>
      <c r="D101" s="66" t="s">
        <v>115</v>
      </c>
      <c r="E101" s="66" t="s">
        <v>14</v>
      </c>
    </row>
    <row r="102" spans="1:5" x14ac:dyDescent="0.2">
      <c r="A102" s="63" t="s">
        <v>556</v>
      </c>
      <c r="B102" s="5" t="s">
        <v>123</v>
      </c>
      <c r="C102" s="5" t="s">
        <v>507</v>
      </c>
      <c r="D102" s="5" t="s">
        <v>420</v>
      </c>
      <c r="E102" s="67" t="s">
        <v>751</v>
      </c>
    </row>
    <row r="103" spans="1:5" x14ac:dyDescent="0.2">
      <c r="A103" s="63" t="s">
        <v>561</v>
      </c>
      <c r="B103" s="5" t="s">
        <v>123</v>
      </c>
      <c r="C103" s="5" t="s">
        <v>129</v>
      </c>
      <c r="D103" s="5" t="s">
        <v>129</v>
      </c>
      <c r="E103" s="67" t="s">
        <v>752</v>
      </c>
    </row>
    <row r="104" spans="1:5" x14ac:dyDescent="0.2">
      <c r="A104" s="63" t="s">
        <v>552</v>
      </c>
      <c r="B104" s="5" t="s">
        <v>123</v>
      </c>
      <c r="C104" s="5" t="s">
        <v>505</v>
      </c>
      <c r="D104" s="5" t="s">
        <v>171</v>
      </c>
      <c r="E104" s="67" t="s">
        <v>753</v>
      </c>
    </row>
    <row r="105" spans="1:5" x14ac:dyDescent="0.2">
      <c r="A105" s="63" t="s">
        <v>546</v>
      </c>
      <c r="B105" s="5" t="s">
        <v>123</v>
      </c>
      <c r="C105" s="5" t="s">
        <v>259</v>
      </c>
      <c r="D105" s="5" t="s">
        <v>550</v>
      </c>
      <c r="E105" s="67" t="s">
        <v>754</v>
      </c>
    </row>
    <row r="108" spans="1:5" ht="15" x14ac:dyDescent="0.2">
      <c r="A108" s="61" t="s">
        <v>111</v>
      </c>
      <c r="B108" s="62"/>
    </row>
    <row r="109" spans="1:5" ht="14.25" x14ac:dyDescent="0.2">
      <c r="A109" s="64"/>
      <c r="B109" s="65" t="s">
        <v>112</v>
      </c>
    </row>
    <row r="110" spans="1:5" ht="15" x14ac:dyDescent="0.2">
      <c r="A110" s="66" t="s">
        <v>0</v>
      </c>
      <c r="B110" s="66" t="s">
        <v>113</v>
      </c>
      <c r="C110" s="66" t="s">
        <v>114</v>
      </c>
      <c r="D110" s="66" t="s">
        <v>115</v>
      </c>
      <c r="E110" s="66" t="s">
        <v>14</v>
      </c>
    </row>
    <row r="111" spans="1:5" x14ac:dyDescent="0.2">
      <c r="A111" s="63" t="s">
        <v>620</v>
      </c>
      <c r="B111" s="5" t="s">
        <v>116</v>
      </c>
      <c r="C111" s="5" t="s">
        <v>121</v>
      </c>
      <c r="D111" s="5" t="s">
        <v>23</v>
      </c>
      <c r="E111" s="67" t="s">
        <v>755</v>
      </c>
    </row>
    <row r="112" spans="1:5" x14ac:dyDescent="0.2">
      <c r="A112" s="63" t="s">
        <v>587</v>
      </c>
      <c r="B112" s="5" t="s">
        <v>262</v>
      </c>
      <c r="C112" s="5" t="s">
        <v>507</v>
      </c>
      <c r="D112" s="5" t="s">
        <v>189</v>
      </c>
      <c r="E112" s="67" t="s">
        <v>756</v>
      </c>
    </row>
    <row r="113" spans="1:5" x14ac:dyDescent="0.2">
      <c r="A113" s="63" t="s">
        <v>572</v>
      </c>
      <c r="B113" s="5" t="s">
        <v>258</v>
      </c>
      <c r="C113" s="5" t="s">
        <v>507</v>
      </c>
      <c r="D113" s="5" t="s">
        <v>578</v>
      </c>
      <c r="E113" s="67" t="s">
        <v>757</v>
      </c>
    </row>
    <row r="114" spans="1:5" x14ac:dyDescent="0.2">
      <c r="A114" s="63" t="s">
        <v>583</v>
      </c>
      <c r="B114" s="5" t="s">
        <v>116</v>
      </c>
      <c r="C114" s="5" t="s">
        <v>507</v>
      </c>
      <c r="D114" s="5" t="s">
        <v>577</v>
      </c>
      <c r="E114" s="67" t="s">
        <v>758</v>
      </c>
    </row>
    <row r="115" spans="1:5" x14ac:dyDescent="0.2">
      <c r="A115" s="63" t="s">
        <v>579</v>
      </c>
      <c r="B115" s="5" t="s">
        <v>116</v>
      </c>
      <c r="C115" s="5" t="s">
        <v>507</v>
      </c>
      <c r="D115" s="5" t="s">
        <v>125</v>
      </c>
      <c r="E115" s="67" t="s">
        <v>759</v>
      </c>
    </row>
    <row r="116" spans="1:5" x14ac:dyDescent="0.2">
      <c r="A116" s="63" t="s">
        <v>698</v>
      </c>
      <c r="B116" s="5" t="s">
        <v>262</v>
      </c>
      <c r="C116" s="5" t="s">
        <v>117</v>
      </c>
      <c r="D116" s="5" t="s">
        <v>183</v>
      </c>
      <c r="E116" s="67" t="s">
        <v>760</v>
      </c>
    </row>
    <row r="117" spans="1:5" x14ac:dyDescent="0.2">
      <c r="A117" s="63" t="s">
        <v>604</v>
      </c>
      <c r="B117" s="5" t="s">
        <v>262</v>
      </c>
      <c r="C117" s="5" t="s">
        <v>129</v>
      </c>
      <c r="D117" s="5" t="s">
        <v>125</v>
      </c>
      <c r="E117" s="67" t="s">
        <v>761</v>
      </c>
    </row>
    <row r="118" spans="1:5" x14ac:dyDescent="0.2">
      <c r="A118" s="63" t="s">
        <v>474</v>
      </c>
      <c r="B118" s="5" t="s">
        <v>258</v>
      </c>
      <c r="C118" s="5" t="s">
        <v>117</v>
      </c>
      <c r="D118" s="5" t="s">
        <v>182</v>
      </c>
      <c r="E118" s="67" t="s">
        <v>762</v>
      </c>
    </row>
    <row r="119" spans="1:5" x14ac:dyDescent="0.2">
      <c r="A119" s="63" t="s">
        <v>416</v>
      </c>
      <c r="B119" s="5" t="s">
        <v>258</v>
      </c>
      <c r="C119" s="5" t="s">
        <v>505</v>
      </c>
      <c r="D119" s="5" t="s">
        <v>312</v>
      </c>
      <c r="E119" s="67" t="s">
        <v>763</v>
      </c>
    </row>
    <row r="120" spans="1:5" x14ac:dyDescent="0.2">
      <c r="A120" s="63" t="s">
        <v>566</v>
      </c>
      <c r="B120" s="5" t="s">
        <v>258</v>
      </c>
      <c r="C120" s="5" t="s">
        <v>259</v>
      </c>
      <c r="D120" s="5" t="s">
        <v>570</v>
      </c>
      <c r="E120" s="67" t="s">
        <v>764</v>
      </c>
    </row>
    <row r="122" spans="1:5" ht="14.25" x14ac:dyDescent="0.2">
      <c r="A122" s="64"/>
      <c r="B122" s="65" t="s">
        <v>119</v>
      </c>
    </row>
    <row r="123" spans="1:5" ht="15" x14ac:dyDescent="0.2">
      <c r="A123" s="66" t="s">
        <v>0</v>
      </c>
      <c r="B123" s="66" t="s">
        <v>113</v>
      </c>
      <c r="C123" s="66" t="s">
        <v>114</v>
      </c>
      <c r="D123" s="66" t="s">
        <v>115</v>
      </c>
      <c r="E123" s="66" t="s">
        <v>14</v>
      </c>
    </row>
    <row r="124" spans="1:5" x14ac:dyDescent="0.2">
      <c r="A124" s="63" t="s">
        <v>661</v>
      </c>
      <c r="B124" s="5" t="s">
        <v>120</v>
      </c>
      <c r="C124" s="5" t="s">
        <v>140</v>
      </c>
      <c r="D124" s="5" t="s">
        <v>665</v>
      </c>
      <c r="E124" s="67" t="s">
        <v>765</v>
      </c>
    </row>
    <row r="125" spans="1:5" x14ac:dyDescent="0.2">
      <c r="A125" s="63" t="s">
        <v>608</v>
      </c>
      <c r="B125" s="5" t="s">
        <v>120</v>
      </c>
      <c r="C125" s="5" t="s">
        <v>129</v>
      </c>
      <c r="D125" s="5" t="s">
        <v>183</v>
      </c>
      <c r="E125" s="67" t="s">
        <v>766</v>
      </c>
    </row>
    <row r="126" spans="1:5" x14ac:dyDescent="0.2">
      <c r="A126" s="63" t="s">
        <v>667</v>
      </c>
      <c r="B126" s="5" t="s">
        <v>120</v>
      </c>
      <c r="C126" s="5" t="s">
        <v>140</v>
      </c>
      <c r="D126" s="5" t="s">
        <v>205</v>
      </c>
      <c r="E126" s="67" t="s">
        <v>767</v>
      </c>
    </row>
    <row r="127" spans="1:5" x14ac:dyDescent="0.2">
      <c r="A127" s="63" t="s">
        <v>671</v>
      </c>
      <c r="B127" s="5" t="s">
        <v>120</v>
      </c>
      <c r="C127" s="5" t="s">
        <v>140</v>
      </c>
      <c r="D127" s="5" t="s">
        <v>675</v>
      </c>
      <c r="E127" s="67" t="s">
        <v>768</v>
      </c>
    </row>
    <row r="128" spans="1:5" x14ac:dyDescent="0.2">
      <c r="A128" s="63" t="s">
        <v>457</v>
      </c>
      <c r="B128" s="5" t="s">
        <v>120</v>
      </c>
      <c r="C128" s="5" t="s">
        <v>140</v>
      </c>
      <c r="D128" s="5" t="s">
        <v>239</v>
      </c>
      <c r="E128" s="67" t="s">
        <v>769</v>
      </c>
    </row>
    <row r="129" spans="1:5" x14ac:dyDescent="0.2">
      <c r="A129" s="63" t="s">
        <v>702</v>
      </c>
      <c r="B129" s="5" t="s">
        <v>120</v>
      </c>
      <c r="C129" s="5" t="s">
        <v>117</v>
      </c>
      <c r="D129" s="5" t="s">
        <v>189</v>
      </c>
      <c r="E129" s="67" t="s">
        <v>770</v>
      </c>
    </row>
    <row r="131" spans="1:5" ht="14.25" x14ac:dyDescent="0.2">
      <c r="A131" s="64"/>
      <c r="B131" s="65" t="s">
        <v>123</v>
      </c>
    </row>
    <row r="132" spans="1:5" ht="15" x14ac:dyDescent="0.2">
      <c r="A132" s="66" t="s">
        <v>0</v>
      </c>
      <c r="B132" s="66" t="s">
        <v>113</v>
      </c>
      <c r="C132" s="66" t="s">
        <v>114</v>
      </c>
      <c r="D132" s="66" t="s">
        <v>115</v>
      </c>
      <c r="E132" s="66" t="s">
        <v>14</v>
      </c>
    </row>
    <row r="133" spans="1:5" x14ac:dyDescent="0.2">
      <c r="A133" s="63" t="s">
        <v>591</v>
      </c>
      <c r="B133" s="5" t="s">
        <v>123</v>
      </c>
      <c r="C133" s="5" t="s">
        <v>507</v>
      </c>
      <c r="D133" s="5" t="s">
        <v>215</v>
      </c>
      <c r="E133" s="67" t="s">
        <v>771</v>
      </c>
    </row>
    <row r="134" spans="1:5" x14ac:dyDescent="0.2">
      <c r="A134" s="63" t="s">
        <v>706</v>
      </c>
      <c r="B134" s="5" t="s">
        <v>123</v>
      </c>
      <c r="C134" s="5" t="s">
        <v>117</v>
      </c>
      <c r="D134" s="5" t="s">
        <v>210</v>
      </c>
      <c r="E134" s="67" t="s">
        <v>772</v>
      </c>
    </row>
    <row r="135" spans="1:5" x14ac:dyDescent="0.2">
      <c r="A135" s="63" t="s">
        <v>677</v>
      </c>
      <c r="B135" s="5" t="s">
        <v>123</v>
      </c>
      <c r="C135" s="5" t="s">
        <v>140</v>
      </c>
      <c r="D135" s="5" t="s">
        <v>345</v>
      </c>
      <c r="E135" s="67" t="s">
        <v>773</v>
      </c>
    </row>
    <row r="136" spans="1:5" x14ac:dyDescent="0.2">
      <c r="A136" s="63" t="s">
        <v>735</v>
      </c>
      <c r="B136" s="5" t="s">
        <v>123</v>
      </c>
      <c r="C136" s="5" t="s">
        <v>127</v>
      </c>
      <c r="D136" s="5" t="s">
        <v>338</v>
      </c>
      <c r="E136" s="67" t="s">
        <v>774</v>
      </c>
    </row>
    <row r="137" spans="1:5" x14ac:dyDescent="0.2">
      <c r="A137" s="63" t="s">
        <v>722</v>
      </c>
      <c r="B137" s="5" t="s">
        <v>123</v>
      </c>
      <c r="C137" s="5" t="s">
        <v>125</v>
      </c>
      <c r="D137" s="5" t="s">
        <v>345</v>
      </c>
      <c r="E137" s="67" t="s">
        <v>775</v>
      </c>
    </row>
    <row r="138" spans="1:5" x14ac:dyDescent="0.2">
      <c r="A138" s="63" t="s">
        <v>726</v>
      </c>
      <c r="B138" s="5" t="s">
        <v>123</v>
      </c>
      <c r="C138" s="5" t="s">
        <v>125</v>
      </c>
      <c r="D138" s="5" t="s">
        <v>220</v>
      </c>
      <c r="E138" s="67" t="s">
        <v>776</v>
      </c>
    </row>
    <row r="139" spans="1:5" x14ac:dyDescent="0.2">
      <c r="A139" s="63" t="s">
        <v>711</v>
      </c>
      <c r="B139" s="5" t="s">
        <v>123</v>
      </c>
      <c r="C139" s="5" t="s">
        <v>117</v>
      </c>
      <c r="D139" s="5" t="s">
        <v>666</v>
      </c>
      <c r="E139" s="67" t="s">
        <v>777</v>
      </c>
    </row>
    <row r="140" spans="1:5" x14ac:dyDescent="0.2">
      <c r="A140" s="63" t="s">
        <v>681</v>
      </c>
      <c r="B140" s="5" t="s">
        <v>123</v>
      </c>
      <c r="C140" s="5" t="s">
        <v>140</v>
      </c>
      <c r="D140" s="5" t="s">
        <v>205</v>
      </c>
      <c r="E140" s="67" t="s">
        <v>778</v>
      </c>
    </row>
    <row r="141" spans="1:5" x14ac:dyDescent="0.2">
      <c r="A141" s="63" t="s">
        <v>613</v>
      </c>
      <c r="B141" s="5" t="s">
        <v>123</v>
      </c>
      <c r="C141" s="5" t="s">
        <v>129</v>
      </c>
      <c r="D141" s="5" t="s">
        <v>182</v>
      </c>
      <c r="E141" s="67" t="s">
        <v>779</v>
      </c>
    </row>
    <row r="142" spans="1:5" x14ac:dyDescent="0.2">
      <c r="A142" s="63" t="s">
        <v>625</v>
      </c>
      <c r="B142" s="5" t="s">
        <v>123</v>
      </c>
      <c r="C142" s="5" t="s">
        <v>121</v>
      </c>
      <c r="D142" s="5" t="s">
        <v>239</v>
      </c>
      <c r="E142" s="67" t="s">
        <v>780</v>
      </c>
    </row>
    <row r="143" spans="1:5" x14ac:dyDescent="0.2">
      <c r="A143" s="63" t="s">
        <v>462</v>
      </c>
      <c r="B143" s="5" t="s">
        <v>123</v>
      </c>
      <c r="C143" s="5" t="s">
        <v>140</v>
      </c>
      <c r="D143" s="5" t="s">
        <v>239</v>
      </c>
      <c r="E143" s="67" t="s">
        <v>781</v>
      </c>
    </row>
    <row r="144" spans="1:5" x14ac:dyDescent="0.2">
      <c r="A144" s="63" t="s">
        <v>495</v>
      </c>
      <c r="B144" s="5" t="s">
        <v>123</v>
      </c>
      <c r="C144" s="5" t="s">
        <v>125</v>
      </c>
      <c r="D144" s="5" t="s">
        <v>205</v>
      </c>
      <c r="E144" s="67" t="s">
        <v>782</v>
      </c>
    </row>
    <row r="145" spans="1:5" x14ac:dyDescent="0.2">
      <c r="A145" s="63" t="s">
        <v>686</v>
      </c>
      <c r="B145" s="5" t="s">
        <v>123</v>
      </c>
      <c r="C145" s="5" t="s">
        <v>140</v>
      </c>
      <c r="D145" s="5" t="s">
        <v>183</v>
      </c>
      <c r="E145" s="67" t="s">
        <v>783</v>
      </c>
    </row>
    <row r="146" spans="1:5" x14ac:dyDescent="0.2">
      <c r="A146" s="63" t="s">
        <v>690</v>
      </c>
      <c r="B146" s="5" t="s">
        <v>123</v>
      </c>
      <c r="C146" s="5" t="s">
        <v>140</v>
      </c>
      <c r="D146" s="5" t="s">
        <v>183</v>
      </c>
      <c r="E146" s="67" t="s">
        <v>784</v>
      </c>
    </row>
    <row r="147" spans="1:5" x14ac:dyDescent="0.2">
      <c r="A147" s="63" t="s">
        <v>715</v>
      </c>
      <c r="B147" s="5" t="s">
        <v>123</v>
      </c>
      <c r="C147" s="5" t="s">
        <v>117</v>
      </c>
      <c r="D147" s="5" t="s">
        <v>184</v>
      </c>
      <c r="E147" s="67" t="s">
        <v>785</v>
      </c>
    </row>
    <row r="148" spans="1:5" x14ac:dyDescent="0.2">
      <c r="A148" s="63" t="s">
        <v>629</v>
      </c>
      <c r="B148" s="5" t="s">
        <v>123</v>
      </c>
      <c r="C148" s="5" t="s">
        <v>121</v>
      </c>
      <c r="D148" s="5" t="s">
        <v>189</v>
      </c>
      <c r="E148" s="67" t="s">
        <v>786</v>
      </c>
    </row>
    <row r="149" spans="1:5" x14ac:dyDescent="0.2">
      <c r="A149" s="63" t="s">
        <v>634</v>
      </c>
      <c r="B149" s="5" t="s">
        <v>123</v>
      </c>
      <c r="C149" s="5" t="s">
        <v>121</v>
      </c>
      <c r="D149" s="5" t="s">
        <v>633</v>
      </c>
      <c r="E149" s="67" t="s">
        <v>787</v>
      </c>
    </row>
    <row r="150" spans="1:5" x14ac:dyDescent="0.2">
      <c r="A150" s="63" t="s">
        <v>597</v>
      </c>
      <c r="B150" s="5" t="s">
        <v>123</v>
      </c>
      <c r="C150" s="5" t="s">
        <v>507</v>
      </c>
      <c r="D150" s="5" t="s">
        <v>577</v>
      </c>
      <c r="E150" s="67" t="s">
        <v>788</v>
      </c>
    </row>
    <row r="151" spans="1:5" x14ac:dyDescent="0.2">
      <c r="A151" s="63" t="s">
        <v>743</v>
      </c>
      <c r="B151" s="5" t="s">
        <v>123</v>
      </c>
      <c r="C151" s="5" t="s">
        <v>183</v>
      </c>
      <c r="D151" s="5" t="s">
        <v>190</v>
      </c>
      <c r="E151" s="67" t="s">
        <v>789</v>
      </c>
    </row>
    <row r="153" spans="1:5" ht="14.25" x14ac:dyDescent="0.2">
      <c r="A153" s="64"/>
      <c r="B153" s="65" t="s">
        <v>133</v>
      </c>
    </row>
    <row r="154" spans="1:5" ht="15" x14ac:dyDescent="0.2">
      <c r="A154" s="66" t="s">
        <v>0</v>
      </c>
      <c r="B154" s="66" t="s">
        <v>113</v>
      </c>
      <c r="C154" s="66" t="s">
        <v>114</v>
      </c>
      <c r="D154" s="66" t="s">
        <v>115</v>
      </c>
      <c r="E154" s="66" t="s">
        <v>14</v>
      </c>
    </row>
    <row r="155" spans="1:5" x14ac:dyDescent="0.2">
      <c r="A155" s="63" t="s">
        <v>653</v>
      </c>
      <c r="B155" s="5" t="s">
        <v>790</v>
      </c>
      <c r="C155" s="5" t="s">
        <v>121</v>
      </c>
      <c r="D155" s="5" t="s">
        <v>199</v>
      </c>
      <c r="E155" s="67" t="s">
        <v>791</v>
      </c>
    </row>
    <row r="156" spans="1:5" x14ac:dyDescent="0.2">
      <c r="A156" s="63" t="s">
        <v>738</v>
      </c>
      <c r="B156" s="5" t="s">
        <v>790</v>
      </c>
      <c r="C156" s="5" t="s">
        <v>127</v>
      </c>
      <c r="D156" s="5" t="s">
        <v>595</v>
      </c>
      <c r="E156" s="67" t="s">
        <v>792</v>
      </c>
    </row>
    <row r="157" spans="1:5" x14ac:dyDescent="0.2">
      <c r="A157" s="63" t="s">
        <v>600</v>
      </c>
      <c r="B157" s="5" t="s">
        <v>793</v>
      </c>
      <c r="C157" s="5" t="s">
        <v>507</v>
      </c>
      <c r="D157" s="5" t="s">
        <v>127</v>
      </c>
      <c r="E157" s="67" t="s">
        <v>794</v>
      </c>
    </row>
    <row r="158" spans="1:5" x14ac:dyDescent="0.2">
      <c r="A158" s="63" t="s">
        <v>646</v>
      </c>
      <c r="B158" s="5" t="s">
        <v>793</v>
      </c>
      <c r="C158" s="5" t="s">
        <v>121</v>
      </c>
      <c r="D158" s="5" t="s">
        <v>182</v>
      </c>
      <c r="E158" s="67" t="s">
        <v>795</v>
      </c>
    </row>
    <row r="159" spans="1:5" x14ac:dyDescent="0.2">
      <c r="A159" s="63" t="s">
        <v>638</v>
      </c>
      <c r="B159" s="5" t="s">
        <v>136</v>
      </c>
      <c r="C159" s="5" t="s">
        <v>121</v>
      </c>
      <c r="D159" s="5" t="s">
        <v>239</v>
      </c>
      <c r="E159" s="67" t="s">
        <v>796</v>
      </c>
    </row>
    <row r="160" spans="1:5" x14ac:dyDescent="0.2">
      <c r="A160" s="63" t="s">
        <v>657</v>
      </c>
      <c r="B160" s="5" t="s">
        <v>790</v>
      </c>
      <c r="C160" s="5" t="s">
        <v>121</v>
      </c>
      <c r="D160" s="5" t="s">
        <v>560</v>
      </c>
      <c r="E160" s="67" t="s">
        <v>797</v>
      </c>
    </row>
    <row r="161" spans="1:5" x14ac:dyDescent="0.2">
      <c r="A161" s="63" t="s">
        <v>719</v>
      </c>
      <c r="B161" s="5" t="s">
        <v>134</v>
      </c>
      <c r="C161" s="5" t="s">
        <v>117</v>
      </c>
      <c r="D161" s="5" t="s">
        <v>666</v>
      </c>
      <c r="E161" s="67" t="s">
        <v>798</v>
      </c>
    </row>
    <row r="162" spans="1:5" x14ac:dyDescent="0.2">
      <c r="A162" s="63" t="s">
        <v>649</v>
      </c>
      <c r="B162" s="5" t="s">
        <v>138</v>
      </c>
      <c r="C162" s="5" t="s">
        <v>121</v>
      </c>
      <c r="D162" s="5" t="s">
        <v>140</v>
      </c>
      <c r="E162" s="67" t="s">
        <v>799</v>
      </c>
    </row>
    <row r="163" spans="1:5" x14ac:dyDescent="0.2">
      <c r="A163" s="63" t="s">
        <v>642</v>
      </c>
      <c r="B163" s="5" t="s">
        <v>136</v>
      </c>
      <c r="C163" s="5" t="s">
        <v>121</v>
      </c>
      <c r="D163" s="5" t="s">
        <v>633</v>
      </c>
      <c r="E163" s="67" t="s">
        <v>800</v>
      </c>
    </row>
    <row r="164" spans="1:5" x14ac:dyDescent="0.2">
      <c r="A164" s="63" t="s">
        <v>731</v>
      </c>
      <c r="B164" s="5" t="s">
        <v>136</v>
      </c>
      <c r="C164" s="5" t="s">
        <v>125</v>
      </c>
      <c r="D164" s="5" t="s">
        <v>596</v>
      </c>
      <c r="E164" s="67" t="s">
        <v>801</v>
      </c>
    </row>
    <row r="165" spans="1:5" x14ac:dyDescent="0.2">
      <c r="A165" s="63" t="s">
        <v>747</v>
      </c>
      <c r="B165" s="5" t="s">
        <v>138</v>
      </c>
      <c r="C165" s="5" t="s">
        <v>183</v>
      </c>
      <c r="D165" s="5" t="s">
        <v>117</v>
      </c>
      <c r="E165" s="67" t="s">
        <v>802</v>
      </c>
    </row>
    <row r="166" spans="1:5" x14ac:dyDescent="0.2">
      <c r="A166" s="63" t="s">
        <v>693</v>
      </c>
      <c r="B166" s="5" t="s">
        <v>142</v>
      </c>
      <c r="C166" s="5" t="s">
        <v>140</v>
      </c>
      <c r="D166" s="5" t="s">
        <v>311</v>
      </c>
      <c r="E166" s="67" t="s">
        <v>803</v>
      </c>
    </row>
    <row r="167" spans="1:5" x14ac:dyDescent="0.2">
      <c r="A167" s="63" t="s">
        <v>426</v>
      </c>
      <c r="B167" s="5" t="s">
        <v>136</v>
      </c>
      <c r="C167" s="5" t="s">
        <v>507</v>
      </c>
      <c r="D167" s="5" t="s">
        <v>129</v>
      </c>
      <c r="E167" s="67" t="s">
        <v>804</v>
      </c>
    </row>
    <row r="168" spans="1:5" x14ac:dyDescent="0.2">
      <c r="A168" s="63" t="s">
        <v>470</v>
      </c>
      <c r="B168" s="5" t="s">
        <v>134</v>
      </c>
      <c r="C168" s="5" t="s">
        <v>140</v>
      </c>
      <c r="D168" s="5" t="s">
        <v>140</v>
      </c>
      <c r="E168" s="67" t="s">
        <v>805</v>
      </c>
    </row>
  </sheetData>
  <mergeCells count="26">
    <mergeCell ref="A42:L42"/>
    <mergeCell ref="A54:L54"/>
    <mergeCell ref="A67:L67"/>
    <mergeCell ref="A76:L76"/>
    <mergeCell ref="A82:L82"/>
    <mergeCell ref="A86:L86"/>
    <mergeCell ref="A14:L14"/>
    <mergeCell ref="A17:L17"/>
    <mergeCell ref="A20:L20"/>
    <mergeCell ref="A23:L23"/>
    <mergeCell ref="A26:L26"/>
    <mergeCell ref="A36:L36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4.7109375" style="5" bestFit="1" customWidth="1"/>
    <col min="3" max="3" width="7.7109375" style="5" bestFit="1" customWidth="1"/>
    <col min="4" max="4" width="7.28515625" style="5" customWidth="1"/>
    <col min="5" max="5" width="17.28515625" style="4" bestFit="1" customWidth="1"/>
    <col min="6" max="6" width="14.5703125" style="4" bestFit="1" customWidth="1"/>
    <col min="7" max="9" width="2.140625" style="5" bestFit="1" customWidth="1"/>
    <col min="10" max="10" width="5" style="5" bestFit="1" customWidth="1"/>
    <col min="11" max="11" width="6.140625" style="4" bestFit="1" customWidth="1"/>
    <col min="12" max="12" width="4.285156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544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/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x14ac:dyDescent="0.2">
      <c r="A5" s="4"/>
      <c r="E5" s="4"/>
      <c r="F5" s="4"/>
      <c r="K5" s="4"/>
      <c r="M5" s="4"/>
    </row>
    <row r="6" spans="1:13" s="5" customFormat="1" ht="15" x14ac:dyDescent="0.2">
      <c r="A6" s="4"/>
      <c r="E6" s="58" t="s">
        <v>104</v>
      </c>
      <c r="F6" s="4"/>
      <c r="K6" s="4"/>
      <c r="M6" s="4"/>
    </row>
    <row r="7" spans="1:13" s="5" customFormat="1" ht="15" x14ac:dyDescent="0.2">
      <c r="A7" s="4"/>
      <c r="E7" s="58" t="s">
        <v>105</v>
      </c>
      <c r="F7" s="4"/>
      <c r="K7" s="4"/>
      <c r="M7" s="4"/>
    </row>
    <row r="8" spans="1:13" ht="15" x14ac:dyDescent="0.2">
      <c r="E8" s="58" t="s">
        <v>106</v>
      </c>
    </row>
    <row r="9" spans="1:13" x14ac:dyDescent="0.2">
      <c r="E9" s="4" t="s">
        <v>107</v>
      </c>
    </row>
    <row r="10" spans="1:13" x14ac:dyDescent="0.2">
      <c r="E10" s="4" t="s">
        <v>108</v>
      </c>
    </row>
    <row r="11" spans="1:13" x14ac:dyDescent="0.2">
      <c r="E11" s="4" t="s">
        <v>109</v>
      </c>
    </row>
    <row r="14" spans="1:13" ht="18" x14ac:dyDescent="0.25">
      <c r="A14" s="59" t="s">
        <v>110</v>
      </c>
      <c r="B14" s="60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U2"/>
    </sheetView>
  </sheetViews>
  <sheetFormatPr defaultRowHeight="12.75" x14ac:dyDescent="0.2"/>
  <cols>
    <col min="1" max="1" width="27" style="4" bestFit="1" customWidth="1"/>
    <col min="2" max="2" width="19.140625" style="5" bestFit="1" customWidth="1"/>
    <col min="3" max="3" width="7.7109375" style="5" bestFit="1" customWidth="1"/>
    <col min="4" max="4" width="9.28515625" style="5" bestFit="1" customWidth="1"/>
    <col min="5" max="5" width="17.28515625" style="4" bestFit="1" customWidth="1"/>
    <col min="6" max="6" width="24.42578125" style="4" bestFit="1" customWidth="1"/>
    <col min="7" max="9" width="5.5703125" style="5" bestFit="1" customWidth="1"/>
    <col min="10" max="10" width="5" style="5" bestFit="1" customWidth="1"/>
    <col min="11" max="11" width="6.140625" style="4" bestFit="1" customWidth="1"/>
    <col min="12" max="12" width="8.5703125" style="5" bestFit="1" customWidth="1"/>
    <col min="13" max="13" width="7.42578125" style="4" bestFit="1" customWidth="1"/>
    <col min="14" max="16384" width="9.140625" style="3"/>
  </cols>
  <sheetData>
    <row r="1" spans="1:13" s="2" customFormat="1" ht="29.1" customHeight="1" x14ac:dyDescent="0.2">
      <c r="A1" s="43" t="s">
        <v>528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.1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1" customFormat="1" ht="12.75" customHeight="1" x14ac:dyDescent="0.2">
      <c r="A3" s="25" t="s">
        <v>0</v>
      </c>
      <c r="B3" s="29" t="s">
        <v>12</v>
      </c>
      <c r="C3" s="29" t="s">
        <v>9</v>
      </c>
      <c r="D3" s="26" t="s">
        <v>14</v>
      </c>
      <c r="E3" s="26" t="s">
        <v>1</v>
      </c>
      <c r="F3" s="32" t="s">
        <v>15</v>
      </c>
      <c r="G3" s="25" t="s">
        <v>5</v>
      </c>
      <c r="H3" s="26"/>
      <c r="I3" s="26"/>
      <c r="J3" s="27"/>
      <c r="K3" s="49" t="s">
        <v>145</v>
      </c>
      <c r="L3" s="26" t="s">
        <v>7</v>
      </c>
      <c r="M3" s="27" t="s">
        <v>6</v>
      </c>
    </row>
    <row r="4" spans="1:13" s="1" customFormat="1" ht="23.25" customHeight="1" thickBot="1" x14ac:dyDescent="0.25">
      <c r="A4" s="28"/>
      <c r="B4" s="30"/>
      <c r="C4" s="30"/>
      <c r="D4" s="30"/>
      <c r="E4" s="30"/>
      <c r="F4" s="33"/>
      <c r="G4" s="12">
        <v>1</v>
      </c>
      <c r="H4" s="13">
        <v>2</v>
      </c>
      <c r="I4" s="13">
        <v>3</v>
      </c>
      <c r="J4" s="14" t="s">
        <v>8</v>
      </c>
      <c r="K4" s="50"/>
      <c r="L4" s="30"/>
      <c r="M4" s="31"/>
    </row>
    <row r="5" spans="1:13" s="5" customFormat="1" ht="15" x14ac:dyDescent="0.2">
      <c r="A5" s="34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4"/>
    </row>
    <row r="6" spans="1:13" s="5" customFormat="1" x14ac:dyDescent="0.2">
      <c r="A6" s="56" t="s">
        <v>530</v>
      </c>
      <c r="B6" s="42" t="s">
        <v>531</v>
      </c>
      <c r="C6" s="42" t="s">
        <v>532</v>
      </c>
      <c r="D6" s="42" t="str">
        <f>"0,7650"</f>
        <v>0,7650</v>
      </c>
      <c r="E6" s="56" t="s">
        <v>21</v>
      </c>
      <c r="F6" s="56" t="s">
        <v>22</v>
      </c>
      <c r="G6" s="57" t="s">
        <v>140</v>
      </c>
      <c r="H6" s="42" t="s">
        <v>140</v>
      </c>
      <c r="I6" s="42" t="s">
        <v>125</v>
      </c>
      <c r="J6" s="57"/>
      <c r="K6" s="56" t="str">
        <f>"110,0"</f>
        <v>110,0</v>
      </c>
      <c r="L6" s="42" t="str">
        <f>"84,1500"</f>
        <v>84,1500</v>
      </c>
      <c r="M6" s="56"/>
    </row>
    <row r="7" spans="1:13" s="5" customFormat="1" x14ac:dyDescent="0.2">
      <c r="A7" s="4"/>
      <c r="E7" s="4"/>
      <c r="F7" s="4"/>
      <c r="K7" s="4"/>
      <c r="M7" s="4"/>
    </row>
    <row r="8" spans="1:13" ht="15" x14ac:dyDescent="0.2">
      <c r="A8" s="52" t="s">
        <v>16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x14ac:dyDescent="0.2">
      <c r="A9" s="56" t="s">
        <v>440</v>
      </c>
      <c r="B9" s="42" t="s">
        <v>441</v>
      </c>
      <c r="C9" s="42" t="s">
        <v>442</v>
      </c>
      <c r="D9" s="42" t="str">
        <f>"0,6687"</f>
        <v>0,6687</v>
      </c>
      <c r="E9" s="56" t="s">
        <v>21</v>
      </c>
      <c r="F9" s="56" t="s">
        <v>22</v>
      </c>
      <c r="G9" s="42" t="s">
        <v>67</v>
      </c>
      <c r="H9" s="57" t="s">
        <v>35</v>
      </c>
      <c r="I9" s="57" t="s">
        <v>35</v>
      </c>
      <c r="J9" s="57"/>
      <c r="K9" s="56" t="str">
        <f>"220,0"</f>
        <v>220,0</v>
      </c>
      <c r="L9" s="42" t="str">
        <f>"147,1140"</f>
        <v>147,1140</v>
      </c>
      <c r="M9" s="56"/>
    </row>
    <row r="11" spans="1:13" ht="15" x14ac:dyDescent="0.2">
      <c r="A11" s="52" t="s">
        <v>46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3" x14ac:dyDescent="0.2">
      <c r="A12" s="56" t="s">
        <v>534</v>
      </c>
      <c r="B12" s="42" t="s">
        <v>535</v>
      </c>
      <c r="C12" s="42" t="s">
        <v>286</v>
      </c>
      <c r="D12" s="42" t="str">
        <f>"0,5869"</f>
        <v>0,5869</v>
      </c>
      <c r="E12" s="56" t="s">
        <v>21</v>
      </c>
      <c r="F12" s="56" t="s">
        <v>22</v>
      </c>
      <c r="G12" s="42" t="s">
        <v>35</v>
      </c>
      <c r="H12" s="57" t="s">
        <v>92</v>
      </c>
      <c r="I12" s="57" t="s">
        <v>92</v>
      </c>
      <c r="J12" s="57"/>
      <c r="K12" s="56" t="str">
        <f>"245,0"</f>
        <v>245,0</v>
      </c>
      <c r="L12" s="42" t="str">
        <f>"143,7905"</f>
        <v>143,7905</v>
      </c>
      <c r="M12" s="56"/>
    </row>
    <row r="14" spans="1:13" ht="15" x14ac:dyDescent="0.2">
      <c r="A14" s="52" t="s">
        <v>54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3" x14ac:dyDescent="0.2">
      <c r="A15" s="56" t="s">
        <v>537</v>
      </c>
      <c r="B15" s="42" t="s">
        <v>538</v>
      </c>
      <c r="C15" s="42" t="s">
        <v>539</v>
      </c>
      <c r="D15" s="42" t="str">
        <f>"0,5578"</f>
        <v>0,5578</v>
      </c>
      <c r="E15" s="56" t="s">
        <v>21</v>
      </c>
      <c r="F15" s="56" t="s">
        <v>22</v>
      </c>
      <c r="G15" s="42" t="s">
        <v>23</v>
      </c>
      <c r="H15" s="42" t="s">
        <v>67</v>
      </c>
      <c r="I15" s="42" t="s">
        <v>52</v>
      </c>
      <c r="J15" s="57"/>
      <c r="K15" s="56" t="str">
        <f>"255,0"</f>
        <v>255,0</v>
      </c>
      <c r="L15" s="42" t="str">
        <f>"142,2390"</f>
        <v>142,2390</v>
      </c>
      <c r="M15" s="56"/>
    </row>
    <row r="17" spans="1:5" ht="15" x14ac:dyDescent="0.2">
      <c r="E17" s="58" t="s">
        <v>104</v>
      </c>
    </row>
    <row r="18" spans="1:5" ht="15" x14ac:dyDescent="0.2">
      <c r="E18" s="58" t="s">
        <v>105</v>
      </c>
    </row>
    <row r="19" spans="1:5" ht="15" x14ac:dyDescent="0.2">
      <c r="E19" s="58" t="s">
        <v>106</v>
      </c>
    </row>
    <row r="20" spans="1:5" x14ac:dyDescent="0.2">
      <c r="E20" s="4" t="s">
        <v>107</v>
      </c>
    </row>
    <row r="21" spans="1:5" x14ac:dyDescent="0.2">
      <c r="E21" s="4" t="s">
        <v>108</v>
      </c>
    </row>
    <row r="22" spans="1:5" x14ac:dyDescent="0.2">
      <c r="E22" s="4" t="s">
        <v>109</v>
      </c>
    </row>
    <row r="25" spans="1:5" ht="18" x14ac:dyDescent="0.25">
      <c r="A25" s="59" t="s">
        <v>110</v>
      </c>
      <c r="B25" s="60"/>
    </row>
    <row r="26" spans="1:5" ht="15" x14ac:dyDescent="0.2">
      <c r="A26" s="61" t="s">
        <v>257</v>
      </c>
      <c r="B26" s="62"/>
    </row>
    <row r="27" spans="1:5" ht="14.25" x14ac:dyDescent="0.2">
      <c r="A27" s="64"/>
      <c r="B27" s="65" t="s">
        <v>123</v>
      </c>
    </row>
    <row r="28" spans="1:5" ht="15" x14ac:dyDescent="0.2">
      <c r="A28" s="66" t="s">
        <v>0</v>
      </c>
      <c r="B28" s="66" t="s">
        <v>113</v>
      </c>
      <c r="C28" s="66" t="s">
        <v>114</v>
      </c>
      <c r="D28" s="66" t="s">
        <v>115</v>
      </c>
      <c r="E28" s="66" t="s">
        <v>14</v>
      </c>
    </row>
    <row r="29" spans="1:5" x14ac:dyDescent="0.2">
      <c r="A29" s="63" t="s">
        <v>529</v>
      </c>
      <c r="B29" s="5" t="s">
        <v>123</v>
      </c>
      <c r="C29" s="5" t="s">
        <v>129</v>
      </c>
      <c r="D29" s="5" t="s">
        <v>125</v>
      </c>
      <c r="E29" s="67" t="s">
        <v>540</v>
      </c>
    </row>
    <row r="32" spans="1:5" ht="15" x14ac:dyDescent="0.2">
      <c r="A32" s="61" t="s">
        <v>111</v>
      </c>
      <c r="B32" s="62"/>
    </row>
    <row r="33" spans="1:5" ht="14.25" x14ac:dyDescent="0.2">
      <c r="A33" s="64"/>
      <c r="B33" s="65" t="s">
        <v>123</v>
      </c>
    </row>
    <row r="34" spans="1:5" ht="15" x14ac:dyDescent="0.2">
      <c r="A34" s="66" t="s">
        <v>0</v>
      </c>
      <c r="B34" s="66" t="s">
        <v>113</v>
      </c>
      <c r="C34" s="66" t="s">
        <v>114</v>
      </c>
      <c r="D34" s="66" t="s">
        <v>115</v>
      </c>
      <c r="E34" s="66" t="s">
        <v>14</v>
      </c>
    </row>
    <row r="35" spans="1:5" x14ac:dyDescent="0.2">
      <c r="A35" s="63" t="s">
        <v>439</v>
      </c>
      <c r="B35" s="5" t="s">
        <v>123</v>
      </c>
      <c r="C35" s="5" t="s">
        <v>129</v>
      </c>
      <c r="D35" s="5" t="s">
        <v>67</v>
      </c>
      <c r="E35" s="67" t="s">
        <v>541</v>
      </c>
    </row>
    <row r="36" spans="1:5" x14ac:dyDescent="0.2">
      <c r="A36" s="63" t="s">
        <v>533</v>
      </c>
      <c r="B36" s="5" t="s">
        <v>123</v>
      </c>
      <c r="C36" s="5" t="s">
        <v>140</v>
      </c>
      <c r="D36" s="5" t="s">
        <v>35</v>
      </c>
      <c r="E36" s="67" t="s">
        <v>542</v>
      </c>
    </row>
    <row r="37" spans="1:5" x14ac:dyDescent="0.2">
      <c r="A37" s="63" t="s">
        <v>536</v>
      </c>
      <c r="B37" s="5" t="s">
        <v>123</v>
      </c>
      <c r="C37" s="5" t="s">
        <v>117</v>
      </c>
      <c r="D37" s="5" t="s">
        <v>52</v>
      </c>
      <c r="E37" s="67" t="s">
        <v>543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Лист18</vt:lpstr>
      <vt:lpstr>AWPA m.ply PL</vt:lpstr>
      <vt:lpstr>AWPA s.ply PL</vt:lpstr>
      <vt:lpstr>AWPA raw PL</vt:lpstr>
      <vt:lpstr>AWPA m.ply BP</vt:lpstr>
      <vt:lpstr>AWPA s.ply BP</vt:lpstr>
      <vt:lpstr>AWPA raw BP</vt:lpstr>
      <vt:lpstr>AWPA m.ply DL</vt:lpstr>
      <vt:lpstr>AWPA s.ply DL</vt:lpstr>
      <vt:lpstr>AWPA raw DL</vt:lpstr>
      <vt:lpstr>WPA m.ply PL</vt:lpstr>
      <vt:lpstr>WPA s.ply PL</vt:lpstr>
      <vt:lpstr>WPA raw PL</vt:lpstr>
      <vt:lpstr>WPA m.ply BP</vt:lpstr>
      <vt:lpstr>WPA s.ply BP</vt:lpstr>
      <vt:lpstr>WPA raw BP</vt:lpstr>
      <vt:lpstr>WPA m.ply DL</vt:lpstr>
      <vt:lpstr>WPA s.ply DL</vt:lpstr>
      <vt:lpstr>WPA raw DL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ASUS</cp:lastModifiedBy>
  <cp:lastPrinted>2008-02-22T21:19:54Z</cp:lastPrinted>
  <dcterms:created xsi:type="dcterms:W3CDTF">2002-06-16T13:36:44Z</dcterms:created>
  <dcterms:modified xsi:type="dcterms:W3CDTF">2019-02-04T11:57:21Z</dcterms:modified>
</cp:coreProperties>
</file>