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Август/"/>
    </mc:Choice>
  </mc:AlternateContent>
  <xr:revisionPtr revIDLastSave="0" documentId="13_ncr:1_{06C1D642-18A5-FA44-9255-F74D57EE4CDD}" xr6:coauthVersionLast="45" xr6:coauthVersionMax="45" xr10:uidLastSave="{00000000-0000-0000-0000-000000000000}"/>
  <bookViews>
    <workbookView xWindow="0" yWindow="460" windowWidth="28800" windowHeight="16240" tabRatio="922" xr2:uid="{00000000-000D-0000-FFFF-FFFF00000000}"/>
  </bookViews>
  <sheets>
    <sheet name="WRPF ПЛ без экипировки ДК" sheetId="29" r:id="rId1"/>
    <sheet name="WRPF ПЛ без экипировки" sheetId="28" r:id="rId2"/>
    <sheet name="WRPF ПЛ в бинтах ДК" sheetId="25" r:id="rId3"/>
    <sheet name="WRPF ПЛ в бинтах" sheetId="24" r:id="rId4"/>
    <sheet name="WRPF Жим лежа без экип ДК" sheetId="34" r:id="rId5"/>
    <sheet name="WRPF Жим лежа без экип" sheetId="33" r:id="rId6"/>
    <sheet name="WEPF Жим однослой ДК" sheetId="37" r:id="rId7"/>
    <sheet name="WEPF Жим однослой" sheetId="36" r:id="rId8"/>
    <sheet name="WEPF Жим софт однопетельная ДК" sheetId="35" r:id="rId9"/>
    <sheet name="WEPF Жим софт однопетельная" sheetId="32" r:id="rId10"/>
    <sheet name="WEPF Жим софт многопетельнаяДК" sheetId="39" r:id="rId11"/>
    <sheet name="WEPF Жим софт многопетельная" sheetId="38" r:id="rId12"/>
    <sheet name="WRPF Жим СФО" sheetId="54" r:id="rId13"/>
    <sheet name="WRPF Тяга без экипировки ДК" sheetId="43" r:id="rId14"/>
    <sheet name="WRPF Тяга без экипировки" sheetId="42" r:id="rId15"/>
    <sheet name="WEPF Тяга экип ДК" sheetId="45" r:id="rId16"/>
    <sheet name="WRPF Подъем на бицепс" sheetId="55" r:id="rId1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28" l="1"/>
  <c r="E34" i="34" l="1"/>
  <c r="L34" i="34"/>
  <c r="L31" i="33" l="1"/>
  <c r="K31" i="33"/>
  <c r="E31" i="33"/>
  <c r="L35" i="33"/>
  <c r="K35" i="33"/>
  <c r="E35" i="33"/>
  <c r="E34" i="33"/>
  <c r="L50" i="55"/>
  <c r="K50" i="55"/>
  <c r="E50" i="55"/>
  <c r="L49" i="55"/>
  <c r="K49" i="55"/>
  <c r="E49" i="55"/>
  <c r="L48" i="55"/>
  <c r="K48" i="55"/>
  <c r="E48" i="55"/>
  <c r="L45" i="55"/>
  <c r="K45" i="55"/>
  <c r="E45" i="55"/>
  <c r="L42" i="55"/>
  <c r="K42" i="55"/>
  <c r="E42" i="55"/>
  <c r="L41" i="55"/>
  <c r="K41" i="55"/>
  <c r="E41" i="55"/>
  <c r="L40" i="55"/>
  <c r="K40" i="55"/>
  <c r="E40" i="55"/>
  <c r="L37" i="55"/>
  <c r="K37" i="55"/>
  <c r="E37" i="55"/>
  <c r="L36" i="55"/>
  <c r="K36" i="55"/>
  <c r="E36" i="55"/>
  <c r="L33" i="55"/>
  <c r="K33" i="55"/>
  <c r="E33" i="55"/>
  <c r="L32" i="55"/>
  <c r="K32" i="55"/>
  <c r="E32" i="55"/>
  <c r="L31" i="55"/>
  <c r="K31" i="55"/>
  <c r="E31" i="55"/>
  <c r="L28" i="55"/>
  <c r="K28" i="55"/>
  <c r="E28" i="55"/>
  <c r="L27" i="55"/>
  <c r="K27" i="55"/>
  <c r="E27" i="55"/>
  <c r="L26" i="55"/>
  <c r="K26" i="55"/>
  <c r="E26" i="55"/>
  <c r="L25" i="55"/>
  <c r="K25" i="55"/>
  <c r="E25" i="55"/>
  <c r="L24" i="55"/>
  <c r="K24" i="55"/>
  <c r="E24" i="55"/>
  <c r="L23" i="55"/>
  <c r="K23" i="55"/>
  <c r="E23" i="55"/>
  <c r="L22" i="55"/>
  <c r="K22" i="55"/>
  <c r="E22" i="55"/>
  <c r="L21" i="55"/>
  <c r="K21" i="55"/>
  <c r="E21" i="55"/>
  <c r="L18" i="55"/>
  <c r="K18" i="55"/>
  <c r="E18" i="55"/>
  <c r="L17" i="55"/>
  <c r="K17" i="55"/>
  <c r="E17" i="55"/>
  <c r="L16" i="55"/>
  <c r="K16" i="55"/>
  <c r="E16" i="55"/>
  <c r="L13" i="55"/>
  <c r="E13" i="55"/>
  <c r="L10" i="55"/>
  <c r="K10" i="55"/>
  <c r="E10" i="55"/>
  <c r="L9" i="55"/>
  <c r="K9" i="55"/>
  <c r="E9" i="55"/>
  <c r="L6" i="55"/>
  <c r="K6" i="55"/>
  <c r="E6" i="55"/>
  <c r="L9" i="54"/>
  <c r="K9" i="54"/>
  <c r="E9" i="54"/>
  <c r="L6" i="54"/>
  <c r="K6" i="54"/>
  <c r="E6" i="54"/>
  <c r="L9" i="45"/>
  <c r="K9" i="45"/>
  <c r="E9" i="45"/>
  <c r="L6" i="45"/>
  <c r="K6" i="45"/>
  <c r="E6" i="45"/>
  <c r="L69" i="43"/>
  <c r="K69" i="43"/>
  <c r="E69" i="43"/>
  <c r="L68" i="43"/>
  <c r="K68" i="43"/>
  <c r="E68" i="43"/>
  <c r="L67" i="43"/>
  <c r="K67" i="43"/>
  <c r="E67" i="43"/>
  <c r="L64" i="43"/>
  <c r="K64" i="43"/>
  <c r="E64" i="43"/>
  <c r="L63" i="43"/>
  <c r="K63" i="43"/>
  <c r="E63" i="43"/>
  <c r="L60" i="43"/>
  <c r="K60" i="43"/>
  <c r="E60" i="43"/>
  <c r="L59" i="43"/>
  <c r="K59" i="43"/>
  <c r="E59" i="43"/>
  <c r="L56" i="43"/>
  <c r="K56" i="43"/>
  <c r="E56" i="43"/>
  <c r="L55" i="43"/>
  <c r="K55" i="43"/>
  <c r="E55" i="43"/>
  <c r="L54" i="43"/>
  <c r="K54" i="43"/>
  <c r="E54" i="43"/>
  <c r="L53" i="43"/>
  <c r="K53" i="43"/>
  <c r="E53" i="43"/>
  <c r="L52" i="43"/>
  <c r="K52" i="43"/>
  <c r="E52" i="43"/>
  <c r="L49" i="43"/>
  <c r="K49" i="43"/>
  <c r="E49" i="43"/>
  <c r="L48" i="43"/>
  <c r="K48" i="43"/>
  <c r="E48" i="43"/>
  <c r="L47" i="43"/>
  <c r="K47" i="43"/>
  <c r="E47" i="43"/>
  <c r="L46" i="43"/>
  <c r="K46" i="43"/>
  <c r="E46" i="43"/>
  <c r="L43" i="43"/>
  <c r="K43" i="43"/>
  <c r="E43" i="43"/>
  <c r="L42" i="43"/>
  <c r="K42" i="43"/>
  <c r="E42" i="43"/>
  <c r="L41" i="43"/>
  <c r="K41" i="43"/>
  <c r="E41" i="43"/>
  <c r="L40" i="43"/>
  <c r="K40" i="43"/>
  <c r="E40" i="43"/>
  <c r="L39" i="43"/>
  <c r="K39" i="43"/>
  <c r="E39" i="43"/>
  <c r="L38" i="43"/>
  <c r="K38" i="43"/>
  <c r="E38" i="43"/>
  <c r="L37" i="43"/>
  <c r="K37" i="43"/>
  <c r="E37" i="43"/>
  <c r="L34" i="43"/>
  <c r="K34" i="43"/>
  <c r="E34" i="43"/>
  <c r="L33" i="43"/>
  <c r="K33" i="43"/>
  <c r="E33" i="43"/>
  <c r="L32" i="43"/>
  <c r="K32" i="43"/>
  <c r="E32" i="43"/>
  <c r="L31" i="43"/>
  <c r="K31" i="43"/>
  <c r="E31" i="43"/>
  <c r="L30" i="43"/>
  <c r="K30" i="43"/>
  <c r="E30" i="43"/>
  <c r="L27" i="43"/>
  <c r="K27" i="43"/>
  <c r="E27" i="43"/>
  <c r="L26" i="43"/>
  <c r="K26" i="43"/>
  <c r="E26" i="43"/>
  <c r="L23" i="43"/>
  <c r="K23" i="43"/>
  <c r="E23" i="43"/>
  <c r="L20" i="43"/>
  <c r="K20" i="43"/>
  <c r="E20" i="43"/>
  <c r="L17" i="43"/>
  <c r="K17" i="43"/>
  <c r="E17" i="43"/>
  <c r="L16" i="43"/>
  <c r="K16" i="43"/>
  <c r="E16" i="43"/>
  <c r="L13" i="43"/>
  <c r="K13" i="43"/>
  <c r="E13" i="43"/>
  <c r="L12" i="43"/>
  <c r="K12" i="43"/>
  <c r="E12" i="43"/>
  <c r="L9" i="43"/>
  <c r="K9" i="43"/>
  <c r="E9" i="43"/>
  <c r="L6" i="43"/>
  <c r="K6" i="43"/>
  <c r="E6" i="43"/>
  <c r="L51" i="42"/>
  <c r="K51" i="42"/>
  <c r="E51" i="42"/>
  <c r="L50" i="42"/>
  <c r="K50" i="42"/>
  <c r="E50" i="42"/>
  <c r="L47" i="42"/>
  <c r="K47" i="42"/>
  <c r="E47" i="42"/>
  <c r="L44" i="42"/>
  <c r="K44" i="42"/>
  <c r="E44" i="42"/>
  <c r="L43" i="42"/>
  <c r="K43" i="42"/>
  <c r="E43" i="42"/>
  <c r="L40" i="42"/>
  <c r="K40" i="42"/>
  <c r="E40" i="42"/>
  <c r="L39" i="42"/>
  <c r="K39" i="42"/>
  <c r="E39" i="42"/>
  <c r="L38" i="42"/>
  <c r="E38" i="42"/>
  <c r="L37" i="42"/>
  <c r="K37" i="42"/>
  <c r="E37" i="42"/>
  <c r="L36" i="42"/>
  <c r="K36" i="42"/>
  <c r="E36" i="42"/>
  <c r="L35" i="42"/>
  <c r="K35" i="42"/>
  <c r="E35" i="42"/>
  <c r="L32" i="42"/>
  <c r="K32" i="42"/>
  <c r="E32" i="42"/>
  <c r="L31" i="42"/>
  <c r="E31" i="42"/>
  <c r="L30" i="42"/>
  <c r="K30" i="42"/>
  <c r="E30" i="42"/>
  <c r="L29" i="42"/>
  <c r="K29" i="42"/>
  <c r="E29" i="42"/>
  <c r="L28" i="42"/>
  <c r="K28" i="42"/>
  <c r="E28" i="42"/>
  <c r="L25" i="42"/>
  <c r="K25" i="42"/>
  <c r="E25" i="42"/>
  <c r="L24" i="42"/>
  <c r="K24" i="42"/>
  <c r="E24" i="42"/>
  <c r="L23" i="42"/>
  <c r="K23" i="42"/>
  <c r="E23" i="42"/>
  <c r="L20" i="42"/>
  <c r="K20" i="42"/>
  <c r="E20" i="42"/>
  <c r="L19" i="42"/>
  <c r="K19" i="42"/>
  <c r="E19" i="42"/>
  <c r="L18" i="42"/>
  <c r="K18" i="42"/>
  <c r="E18" i="42"/>
  <c r="L15" i="42"/>
  <c r="K15" i="42"/>
  <c r="E15" i="42"/>
  <c r="L12" i="42"/>
  <c r="K12" i="42"/>
  <c r="E12" i="42"/>
  <c r="L9" i="42"/>
  <c r="K9" i="42"/>
  <c r="E9" i="42"/>
  <c r="L6" i="42"/>
  <c r="K6" i="42"/>
  <c r="E6" i="42"/>
  <c r="L9" i="39"/>
  <c r="K9" i="39"/>
  <c r="E9" i="39"/>
  <c r="L6" i="39"/>
  <c r="K6" i="39"/>
  <c r="E6" i="39"/>
  <c r="L15" i="38"/>
  <c r="K15" i="38"/>
  <c r="E15" i="38"/>
  <c r="L14" i="38"/>
  <c r="K14" i="38"/>
  <c r="E14" i="38"/>
  <c r="L11" i="38"/>
  <c r="K11" i="38"/>
  <c r="E11" i="38"/>
  <c r="L10" i="38"/>
  <c r="K10" i="38"/>
  <c r="E10" i="38"/>
  <c r="L7" i="38"/>
  <c r="K7" i="38"/>
  <c r="E7" i="38"/>
  <c r="L6" i="38"/>
  <c r="K6" i="38"/>
  <c r="E6" i="38"/>
  <c r="L6" i="37"/>
  <c r="K6" i="37"/>
  <c r="E6" i="37"/>
  <c r="L10" i="36"/>
  <c r="K10" i="36"/>
  <c r="E10" i="36"/>
  <c r="L7" i="36"/>
  <c r="K7" i="36"/>
  <c r="E7" i="36"/>
  <c r="L6" i="36"/>
  <c r="K6" i="36"/>
  <c r="E6" i="36"/>
  <c r="L7" i="35"/>
  <c r="K7" i="35"/>
  <c r="E7" i="35"/>
  <c r="L6" i="35"/>
  <c r="K6" i="35"/>
  <c r="E6" i="35"/>
  <c r="L91" i="34"/>
  <c r="K91" i="34"/>
  <c r="E91" i="34"/>
  <c r="L88" i="34"/>
  <c r="K88" i="34"/>
  <c r="E88" i="34"/>
  <c r="L87" i="34"/>
  <c r="K87" i="34"/>
  <c r="E87" i="34"/>
  <c r="L86" i="34"/>
  <c r="K86" i="34"/>
  <c r="E86" i="34"/>
  <c r="L85" i="34"/>
  <c r="K85" i="34"/>
  <c r="E85" i="34"/>
  <c r="L82" i="34"/>
  <c r="K82" i="34"/>
  <c r="E82" i="34"/>
  <c r="L81" i="34"/>
  <c r="K81" i="34"/>
  <c r="E81" i="34"/>
  <c r="L80" i="34"/>
  <c r="K80" i="34"/>
  <c r="E80" i="34"/>
  <c r="L79" i="34"/>
  <c r="E79" i="34"/>
  <c r="L78" i="34"/>
  <c r="K78" i="34"/>
  <c r="E78" i="34"/>
  <c r="L77" i="34"/>
  <c r="K77" i="34"/>
  <c r="E77" i="34"/>
  <c r="L76" i="34"/>
  <c r="K76" i="34"/>
  <c r="E76" i="34"/>
  <c r="L75" i="34"/>
  <c r="K75" i="34"/>
  <c r="E75" i="34"/>
  <c r="L72" i="34"/>
  <c r="K72" i="34"/>
  <c r="E72" i="34"/>
  <c r="L71" i="34"/>
  <c r="K71" i="34"/>
  <c r="E71" i="34"/>
  <c r="L70" i="34"/>
  <c r="K70" i="34"/>
  <c r="E70" i="34"/>
  <c r="L69" i="34"/>
  <c r="K69" i="34"/>
  <c r="E69" i="34"/>
  <c r="L68" i="34"/>
  <c r="K68" i="34"/>
  <c r="E68" i="34"/>
  <c r="L67" i="34"/>
  <c r="K67" i="34"/>
  <c r="E67" i="34"/>
  <c r="L64" i="34"/>
  <c r="K64" i="34"/>
  <c r="E64" i="34"/>
  <c r="L63" i="34"/>
  <c r="K63" i="34"/>
  <c r="E63" i="34"/>
  <c r="L62" i="34"/>
  <c r="K62" i="34"/>
  <c r="E62" i="34"/>
  <c r="L61" i="34"/>
  <c r="K61" i="34"/>
  <c r="E61" i="34"/>
  <c r="L60" i="34"/>
  <c r="E60" i="34"/>
  <c r="L59" i="34"/>
  <c r="E59" i="34"/>
  <c r="L58" i="34"/>
  <c r="K58" i="34"/>
  <c r="E58" i="34"/>
  <c r="L57" i="34"/>
  <c r="K57" i="34"/>
  <c r="E57" i="34"/>
  <c r="L56" i="34"/>
  <c r="K56" i="34"/>
  <c r="E56" i="34"/>
  <c r="L55" i="34"/>
  <c r="K55" i="34"/>
  <c r="E55" i="34"/>
  <c r="L54" i="34"/>
  <c r="K54" i="34"/>
  <c r="E54" i="34"/>
  <c r="L53" i="34"/>
  <c r="K53" i="34"/>
  <c r="E53" i="34"/>
  <c r="L52" i="34"/>
  <c r="K52" i="34"/>
  <c r="E52" i="34"/>
  <c r="L49" i="34"/>
  <c r="K49" i="34"/>
  <c r="E49" i="34"/>
  <c r="L48" i="34"/>
  <c r="K48" i="34"/>
  <c r="E48" i="34"/>
  <c r="L45" i="34"/>
  <c r="K45" i="34"/>
  <c r="E45" i="34"/>
  <c r="L44" i="34"/>
  <c r="K44" i="34"/>
  <c r="E44" i="34"/>
  <c r="L43" i="34"/>
  <c r="K43" i="34"/>
  <c r="E43" i="34"/>
  <c r="L42" i="34"/>
  <c r="K42" i="34"/>
  <c r="E42" i="34"/>
  <c r="L41" i="34"/>
  <c r="K41" i="34"/>
  <c r="E41" i="34"/>
  <c r="L38" i="34"/>
  <c r="K38" i="34"/>
  <c r="E38" i="34"/>
  <c r="L37" i="34"/>
  <c r="K37" i="34"/>
  <c r="E37" i="34"/>
  <c r="L36" i="34"/>
  <c r="K36" i="34"/>
  <c r="E36" i="34"/>
  <c r="L35" i="34"/>
  <c r="K35" i="34"/>
  <c r="E35" i="34"/>
  <c r="L33" i="34"/>
  <c r="K33" i="34"/>
  <c r="E33" i="34"/>
  <c r="L32" i="34"/>
  <c r="K32" i="34"/>
  <c r="E32" i="34"/>
  <c r="L31" i="34"/>
  <c r="K31" i="34"/>
  <c r="E31" i="34"/>
  <c r="L28" i="34"/>
  <c r="K28" i="34"/>
  <c r="E28" i="34"/>
  <c r="L25" i="34"/>
  <c r="K25" i="34"/>
  <c r="E25" i="34"/>
  <c r="L24" i="34"/>
  <c r="K24" i="34"/>
  <c r="E24" i="34"/>
  <c r="L21" i="34"/>
  <c r="K21" i="34"/>
  <c r="E21" i="34"/>
  <c r="L18" i="34"/>
  <c r="K18" i="34"/>
  <c r="E18" i="34"/>
  <c r="L17" i="34"/>
  <c r="K17" i="34"/>
  <c r="E17" i="34"/>
  <c r="L14" i="34"/>
  <c r="K14" i="34"/>
  <c r="E14" i="34"/>
  <c r="L13" i="34"/>
  <c r="K13" i="34"/>
  <c r="E13" i="34"/>
  <c r="L12" i="34"/>
  <c r="K12" i="34"/>
  <c r="E12" i="34"/>
  <c r="L9" i="34"/>
  <c r="K9" i="34"/>
  <c r="E9" i="34"/>
  <c r="L8" i="34"/>
  <c r="K8" i="34"/>
  <c r="E8" i="34"/>
  <c r="L7" i="34"/>
  <c r="K7" i="34"/>
  <c r="E7" i="34"/>
  <c r="L6" i="34"/>
  <c r="K6" i="34"/>
  <c r="E6" i="34"/>
  <c r="L70" i="33"/>
  <c r="K70" i="33"/>
  <c r="E70" i="33"/>
  <c r="L69" i="33"/>
  <c r="K69" i="33"/>
  <c r="E69" i="33"/>
  <c r="L66" i="33"/>
  <c r="K66" i="33"/>
  <c r="E66" i="33"/>
  <c r="L63" i="33"/>
  <c r="K63" i="33"/>
  <c r="E63" i="33"/>
  <c r="L62" i="33"/>
  <c r="K62" i="33"/>
  <c r="E62" i="33"/>
  <c r="L61" i="33"/>
  <c r="K61" i="33"/>
  <c r="E61" i="33"/>
  <c r="L60" i="33"/>
  <c r="K60" i="33"/>
  <c r="E60" i="33"/>
  <c r="L59" i="33"/>
  <c r="K59" i="33"/>
  <c r="E59" i="33"/>
  <c r="L58" i="33"/>
  <c r="K58" i="33"/>
  <c r="E58" i="33"/>
  <c r="L55" i="33"/>
  <c r="K55" i="33"/>
  <c r="E55" i="33"/>
  <c r="L54" i="33"/>
  <c r="K54" i="33"/>
  <c r="E54" i="33"/>
  <c r="L53" i="33"/>
  <c r="K53" i="33"/>
  <c r="E53" i="33"/>
  <c r="L52" i="33"/>
  <c r="K52" i="33"/>
  <c r="E52" i="33"/>
  <c r="L51" i="33"/>
  <c r="K51" i="33"/>
  <c r="E51" i="33"/>
  <c r="L48" i="33"/>
  <c r="K48" i="33"/>
  <c r="E48" i="33"/>
  <c r="L47" i="33"/>
  <c r="K47" i="33"/>
  <c r="E47" i="33"/>
  <c r="L46" i="33"/>
  <c r="K46" i="33"/>
  <c r="E46" i="33"/>
  <c r="L45" i="33"/>
  <c r="K45" i="33"/>
  <c r="E45" i="33"/>
  <c r="L44" i="33"/>
  <c r="K44" i="33"/>
  <c r="E44" i="33"/>
  <c r="L43" i="33"/>
  <c r="K43" i="33"/>
  <c r="E43" i="33"/>
  <c r="L40" i="33"/>
  <c r="K40" i="33"/>
  <c r="E40" i="33"/>
  <c r="L39" i="33"/>
  <c r="K39" i="33"/>
  <c r="E39" i="33"/>
  <c r="L38" i="33"/>
  <c r="K38" i="33"/>
  <c r="E38" i="33"/>
  <c r="L37" i="33"/>
  <c r="K37" i="33"/>
  <c r="E37" i="33"/>
  <c r="L36" i="33"/>
  <c r="K36" i="33"/>
  <c r="E36" i="33"/>
  <c r="L34" i="33"/>
  <c r="K34" i="33"/>
  <c r="L33" i="33"/>
  <c r="K33" i="33"/>
  <c r="E33" i="33"/>
  <c r="L32" i="33"/>
  <c r="K32" i="33"/>
  <c r="E32" i="33"/>
  <c r="L28" i="33"/>
  <c r="K28" i="33"/>
  <c r="E28" i="33"/>
  <c r="L27" i="33"/>
  <c r="K27" i="33"/>
  <c r="E27" i="33"/>
  <c r="L26" i="33"/>
  <c r="K26" i="33"/>
  <c r="E26" i="33"/>
  <c r="L25" i="33"/>
  <c r="K25" i="33"/>
  <c r="E25" i="33"/>
  <c r="L24" i="33"/>
  <c r="K24" i="33"/>
  <c r="E24" i="33"/>
  <c r="L23" i="33"/>
  <c r="K23" i="33"/>
  <c r="E23" i="33"/>
  <c r="L20" i="33"/>
  <c r="K20" i="33"/>
  <c r="E20" i="33"/>
  <c r="L19" i="33"/>
  <c r="K19" i="33"/>
  <c r="E19" i="33"/>
  <c r="L16" i="33"/>
  <c r="K16" i="33"/>
  <c r="E16" i="33"/>
  <c r="L15" i="33"/>
  <c r="K15" i="33"/>
  <c r="E15" i="33"/>
  <c r="L12" i="33"/>
  <c r="K12" i="33"/>
  <c r="E12" i="33"/>
  <c r="L9" i="33"/>
  <c r="K9" i="33"/>
  <c r="E9" i="33"/>
  <c r="L6" i="33"/>
  <c r="K6" i="33"/>
  <c r="E6" i="33"/>
  <c r="L36" i="32"/>
  <c r="K36" i="32"/>
  <c r="E36" i="32"/>
  <c r="L35" i="32"/>
  <c r="K35" i="32"/>
  <c r="E35" i="32"/>
  <c r="L32" i="32"/>
  <c r="K32" i="32"/>
  <c r="E32" i="32"/>
  <c r="L31" i="32"/>
  <c r="K31" i="32"/>
  <c r="E31" i="32"/>
  <c r="L28" i="32"/>
  <c r="K28" i="32"/>
  <c r="E28" i="32"/>
  <c r="L27" i="32"/>
  <c r="K27" i="32"/>
  <c r="E27" i="32"/>
  <c r="L26" i="32"/>
  <c r="K26" i="32"/>
  <c r="E26" i="32"/>
  <c r="L25" i="32"/>
  <c r="K25" i="32"/>
  <c r="E25" i="32"/>
  <c r="L24" i="32"/>
  <c r="K24" i="32"/>
  <c r="E24" i="32"/>
  <c r="L21" i="32"/>
  <c r="K21" i="32"/>
  <c r="E21" i="32"/>
  <c r="L20" i="32"/>
  <c r="K20" i="32"/>
  <c r="E20" i="32"/>
  <c r="L19" i="32"/>
  <c r="K19" i="32"/>
  <c r="E19" i="32"/>
  <c r="L16" i="32"/>
  <c r="K16" i="32"/>
  <c r="E16" i="32"/>
  <c r="L15" i="32"/>
  <c r="K15" i="32"/>
  <c r="E15" i="32"/>
  <c r="L12" i="32"/>
  <c r="K12" i="32"/>
  <c r="E12" i="32"/>
  <c r="L11" i="32"/>
  <c r="K11" i="32"/>
  <c r="E11" i="32"/>
  <c r="L10" i="32"/>
  <c r="K10" i="32"/>
  <c r="E10" i="32"/>
  <c r="L7" i="32"/>
  <c r="K7" i="32"/>
  <c r="E7" i="32"/>
  <c r="L6" i="32"/>
  <c r="K6" i="32"/>
  <c r="E6" i="32"/>
  <c r="T67" i="29"/>
  <c r="S67" i="29"/>
  <c r="E67" i="29"/>
  <c r="T64" i="29"/>
  <c r="S64" i="29"/>
  <c r="E64" i="29"/>
  <c r="T63" i="29"/>
  <c r="S63" i="29"/>
  <c r="E63" i="29"/>
  <c r="T60" i="29"/>
  <c r="S60" i="29"/>
  <c r="E60" i="29"/>
  <c r="T57" i="29"/>
  <c r="S57" i="29"/>
  <c r="E57" i="29"/>
  <c r="T56" i="29"/>
  <c r="S56" i="29"/>
  <c r="E56" i="29"/>
  <c r="T55" i="29"/>
  <c r="S55" i="29"/>
  <c r="E55" i="29"/>
  <c r="T54" i="29"/>
  <c r="S54" i="29"/>
  <c r="E54" i="29"/>
  <c r="T53" i="29"/>
  <c r="S53" i="29"/>
  <c r="E53" i="29"/>
  <c r="T50" i="29"/>
  <c r="E50" i="29"/>
  <c r="T49" i="29"/>
  <c r="S49" i="29"/>
  <c r="E49" i="29"/>
  <c r="T48" i="29"/>
  <c r="S48" i="29"/>
  <c r="E48" i="29"/>
  <c r="T47" i="29"/>
  <c r="S47" i="29"/>
  <c r="E47" i="29"/>
  <c r="T44" i="29"/>
  <c r="S44" i="29"/>
  <c r="E44" i="29"/>
  <c r="T43" i="29"/>
  <c r="S43" i="29"/>
  <c r="E43" i="29"/>
  <c r="T42" i="29"/>
  <c r="S42" i="29"/>
  <c r="E42" i="29"/>
  <c r="T41" i="29"/>
  <c r="S41" i="29"/>
  <c r="E41" i="29"/>
  <c r="T40" i="29"/>
  <c r="S40" i="29"/>
  <c r="E40" i="29"/>
  <c r="T39" i="29"/>
  <c r="S39" i="29"/>
  <c r="E39" i="29"/>
  <c r="T36" i="29"/>
  <c r="S36" i="29"/>
  <c r="E36" i="29"/>
  <c r="T35" i="29"/>
  <c r="S35" i="29"/>
  <c r="E35" i="29"/>
  <c r="T34" i="29"/>
  <c r="S34" i="29"/>
  <c r="E34" i="29"/>
  <c r="T33" i="29"/>
  <c r="S33" i="29"/>
  <c r="E33" i="29"/>
  <c r="T32" i="29"/>
  <c r="S32" i="29"/>
  <c r="E32" i="29"/>
  <c r="T29" i="29"/>
  <c r="S29" i="29"/>
  <c r="E29" i="29"/>
  <c r="T28" i="29"/>
  <c r="S28" i="29"/>
  <c r="E28" i="29"/>
  <c r="T25" i="29"/>
  <c r="S25" i="29"/>
  <c r="E25" i="29"/>
  <c r="T24" i="29"/>
  <c r="S24" i="29"/>
  <c r="E24" i="29"/>
  <c r="T23" i="29"/>
  <c r="S23" i="29"/>
  <c r="E23" i="29"/>
  <c r="T20" i="29"/>
  <c r="E20" i="29"/>
  <c r="T19" i="29"/>
  <c r="E19" i="29"/>
  <c r="T18" i="29"/>
  <c r="S18" i="29"/>
  <c r="E18" i="29"/>
  <c r="T17" i="29"/>
  <c r="S17" i="29"/>
  <c r="E17" i="29"/>
  <c r="T14" i="29"/>
  <c r="S14" i="29"/>
  <c r="E14" i="29"/>
  <c r="T13" i="29"/>
  <c r="S13" i="29"/>
  <c r="E13" i="29"/>
  <c r="T12" i="29"/>
  <c r="S12" i="29"/>
  <c r="E12" i="29"/>
  <c r="T9" i="29"/>
  <c r="S9" i="29"/>
  <c r="E9" i="29"/>
  <c r="T8" i="29"/>
  <c r="S8" i="29"/>
  <c r="E8" i="29"/>
  <c r="T7" i="29"/>
  <c r="S7" i="29"/>
  <c r="E7" i="29"/>
  <c r="T6" i="29"/>
  <c r="S6" i="29"/>
  <c r="E6" i="29"/>
  <c r="T46" i="28"/>
  <c r="S46" i="28"/>
  <c r="E46" i="28"/>
  <c r="T43" i="28"/>
  <c r="S43" i="28"/>
  <c r="E43" i="28"/>
  <c r="T42" i="28"/>
  <c r="S42" i="28"/>
  <c r="E42" i="28"/>
  <c r="T39" i="28"/>
  <c r="S39" i="28"/>
  <c r="E39" i="28"/>
  <c r="T38" i="28"/>
  <c r="S38" i="28"/>
  <c r="E38" i="28"/>
  <c r="T37" i="28"/>
  <c r="S37" i="28"/>
  <c r="E37" i="28"/>
  <c r="T36" i="28"/>
  <c r="S36" i="28"/>
  <c r="E36" i="28"/>
  <c r="T35" i="28"/>
  <c r="S35" i="28"/>
  <c r="E35" i="28"/>
  <c r="T34" i="28"/>
  <c r="S34" i="28"/>
  <c r="E34" i="28"/>
  <c r="T31" i="28"/>
  <c r="E31" i="28"/>
  <c r="T30" i="28"/>
  <c r="S30" i="28"/>
  <c r="E30" i="28"/>
  <c r="T29" i="28"/>
  <c r="S29" i="28"/>
  <c r="E29" i="28"/>
  <c r="T26" i="28"/>
  <c r="S26" i="28"/>
  <c r="E26" i="28"/>
  <c r="T25" i="28"/>
  <c r="S25" i="28"/>
  <c r="E25" i="28"/>
  <c r="T22" i="28"/>
  <c r="S22" i="28"/>
  <c r="E22" i="28"/>
  <c r="T19" i="28"/>
  <c r="S19" i="28"/>
  <c r="E19" i="28"/>
  <c r="T18" i="28"/>
  <c r="S18" i="28"/>
  <c r="E18" i="28"/>
  <c r="T17" i="28"/>
  <c r="S17" i="28"/>
  <c r="E17" i="28"/>
  <c r="T14" i="28"/>
  <c r="S14" i="28"/>
  <c r="E14" i="28"/>
  <c r="T13" i="28"/>
  <c r="S13" i="28"/>
  <c r="E13" i="28"/>
  <c r="T12" i="28"/>
  <c r="S12" i="28"/>
  <c r="E12" i="28"/>
  <c r="T9" i="28"/>
  <c r="S9" i="28"/>
  <c r="E9" i="28"/>
  <c r="S6" i="28"/>
  <c r="T27" i="25"/>
  <c r="S27" i="25"/>
  <c r="E27" i="25"/>
  <c r="T24" i="25"/>
  <c r="S24" i="25"/>
  <c r="E24" i="25"/>
  <c r="T21" i="25"/>
  <c r="S21" i="25"/>
  <c r="E21" i="25"/>
  <c r="T20" i="25"/>
  <c r="S20" i="25"/>
  <c r="E20" i="25"/>
  <c r="T17" i="25"/>
  <c r="E17" i="25"/>
  <c r="T16" i="25"/>
  <c r="E16" i="25"/>
  <c r="T15" i="25"/>
  <c r="S15" i="25"/>
  <c r="E15" i="25"/>
  <c r="T12" i="25"/>
  <c r="S12" i="25"/>
  <c r="E12" i="25"/>
  <c r="T9" i="25"/>
  <c r="S9" i="25"/>
  <c r="E9" i="25"/>
  <c r="T6" i="25"/>
  <c r="S6" i="25"/>
  <c r="E6" i="25"/>
  <c r="T37" i="24"/>
  <c r="S37" i="24"/>
  <c r="E37" i="24"/>
  <c r="T34" i="24"/>
  <c r="E34" i="24"/>
  <c r="T33" i="24"/>
  <c r="E33" i="24"/>
  <c r="T32" i="24"/>
  <c r="S32" i="24"/>
  <c r="E32" i="24"/>
  <c r="T29" i="24"/>
  <c r="S29" i="24"/>
  <c r="E29" i="24"/>
  <c r="T26" i="24"/>
  <c r="S26" i="24"/>
  <c r="E26" i="24"/>
  <c r="T25" i="24"/>
  <c r="S25" i="24"/>
  <c r="E25" i="24"/>
  <c r="T24" i="24"/>
  <c r="E24" i="24"/>
  <c r="T23" i="24"/>
  <c r="E23" i="24"/>
  <c r="T22" i="24"/>
  <c r="S22" i="24"/>
  <c r="E22" i="24"/>
  <c r="T19" i="24"/>
  <c r="S19" i="24"/>
  <c r="E19" i="24"/>
  <c r="T18" i="24"/>
  <c r="S18" i="24"/>
  <c r="E18" i="24"/>
  <c r="T17" i="24"/>
  <c r="S17" i="24"/>
  <c r="E17" i="24"/>
  <c r="T16" i="24"/>
  <c r="S16" i="24"/>
  <c r="E16" i="24"/>
  <c r="T15" i="24"/>
  <c r="S15" i="24"/>
  <c r="E15" i="24"/>
  <c r="T12" i="24"/>
  <c r="S12" i="24"/>
  <c r="E12" i="24"/>
  <c r="T11" i="24"/>
  <c r="E11" i="24"/>
  <c r="T10" i="24"/>
  <c r="S10" i="24"/>
  <c r="E10" i="24"/>
  <c r="T7" i="24"/>
  <c r="S7" i="24"/>
  <c r="E7" i="24"/>
  <c r="T6" i="24"/>
  <c r="S6" i="24"/>
  <c r="E6" i="24"/>
</calcChain>
</file>

<file path=xl/sharedStrings.xml><?xml version="1.0" encoding="utf-8"?>
<sst xmlns="http://schemas.openxmlformats.org/spreadsheetml/2006/main" count="4247" uniqueCount="1231">
  <si>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</si>
  <si>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</si>
  <si>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</si>
  <si>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</si>
  <si>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</si>
  <si>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</si>
  <si>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Собственный 
вес</t>
  </si>
  <si>
    <t>Город/Страна</t>
  </si>
  <si>
    <t>ВЕСОВАЯ КАТЕГОРИЯ   75</t>
  </si>
  <si>
    <t>Корунов Виктор</t>
  </si>
  <si>
    <t>Мастера 60+ (01.05.1959)/61</t>
  </si>
  <si>
    <t>69,00</t>
  </si>
  <si>
    <t xml:space="preserve">RUS/Великий Новгород </t>
  </si>
  <si>
    <t>32,5</t>
  </si>
  <si>
    <t>35,0</t>
  </si>
  <si>
    <t>ВЕСОВАЯ КАТЕГОРИЯ   82.5</t>
  </si>
  <si>
    <t xml:space="preserve">RUS/Долгопрудный </t>
  </si>
  <si>
    <t>70,0</t>
  </si>
  <si>
    <t>75,0</t>
  </si>
  <si>
    <t>80,0</t>
  </si>
  <si>
    <t>ВЕСОВАЯ КАТЕГОРИЯ   100</t>
  </si>
  <si>
    <t>Марченко Эдуард</t>
  </si>
  <si>
    <t>Открытая (17.03.1992)/28</t>
  </si>
  <si>
    <t xml:space="preserve">UKR/Кривой Рог </t>
  </si>
  <si>
    <t>30,0</t>
  </si>
  <si>
    <t>40,0</t>
  </si>
  <si>
    <t>55,0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</si>
  <si>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</si>
  <si>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</si>
  <si>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</si>
  <si>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</si>
  <si>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</si>
  <si>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</si>
  <si>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>82.5</t>
  </si>
  <si>
    <t>100</t>
  </si>
  <si>
    <t xml:space="preserve">Мастера </t>
  </si>
  <si>
    <t xml:space="preserve">Мастера 60+ </t>
  </si>
  <si>
    <t>75</t>
  </si>
  <si>
    <t>Результат</t>
  </si>
  <si>
    <t>1</t>
  </si>
  <si>
    <t/>
  </si>
  <si>
    <t>Место</t>
  </si>
  <si>
    <t>71,50</t>
  </si>
  <si>
    <t xml:space="preserve">RUS/Москва </t>
  </si>
  <si>
    <t>73,70</t>
  </si>
  <si>
    <t>-</t>
  </si>
  <si>
    <t>ВЕСОВАЯ КАТЕГОРИЯ   60</t>
  </si>
  <si>
    <t>Юн Сергей</t>
  </si>
  <si>
    <t>Открытая (07.09.1993)/26</t>
  </si>
  <si>
    <t>107,50</t>
  </si>
  <si>
    <t xml:space="preserve">RUS/Воронеж </t>
  </si>
  <si>
    <t>92,5</t>
  </si>
  <si>
    <t>95,0</t>
  </si>
  <si>
    <t>ВЕСОВАЯ КАТЕГОРИЯ   90</t>
  </si>
  <si>
    <t>87,00</t>
  </si>
  <si>
    <t>102,5</t>
  </si>
  <si>
    <t>112,5</t>
  </si>
  <si>
    <t>117,5</t>
  </si>
  <si>
    <t>60,0</t>
  </si>
  <si>
    <t>72,5</t>
  </si>
  <si>
    <t>65,0</t>
  </si>
  <si>
    <t>130,0</t>
  </si>
  <si>
    <t>142,5</t>
  </si>
  <si>
    <t>150,0</t>
  </si>
  <si>
    <t>90</t>
  </si>
  <si>
    <t>207,5</t>
  </si>
  <si>
    <t>Gloss</t>
  </si>
  <si>
    <t>110,00</t>
  </si>
  <si>
    <t>Кирилюк Дмитрий</t>
  </si>
  <si>
    <t>Открытая (25.02.1967)/53</t>
  </si>
  <si>
    <t>67,50</t>
  </si>
  <si>
    <t xml:space="preserve">RUS/Севск </t>
  </si>
  <si>
    <t xml:space="preserve">RUS/Санкт-Петербург </t>
  </si>
  <si>
    <t>77,90</t>
  </si>
  <si>
    <t>90,00</t>
  </si>
  <si>
    <t>82,00</t>
  </si>
  <si>
    <t xml:space="preserve">RUS/Зеленоград </t>
  </si>
  <si>
    <t xml:space="preserve">RUS/Красногорск </t>
  </si>
  <si>
    <t>Мищенко Артем</t>
  </si>
  <si>
    <t>Открытая (26.06.1984)/36</t>
  </si>
  <si>
    <t>91,75</t>
  </si>
  <si>
    <t xml:space="preserve">Чокаев У. </t>
  </si>
  <si>
    <t>ВЕСОВАЯ КАТЕГОРИЯ   110</t>
  </si>
  <si>
    <t>108,30</t>
  </si>
  <si>
    <t>109,20</t>
  </si>
  <si>
    <t xml:space="preserve">RUS/Лосино-Петровский </t>
  </si>
  <si>
    <t xml:space="preserve">Женщины </t>
  </si>
  <si>
    <t xml:space="preserve">Gloss </t>
  </si>
  <si>
    <t>110</t>
  </si>
  <si>
    <t>ВЕСОВАЯ КАТЕГОРИЯ   52</t>
  </si>
  <si>
    <t>Доронина Анна</t>
  </si>
  <si>
    <t>Открытая (26.06.1979)/41</t>
  </si>
  <si>
    <t>50,80</t>
  </si>
  <si>
    <t xml:space="preserve">RUS/Кострома </t>
  </si>
  <si>
    <t>87,5</t>
  </si>
  <si>
    <t xml:space="preserve">Дмитриев И., Доронин Э. </t>
  </si>
  <si>
    <t>90,0</t>
  </si>
  <si>
    <t xml:space="preserve">RUS/Симферополь </t>
  </si>
  <si>
    <t>50,0</t>
  </si>
  <si>
    <t>Киселёв Дмитрий</t>
  </si>
  <si>
    <t>Открытая (16.11.1990)/29</t>
  </si>
  <si>
    <t>73,20</t>
  </si>
  <si>
    <t xml:space="preserve">RUS/Феодосия </t>
  </si>
  <si>
    <t xml:space="preserve">Рагузин М. </t>
  </si>
  <si>
    <t>Открытая (02.07.1984)/36</t>
  </si>
  <si>
    <t>99,70</t>
  </si>
  <si>
    <t>140,0</t>
  </si>
  <si>
    <t>155,0</t>
  </si>
  <si>
    <t>99,50</t>
  </si>
  <si>
    <t>60</t>
  </si>
  <si>
    <t xml:space="preserve">RUS/Раменское </t>
  </si>
  <si>
    <t>106,00</t>
  </si>
  <si>
    <t xml:space="preserve">RUS/Тула </t>
  </si>
  <si>
    <t>77,5</t>
  </si>
  <si>
    <t>82,5</t>
  </si>
  <si>
    <t>81,00</t>
  </si>
  <si>
    <t>105,0</t>
  </si>
  <si>
    <t>2</t>
  </si>
  <si>
    <t>ВЕСОВАЯ КАТЕГОРИЯ   125</t>
  </si>
  <si>
    <t>100,0</t>
  </si>
  <si>
    <t>125</t>
  </si>
  <si>
    <t>Wilks</t>
  </si>
  <si>
    <t>Приседание</t>
  </si>
  <si>
    <t>Жим лёжа</t>
  </si>
  <si>
    <t>Становая тяга</t>
  </si>
  <si>
    <t>Жаденов Владимир</t>
  </si>
  <si>
    <t>Открытая (01.06.1987)/33</t>
  </si>
  <si>
    <t>73,80</t>
  </si>
  <si>
    <t xml:space="preserve">RUS/Волгоград </t>
  </si>
  <si>
    <t>290,0</t>
  </si>
  <si>
    <t>300,0</t>
  </si>
  <si>
    <t>180,0</t>
  </si>
  <si>
    <t>190,0</t>
  </si>
  <si>
    <t>240,0</t>
  </si>
  <si>
    <t>250,0</t>
  </si>
  <si>
    <t>270,0</t>
  </si>
  <si>
    <t xml:space="preserve">Жаденов В. </t>
  </si>
  <si>
    <t>Новоголуб Олег</t>
  </si>
  <si>
    <t>Открытая (27.01.1995)/25</t>
  </si>
  <si>
    <t>74,20</t>
  </si>
  <si>
    <t xml:space="preserve">MDA/Кишинев </t>
  </si>
  <si>
    <t>205,0</t>
  </si>
  <si>
    <t>132,5</t>
  </si>
  <si>
    <t>145,0</t>
  </si>
  <si>
    <t>200,0</t>
  </si>
  <si>
    <t>220,0</t>
  </si>
  <si>
    <t>Бортник Артём</t>
  </si>
  <si>
    <t>Открытая (17.07.1995)/25</t>
  </si>
  <si>
    <t>80,70</t>
  </si>
  <si>
    <t xml:space="preserve">BLR/Минск </t>
  </si>
  <si>
    <t>275,0</t>
  </si>
  <si>
    <t>287,5</t>
  </si>
  <si>
    <t>170,0</t>
  </si>
  <si>
    <t>177,5</t>
  </si>
  <si>
    <t xml:space="preserve">Винокуров Д. </t>
  </si>
  <si>
    <t>Крыжановский Андрей</t>
  </si>
  <si>
    <t>Открытая (24.10.1984)/35</t>
  </si>
  <si>
    <t>81,60</t>
  </si>
  <si>
    <t>260,0</t>
  </si>
  <si>
    <t>Дременков Константин</t>
  </si>
  <si>
    <t>Мастера 50-59 (21.07.1966)/54</t>
  </si>
  <si>
    <t>82,40</t>
  </si>
  <si>
    <t xml:space="preserve">BLR/Брест </t>
  </si>
  <si>
    <t>215,0</t>
  </si>
  <si>
    <t>225,0</t>
  </si>
  <si>
    <t>235,0</t>
  </si>
  <si>
    <t>267,5</t>
  </si>
  <si>
    <t>Качаев Иван</t>
  </si>
  <si>
    <t>Юниоры (05.11.1996)/23</t>
  </si>
  <si>
    <t>88,50</t>
  </si>
  <si>
    <t xml:space="preserve">RUS/Реутов </t>
  </si>
  <si>
    <t>230,0</t>
  </si>
  <si>
    <t>245,0</t>
  </si>
  <si>
    <t>255,0</t>
  </si>
  <si>
    <t xml:space="preserve">Луговой А. </t>
  </si>
  <si>
    <t>Захаров Никита</t>
  </si>
  <si>
    <t>Юниоры (31.08.1998)/21</t>
  </si>
  <si>
    <t>88,30</t>
  </si>
  <si>
    <t xml:space="preserve">RUS/Самара </t>
  </si>
  <si>
    <t>120,0</t>
  </si>
  <si>
    <t>135,0</t>
  </si>
  <si>
    <t>210,0</t>
  </si>
  <si>
    <t>Фёдоров Илья</t>
  </si>
  <si>
    <t>Открытая (29.08.1992)/27</t>
  </si>
  <si>
    <t>89,70</t>
  </si>
  <si>
    <t xml:space="preserve">RUS/Наро-Фоминск </t>
  </si>
  <si>
    <t>295,0</t>
  </si>
  <si>
    <t>310,0</t>
  </si>
  <si>
    <t>320,0</t>
  </si>
  <si>
    <t>195,0</t>
  </si>
  <si>
    <t>350,0</t>
  </si>
  <si>
    <t>365,0</t>
  </si>
  <si>
    <t>375,0</t>
  </si>
  <si>
    <t>Катаев Ленур</t>
  </si>
  <si>
    <t>Открытая (11.10.1994)/25</t>
  </si>
  <si>
    <t>89,90</t>
  </si>
  <si>
    <t>265,0</t>
  </si>
  <si>
    <t>Горбунов Олег</t>
  </si>
  <si>
    <t>Открытая (10.02.1989)/31</t>
  </si>
  <si>
    <t xml:space="preserve">RUS/Чебоксары </t>
  </si>
  <si>
    <t>252,5</t>
  </si>
  <si>
    <t>Маренков Юрий</t>
  </si>
  <si>
    <t>Открытая (18.12.1976)/43</t>
  </si>
  <si>
    <t xml:space="preserve">RUS/Королёв </t>
  </si>
  <si>
    <t>285,0</t>
  </si>
  <si>
    <t>160,0</t>
  </si>
  <si>
    <t>Апсов Рауф</t>
  </si>
  <si>
    <t>Открытая (16.04.1992)/28</t>
  </si>
  <si>
    <t>98,60</t>
  </si>
  <si>
    <t xml:space="preserve">RUS/Карачаевск </t>
  </si>
  <si>
    <t>340,0</t>
  </si>
  <si>
    <t xml:space="preserve">Полянский Д. </t>
  </si>
  <si>
    <t>Бозов Тимур</t>
  </si>
  <si>
    <t>Открытая (13.11.1992)/27</t>
  </si>
  <si>
    <t>99,20</t>
  </si>
  <si>
    <t xml:space="preserve">RUS/Каменка </t>
  </si>
  <si>
    <t>280,0</t>
  </si>
  <si>
    <t>Мастера 40-49 (18.12.1976)/43</t>
  </si>
  <si>
    <t>Марков Анатолий</t>
  </si>
  <si>
    <t>Мастера 60-69 (13.01.1951)/69</t>
  </si>
  <si>
    <t>93,20</t>
  </si>
  <si>
    <t>Ахлестин Сергей</t>
  </si>
  <si>
    <t>Открытая (15.09.1989)/30</t>
  </si>
  <si>
    <t>108,20</t>
  </si>
  <si>
    <t>345,0</t>
  </si>
  <si>
    <t>355,0</t>
  </si>
  <si>
    <t>362,5</t>
  </si>
  <si>
    <t xml:space="preserve">Андреев В. </t>
  </si>
  <si>
    <t>Грикин Илья</t>
  </si>
  <si>
    <t>Открытая (08.04.1992)/28</t>
  </si>
  <si>
    <t>121,90</t>
  </si>
  <si>
    <t xml:space="preserve">RUS/Ярославль </t>
  </si>
  <si>
    <t>Комков Александр</t>
  </si>
  <si>
    <t>Открытая (26.11.1983)/36</t>
  </si>
  <si>
    <t>122,00</t>
  </si>
  <si>
    <t>330,0</t>
  </si>
  <si>
    <t>Седых Александр</t>
  </si>
  <si>
    <t>Открытая (24.05.1990)/30</t>
  </si>
  <si>
    <t>122,60</t>
  </si>
  <si>
    <t xml:space="preserve">RUS/Химки </t>
  </si>
  <si>
    <t>360,0</t>
  </si>
  <si>
    <t>380,0</t>
  </si>
  <si>
    <t>400,0</t>
  </si>
  <si>
    <t xml:space="preserve">Суслов Н. </t>
  </si>
  <si>
    <t>ВЕСОВАЯ КАТЕГОРИЯ   140</t>
  </si>
  <si>
    <t>Луговой Александр</t>
  </si>
  <si>
    <t>Открытая (28.10.1995)/24</t>
  </si>
  <si>
    <t>134,30</t>
  </si>
  <si>
    <t xml:space="preserve">RUS/Тольятти </t>
  </si>
  <si>
    <t>370,0</t>
  </si>
  <si>
    <t>390,0</t>
  </si>
  <si>
    <t>202,5</t>
  </si>
  <si>
    <t xml:space="preserve">Белкин Ю. </t>
  </si>
  <si>
    <t xml:space="preserve">Wilks </t>
  </si>
  <si>
    <t>870,0</t>
  </si>
  <si>
    <t>556,3650</t>
  </si>
  <si>
    <t>140</t>
  </si>
  <si>
    <t>970,0</t>
  </si>
  <si>
    <t>545,5280</t>
  </si>
  <si>
    <t>915,0</t>
  </si>
  <si>
    <t>541,3140</t>
  </si>
  <si>
    <t xml:space="preserve">Мастера 50-59 </t>
  </si>
  <si>
    <t xml:space="preserve">Мастера 40-49 </t>
  </si>
  <si>
    <t>3</t>
  </si>
  <si>
    <t>Комлач Инесса</t>
  </si>
  <si>
    <t>Девушки 14-16 (05.06.2004)/16</t>
  </si>
  <si>
    <t>51,70</t>
  </si>
  <si>
    <t xml:space="preserve">BLR/Лида </t>
  </si>
  <si>
    <t>42,5</t>
  </si>
  <si>
    <t>45,0</t>
  </si>
  <si>
    <t>47,5</t>
  </si>
  <si>
    <t xml:space="preserve">Страхалис С. </t>
  </si>
  <si>
    <t>ВЕСОВАЯ КАТЕГОРИЯ   56</t>
  </si>
  <si>
    <t>Каткова Наталия</t>
  </si>
  <si>
    <t>Открытая (24.08.1989)/30</t>
  </si>
  <si>
    <t>55,00</t>
  </si>
  <si>
    <t>97,5</t>
  </si>
  <si>
    <t>110,0</t>
  </si>
  <si>
    <t>115,0</t>
  </si>
  <si>
    <t>Rahimi Bahamin</t>
  </si>
  <si>
    <t>Открытая (06.06.1993)/27</t>
  </si>
  <si>
    <t>72,00</t>
  </si>
  <si>
    <t xml:space="preserve">AFG/Kabul </t>
  </si>
  <si>
    <t>185,0</t>
  </si>
  <si>
    <t>107,5</t>
  </si>
  <si>
    <t>Проскурин Дмитрий</t>
  </si>
  <si>
    <t>Открытая (24.06.1994)/26</t>
  </si>
  <si>
    <t>88,10</t>
  </si>
  <si>
    <t xml:space="preserve">RUS/Костерёво </t>
  </si>
  <si>
    <t xml:space="preserve">Белянин Э. </t>
  </si>
  <si>
    <t>Зуев Алексей</t>
  </si>
  <si>
    <t>Открытая (16.04.1980)/40</t>
  </si>
  <si>
    <t>87,50</t>
  </si>
  <si>
    <t xml:space="preserve">RUS/Быково </t>
  </si>
  <si>
    <t>125,0</t>
  </si>
  <si>
    <t xml:space="preserve">Андреев Т. </t>
  </si>
  <si>
    <t>Мастера 40-49 (16.04.1980)/40</t>
  </si>
  <si>
    <t>Пономарев Владимир</t>
  </si>
  <si>
    <t>Открытая (03.08.1981)/39</t>
  </si>
  <si>
    <t>95,70</t>
  </si>
  <si>
    <t xml:space="preserve">RUS/Кузнецк </t>
  </si>
  <si>
    <t>152,5</t>
  </si>
  <si>
    <t>157,5</t>
  </si>
  <si>
    <t xml:space="preserve">Кончакова Н. </t>
  </si>
  <si>
    <t>Калинин Антон</t>
  </si>
  <si>
    <t>Открытая (05.07.1986)/34</t>
  </si>
  <si>
    <t>100,00</t>
  </si>
  <si>
    <t xml:space="preserve">RUS/Рязань </t>
  </si>
  <si>
    <t>227,5</t>
  </si>
  <si>
    <t xml:space="preserve">Щенников А. </t>
  </si>
  <si>
    <t>Пагов Азамат</t>
  </si>
  <si>
    <t>Открытая (10.08.1991)/28</t>
  </si>
  <si>
    <t>107,00</t>
  </si>
  <si>
    <t xml:space="preserve">RUS/Баксан </t>
  </si>
  <si>
    <t>122,5</t>
  </si>
  <si>
    <t>127,5</t>
  </si>
  <si>
    <t>232,5</t>
  </si>
  <si>
    <t xml:space="preserve">Хашпаков М. </t>
  </si>
  <si>
    <t>Хакяшев Мураз</t>
  </si>
  <si>
    <t>Открытая (06.12.1977)/42</t>
  </si>
  <si>
    <t>114,10</t>
  </si>
  <si>
    <t>217,5</t>
  </si>
  <si>
    <t>147,5</t>
  </si>
  <si>
    <t>242,5</t>
  </si>
  <si>
    <t xml:space="preserve">Юноши 14-16 </t>
  </si>
  <si>
    <t>56</t>
  </si>
  <si>
    <t>ВЕСОВАЯ КАТЕГОРИЯ   48</t>
  </si>
  <si>
    <t>Жук Юлия</t>
  </si>
  <si>
    <t>Открытая (01.04.1986)/34</t>
  </si>
  <si>
    <t>47,75</t>
  </si>
  <si>
    <t xml:space="preserve">Таранухин Г. </t>
  </si>
  <si>
    <t>Абрамова Юлия</t>
  </si>
  <si>
    <t>Открытая (29.06.1982)/38</t>
  </si>
  <si>
    <t>55,10</t>
  </si>
  <si>
    <t xml:space="preserve">RUS/Всеволожск </t>
  </si>
  <si>
    <t>137,5</t>
  </si>
  <si>
    <t>172,5</t>
  </si>
  <si>
    <t>Бондарчук Елена</t>
  </si>
  <si>
    <t>Открытая (18.06.1980)/40</t>
  </si>
  <si>
    <t>60,00</t>
  </si>
  <si>
    <t>167,5</t>
  </si>
  <si>
    <t>Логвинова Надежда</t>
  </si>
  <si>
    <t>Открытая (27.07.1986)/34</t>
  </si>
  <si>
    <t xml:space="preserve">RUS/Белогорск </t>
  </si>
  <si>
    <t>85,0</t>
  </si>
  <si>
    <t xml:space="preserve">Катаев Л. </t>
  </si>
  <si>
    <t>Натекина Юлия</t>
  </si>
  <si>
    <t>Открытая (02.12.1994)/25</t>
  </si>
  <si>
    <t>59,90</t>
  </si>
  <si>
    <t xml:space="preserve">Кульпин Н. </t>
  </si>
  <si>
    <t>Стародубова Дарья</t>
  </si>
  <si>
    <t>Девушки 14-16 (27.09.2004)/15</t>
  </si>
  <si>
    <t>79,00</t>
  </si>
  <si>
    <t>165,0</t>
  </si>
  <si>
    <t xml:space="preserve">Кабишов С. </t>
  </si>
  <si>
    <t>Дога Виктория</t>
  </si>
  <si>
    <t>Открытая (04.09.1982)/37</t>
  </si>
  <si>
    <t>Открытая (27.09.2004)/15</t>
  </si>
  <si>
    <t>75,00</t>
  </si>
  <si>
    <t>Мастера 60-69 (01.05.1959)/61</t>
  </si>
  <si>
    <t>130,5</t>
  </si>
  <si>
    <t>90,5</t>
  </si>
  <si>
    <t>Царёв Иван</t>
  </si>
  <si>
    <t>Открытая (29.01.1985)/35</t>
  </si>
  <si>
    <t>88,60</t>
  </si>
  <si>
    <t>162,5</t>
  </si>
  <si>
    <t>Голубев Дмитрий</t>
  </si>
  <si>
    <t>Открытая (27.02.1992)/28</t>
  </si>
  <si>
    <t xml:space="preserve">RUS/Щёлково </t>
  </si>
  <si>
    <t>175,0</t>
  </si>
  <si>
    <t xml:space="preserve">Танаев М. </t>
  </si>
  <si>
    <t>Ризник Артем</t>
  </si>
  <si>
    <t>Открытая (04.05.1994)/26</t>
  </si>
  <si>
    <t>98,50</t>
  </si>
  <si>
    <t>Гусев Валентин</t>
  </si>
  <si>
    <t>Открытая (01.06.1986)/34</t>
  </si>
  <si>
    <t>90,40</t>
  </si>
  <si>
    <t xml:space="preserve">RUS/Егорьевск </t>
  </si>
  <si>
    <t>Павлов Сергей</t>
  </si>
  <si>
    <t>Открытая (30.05.1985)/35</t>
  </si>
  <si>
    <t>96,60</t>
  </si>
  <si>
    <t>237,5</t>
  </si>
  <si>
    <t>247,5</t>
  </si>
  <si>
    <t xml:space="preserve">Иванов С. </t>
  </si>
  <si>
    <t>Загороднюк Иван</t>
  </si>
  <si>
    <t>Юниоры (02.05.1997)/23</t>
  </si>
  <si>
    <t>Мурзинов Руслан</t>
  </si>
  <si>
    <t>Юниоры (16.10.1997)/22</t>
  </si>
  <si>
    <t>101,70</t>
  </si>
  <si>
    <t xml:space="preserve">RUS/Красноярск </t>
  </si>
  <si>
    <t>Омаров Закир</t>
  </si>
  <si>
    <t>Юниоры (31.07.1998)/22</t>
  </si>
  <si>
    <t xml:space="preserve">Федоренко А. </t>
  </si>
  <si>
    <t>Чухнов Павел</t>
  </si>
  <si>
    <t>Открытая (05.03.1989)/31</t>
  </si>
  <si>
    <t xml:space="preserve">RUS/Михайловка </t>
  </si>
  <si>
    <t xml:space="preserve">Амазян Д. </t>
  </si>
  <si>
    <t>Самсонов Юрий</t>
  </si>
  <si>
    <t>Открытая (24.08.1982)/37</t>
  </si>
  <si>
    <t>108,70</t>
  </si>
  <si>
    <t xml:space="preserve">Кочетков А. </t>
  </si>
  <si>
    <t>Исаков Егор</t>
  </si>
  <si>
    <t>Открытая (12.03.1992)/28</t>
  </si>
  <si>
    <t>109,90</t>
  </si>
  <si>
    <t>187,5</t>
  </si>
  <si>
    <t>272,5</t>
  </si>
  <si>
    <t xml:space="preserve">Гурякова А. </t>
  </si>
  <si>
    <t>Макаренко Алексей</t>
  </si>
  <si>
    <t>Открытая (22.02.1981)/39</t>
  </si>
  <si>
    <t>115,60</t>
  </si>
  <si>
    <t xml:space="preserve">RUS/Подольск </t>
  </si>
  <si>
    <t>Зайцев Александр</t>
  </si>
  <si>
    <t>Мастера 40-49 (06.04.1980)/40</t>
  </si>
  <si>
    <t>112,10</t>
  </si>
  <si>
    <t xml:space="preserve">RUS/Изобильный </t>
  </si>
  <si>
    <t>Пысь Дмитрий</t>
  </si>
  <si>
    <t>Открытая (04.05.1986)/34</t>
  </si>
  <si>
    <t>125,10</t>
  </si>
  <si>
    <t xml:space="preserve">RUS/Геленджик </t>
  </si>
  <si>
    <t>325,0</t>
  </si>
  <si>
    <t>405,0</t>
  </si>
  <si>
    <t>482,5980</t>
  </si>
  <si>
    <t>472,5</t>
  </si>
  <si>
    <t>438,9525</t>
  </si>
  <si>
    <t>434,8110</t>
  </si>
  <si>
    <t>885,0</t>
  </si>
  <si>
    <t>504,2730</t>
  </si>
  <si>
    <t>790,0</t>
  </si>
  <si>
    <t>469,0230</t>
  </si>
  <si>
    <t>772,5</t>
  </si>
  <si>
    <t>456,3157</t>
  </si>
  <si>
    <t>Степанкина Марина</t>
  </si>
  <si>
    <t>Юниорки (17.12.1998)/21</t>
  </si>
  <si>
    <t>51,40</t>
  </si>
  <si>
    <t xml:space="preserve">Сакович О. </t>
  </si>
  <si>
    <t>Герман Юлия</t>
  </si>
  <si>
    <t>Открытая (28.12.1992)/27</t>
  </si>
  <si>
    <t>51,80</t>
  </si>
  <si>
    <t xml:space="preserve">RUS/Смоленск </t>
  </si>
  <si>
    <t xml:space="preserve">Воробьев М. </t>
  </si>
  <si>
    <t>Открытая (17.12.1998)/21</t>
  </si>
  <si>
    <t>Кокорина Снежана</t>
  </si>
  <si>
    <t>Открытая (05.11.1983)/36</t>
  </si>
  <si>
    <t>50,40</t>
  </si>
  <si>
    <t xml:space="preserve">Качан С. </t>
  </si>
  <si>
    <t>Землянская Анна</t>
  </si>
  <si>
    <t>Открытая (10.03.1981)/39</t>
  </si>
  <si>
    <t>55,20</t>
  </si>
  <si>
    <t xml:space="preserve">UKR/Горловка </t>
  </si>
  <si>
    <t>67,5</t>
  </si>
  <si>
    <t>Острейко Ольга</t>
  </si>
  <si>
    <t>Открытая (13.09.1994)/25</t>
  </si>
  <si>
    <t>53,30</t>
  </si>
  <si>
    <t>52,5</t>
  </si>
  <si>
    <t>Накопия Фируза</t>
  </si>
  <si>
    <t>Открытая (04.09.1985)/34</t>
  </si>
  <si>
    <t>55,30</t>
  </si>
  <si>
    <t xml:space="preserve">RUS/Люберцы </t>
  </si>
  <si>
    <t>ВЕСОВАЯ КАТЕГОРИЯ   67.5</t>
  </si>
  <si>
    <t>Харина Валентина</t>
  </si>
  <si>
    <t>Открытая (24.12.1977)/42</t>
  </si>
  <si>
    <t>66,80</t>
  </si>
  <si>
    <t>Ядрихинская Мария</t>
  </si>
  <si>
    <t>Открытая (09.07.1982)/38</t>
  </si>
  <si>
    <t>66,60</t>
  </si>
  <si>
    <t>Крупская Екатерина</t>
  </si>
  <si>
    <t>Открытая (20.02.1999)/21</t>
  </si>
  <si>
    <t>62,00</t>
  </si>
  <si>
    <t xml:space="preserve">RUS/Клинцы </t>
  </si>
  <si>
    <t xml:space="preserve">Моргулец Д. </t>
  </si>
  <si>
    <t>Трофимчук Ирина</t>
  </si>
  <si>
    <t>Открытая (15.03.1988)/32</t>
  </si>
  <si>
    <t>65,00</t>
  </si>
  <si>
    <t>Малышева Евгения</t>
  </si>
  <si>
    <t>Открытая (09.04.1984)/36</t>
  </si>
  <si>
    <t>74,80</t>
  </si>
  <si>
    <t xml:space="preserve">RUS/Надым </t>
  </si>
  <si>
    <t xml:space="preserve">Коломыцев М. </t>
  </si>
  <si>
    <t>Чернобай Светлана</t>
  </si>
  <si>
    <t>Открытая (08.12.1978)/41</t>
  </si>
  <si>
    <t>57,5</t>
  </si>
  <si>
    <t>62,5</t>
  </si>
  <si>
    <t>Рожкова Екатерина</t>
  </si>
  <si>
    <t>Открытая (08.05.1995)/25</t>
  </si>
  <si>
    <t>71,10</t>
  </si>
  <si>
    <t>37,5</t>
  </si>
  <si>
    <t>Elsayed Mahmoud</t>
  </si>
  <si>
    <t>Открытая (28.06.1992)/28</t>
  </si>
  <si>
    <t>67,20</t>
  </si>
  <si>
    <t xml:space="preserve">EGY/Cairo </t>
  </si>
  <si>
    <t>Байбородин Евгений</t>
  </si>
  <si>
    <t>Открытая (23.01.1987)/33</t>
  </si>
  <si>
    <t>65,40</t>
  </si>
  <si>
    <t xml:space="preserve">RUS/Архангельск </t>
  </si>
  <si>
    <t>Фролов Ярослав</t>
  </si>
  <si>
    <t>Юноши 14-16 (17.12.2004)/15</t>
  </si>
  <si>
    <t>72,80</t>
  </si>
  <si>
    <t xml:space="preserve">Малов В. </t>
  </si>
  <si>
    <t>Кузнецов Андрей</t>
  </si>
  <si>
    <t>Юниоры (31.01.1999)/21</t>
  </si>
  <si>
    <t>73,40</t>
  </si>
  <si>
    <t xml:space="preserve">Мышко Н. </t>
  </si>
  <si>
    <t>Karimov Mirtahib</t>
  </si>
  <si>
    <t>Юниоры (03.07.2000)/20</t>
  </si>
  <si>
    <t xml:space="preserve">AZE/Баку </t>
  </si>
  <si>
    <t>182,5</t>
  </si>
  <si>
    <t>212,5</t>
  </si>
  <si>
    <t xml:space="preserve">Guliyev N. </t>
  </si>
  <si>
    <t>Чуприн Григорий</t>
  </si>
  <si>
    <t>Открытая (10.12.1989)/30</t>
  </si>
  <si>
    <t>74,40</t>
  </si>
  <si>
    <t>Моргунов Александр</t>
  </si>
  <si>
    <t>Юноши 14-16 (18.01.2004)/16</t>
  </si>
  <si>
    <t>79,70</t>
  </si>
  <si>
    <t xml:space="preserve">RUS/Новосибирск </t>
  </si>
  <si>
    <t xml:space="preserve">Тузов А. </t>
  </si>
  <si>
    <t>Елсаков Константин</t>
  </si>
  <si>
    <t>Открытая (26.05.1990)/30</t>
  </si>
  <si>
    <t xml:space="preserve">RUS/Нахабино </t>
  </si>
  <si>
    <t>Денисов Сергей</t>
  </si>
  <si>
    <t>Открытая (15.09.1991)/28</t>
  </si>
  <si>
    <t>80,30</t>
  </si>
  <si>
    <t xml:space="preserve">RUS/Барнаул </t>
  </si>
  <si>
    <t>Воротников Алексей</t>
  </si>
  <si>
    <t>Открытая (08.10.1980)/39</t>
  </si>
  <si>
    <t>Донников Юрий</t>
  </si>
  <si>
    <t>Открытая (01.12.1983)/36</t>
  </si>
  <si>
    <t xml:space="preserve">RUS/Железнодорожный </t>
  </si>
  <si>
    <t xml:space="preserve">Пустовой Р. </t>
  </si>
  <si>
    <t>Zhakin Vladimir</t>
  </si>
  <si>
    <t>Мастера 60-69 (15.09.1952)/67</t>
  </si>
  <si>
    <t>80,00</t>
  </si>
  <si>
    <t>Коробейко Егор</t>
  </si>
  <si>
    <t>Юноши 17-19 (06.03.2002)/18</t>
  </si>
  <si>
    <t>87,70</t>
  </si>
  <si>
    <t>192,5</t>
  </si>
  <si>
    <t>Федорец Михаил</t>
  </si>
  <si>
    <t>Открытая (29.07.1989)/31</t>
  </si>
  <si>
    <t>86,60</t>
  </si>
  <si>
    <t xml:space="preserve">RUS/Альметьевск </t>
  </si>
  <si>
    <t xml:space="preserve">Федорец О. </t>
  </si>
  <si>
    <t>Стеншин Давид</t>
  </si>
  <si>
    <t>Открытая (02.07.1992)/28</t>
  </si>
  <si>
    <t>89,20</t>
  </si>
  <si>
    <t xml:space="preserve">RUS/Нижний Новгород </t>
  </si>
  <si>
    <t>Абрамов Никита</t>
  </si>
  <si>
    <t>Открытая (29.11.1991)/28</t>
  </si>
  <si>
    <t>89,30</t>
  </si>
  <si>
    <t xml:space="preserve">RUS/Калуга </t>
  </si>
  <si>
    <t>262,5</t>
  </si>
  <si>
    <t>Вороков Султан</t>
  </si>
  <si>
    <t>Юниоры (24.03.1997)/23</t>
  </si>
  <si>
    <t>Киселёв Денис</t>
  </si>
  <si>
    <t>Открытая (03.08.1997)/23</t>
  </si>
  <si>
    <t>93,30</t>
  </si>
  <si>
    <t xml:space="preserve">RUS/Усть-Катав </t>
  </si>
  <si>
    <t>Рублев Михаил</t>
  </si>
  <si>
    <t>Открытая (07.06.1979)/41</t>
  </si>
  <si>
    <t>98,20</t>
  </si>
  <si>
    <t xml:space="preserve">RUS/Жуковский </t>
  </si>
  <si>
    <t>Воронов Олег</t>
  </si>
  <si>
    <t>Мастера 40-49 (24.12.1973)/46</t>
  </si>
  <si>
    <t>98,10</t>
  </si>
  <si>
    <t>Макаров Владимир</t>
  </si>
  <si>
    <t>Мастера 70-79 (25.07.1946)/74</t>
  </si>
  <si>
    <t>95,80</t>
  </si>
  <si>
    <t xml:space="preserve">RUS/Собинка </t>
  </si>
  <si>
    <t>Серов Денис</t>
  </si>
  <si>
    <t>Открытая (05.09.1981)/38</t>
  </si>
  <si>
    <t>105,30</t>
  </si>
  <si>
    <t>Астахов Денис</t>
  </si>
  <si>
    <t>Открытая (21.05.1984)/36</t>
  </si>
  <si>
    <t>116,70</t>
  </si>
  <si>
    <t>307,5</t>
  </si>
  <si>
    <t>292,5</t>
  </si>
  <si>
    <t xml:space="preserve">Осипов К. </t>
  </si>
  <si>
    <t>Маркин Николай</t>
  </si>
  <si>
    <t>Открытая (14.03.1981)/39</t>
  </si>
  <si>
    <t>116,10</t>
  </si>
  <si>
    <t xml:space="preserve">Лазарев В. </t>
  </si>
  <si>
    <t>Самарин Лев</t>
  </si>
  <si>
    <t>Открытая (28.05.1983)/37</t>
  </si>
  <si>
    <t>137,00</t>
  </si>
  <si>
    <t>302,5</t>
  </si>
  <si>
    <t>67.5</t>
  </si>
  <si>
    <t>385,0</t>
  </si>
  <si>
    <t>395,8955</t>
  </si>
  <si>
    <t>392,7000</t>
  </si>
  <si>
    <t>334,9450</t>
  </si>
  <si>
    <t xml:space="preserve">Юноши </t>
  </si>
  <si>
    <t xml:space="preserve">Юноши 17-19 </t>
  </si>
  <si>
    <t>742,5</t>
  </si>
  <si>
    <t>429,7590</t>
  </si>
  <si>
    <t>617,5</t>
  </si>
  <si>
    <t>413,9720</t>
  </si>
  <si>
    <t>600,0</t>
  </si>
  <si>
    <t>408,6600</t>
  </si>
  <si>
    <t xml:space="preserve">Мастера 70-79 </t>
  </si>
  <si>
    <t>4</t>
  </si>
  <si>
    <t>Косарев Руслан</t>
  </si>
  <si>
    <t>Открытая (29.11.1990)/29</t>
  </si>
  <si>
    <t>Матвеев Александр</t>
  </si>
  <si>
    <t>Открытая (14.03.1974)/46</t>
  </si>
  <si>
    <t>75,85</t>
  </si>
  <si>
    <t xml:space="preserve">RUS/Владимир </t>
  </si>
  <si>
    <t>Якупов Радмир</t>
  </si>
  <si>
    <t>Открытая (18.04.1993)/27</t>
  </si>
  <si>
    <t>81,40</t>
  </si>
  <si>
    <t xml:space="preserve">RUS/Уфа </t>
  </si>
  <si>
    <t xml:space="preserve">Боев В. </t>
  </si>
  <si>
    <t>Моркин Антон</t>
  </si>
  <si>
    <t>Мастера 40-49 (30.10.1979)/40</t>
  </si>
  <si>
    <t>81,30</t>
  </si>
  <si>
    <t xml:space="preserve">Суший И. </t>
  </si>
  <si>
    <t>Силушин Павел</t>
  </si>
  <si>
    <t>Открытая (17.09.1989)/30</t>
  </si>
  <si>
    <t>87,55</t>
  </si>
  <si>
    <t xml:space="preserve">Силушин А. </t>
  </si>
  <si>
    <t>Sheikin Aliaksei</t>
  </si>
  <si>
    <t>Открытая (24.03.1988)/32</t>
  </si>
  <si>
    <t xml:space="preserve">BLR/Бобруйск </t>
  </si>
  <si>
    <t>Акулич Александр</t>
  </si>
  <si>
    <t>Открытая (17.11.1981)/38</t>
  </si>
  <si>
    <t>98,00</t>
  </si>
  <si>
    <t xml:space="preserve">RUS/Сергиев Посад </t>
  </si>
  <si>
    <t>305,0</t>
  </si>
  <si>
    <t>Боев Виталий</t>
  </si>
  <si>
    <t>Открытая (27.06.1984)/36</t>
  </si>
  <si>
    <t xml:space="preserve">RUS/Орёл </t>
  </si>
  <si>
    <t>Беспаликов Валерий</t>
  </si>
  <si>
    <t>Открытая (07.04.1981)/39</t>
  </si>
  <si>
    <t>99,90</t>
  </si>
  <si>
    <t xml:space="preserve">Емельянов Н. </t>
  </si>
  <si>
    <t>Емельянов Николай</t>
  </si>
  <si>
    <t>Открытая (30.08.1979)/40</t>
  </si>
  <si>
    <t>106,50</t>
  </si>
  <si>
    <t>Пузырев Денис</t>
  </si>
  <si>
    <t>Открытая (31.03.1974)/46</t>
  </si>
  <si>
    <t xml:space="preserve">RUS/Серпухов </t>
  </si>
  <si>
    <t xml:space="preserve">Грудев А. </t>
  </si>
  <si>
    <t>Мастера 40-49 (30.08.1979)/40</t>
  </si>
  <si>
    <t>Мастера 40-49 (31.03.1974)/46</t>
  </si>
  <si>
    <t>Куротченко Игорь</t>
  </si>
  <si>
    <t>Мастера 50-59 (20.03.1962)/58</t>
  </si>
  <si>
    <t>109,50</t>
  </si>
  <si>
    <t>Жемаркин Дмитрий</t>
  </si>
  <si>
    <t>Юниоры (29.01.1997)/23</t>
  </si>
  <si>
    <t>121,80</t>
  </si>
  <si>
    <t>Открытая (29.01.1997)/23</t>
  </si>
  <si>
    <t>ВЕСОВАЯ КАТЕГОРИЯ   140+</t>
  </si>
  <si>
    <t>Махмудов Ариф</t>
  </si>
  <si>
    <t>Открытая (31.07.1962)/58</t>
  </si>
  <si>
    <t>141,30</t>
  </si>
  <si>
    <t>325,5</t>
  </si>
  <si>
    <t>Мастера 50-59 (31.07.1962)/58</t>
  </si>
  <si>
    <t>178,8368</t>
  </si>
  <si>
    <t>174,2125</t>
  </si>
  <si>
    <t>140+</t>
  </si>
  <si>
    <t>169,6176</t>
  </si>
  <si>
    <t>218,9763</t>
  </si>
  <si>
    <t>141,9875</t>
  </si>
  <si>
    <t>138,2094</t>
  </si>
  <si>
    <t>Николаева Наталья</t>
  </si>
  <si>
    <t>Мастера 40-49 (23.05.1972)/48</t>
  </si>
  <si>
    <t>66,00</t>
  </si>
  <si>
    <t xml:space="preserve">RUS/Мытищи </t>
  </si>
  <si>
    <t>Грачева Ольга</t>
  </si>
  <si>
    <t>Мастера 40-49 (19.09.1978)/41</t>
  </si>
  <si>
    <t>73,90</t>
  </si>
  <si>
    <t>Переезчиков Вячеслав</t>
  </si>
  <si>
    <t>197,5</t>
  </si>
  <si>
    <t xml:space="preserve">Беловал Е. </t>
  </si>
  <si>
    <t>Открытая (06.12.2000)/19</t>
  </si>
  <si>
    <t>Осипов Владимир</t>
  </si>
  <si>
    <t>Открытая (27.10.1985)/34</t>
  </si>
  <si>
    <t>66,30</t>
  </si>
  <si>
    <t xml:space="preserve">RUS/Няндома </t>
  </si>
  <si>
    <t>Слуцкий Дмитрий</t>
  </si>
  <si>
    <t>Мастера 40-49 (16.11.1974)/45</t>
  </si>
  <si>
    <t>66,50</t>
  </si>
  <si>
    <t>Данченко Александр</t>
  </si>
  <si>
    <t>Открытая (03.08.1986)/34</t>
  </si>
  <si>
    <t>73,50</t>
  </si>
  <si>
    <t xml:space="preserve">BLR/Витебск </t>
  </si>
  <si>
    <t xml:space="preserve">Седых А. </t>
  </si>
  <si>
    <t>Хачатрян Роберт</t>
  </si>
  <si>
    <t>Юниоры (02.02.2000)/20</t>
  </si>
  <si>
    <t>81,80</t>
  </si>
  <si>
    <t xml:space="preserve">RUS/Муром </t>
  </si>
  <si>
    <t>Милостной Станислав</t>
  </si>
  <si>
    <t>Открытая (19.12.1978)/41</t>
  </si>
  <si>
    <t xml:space="preserve">RUS/Курск </t>
  </si>
  <si>
    <t>Соков Денис</t>
  </si>
  <si>
    <t>Открытая (06.12.1985)/34</t>
  </si>
  <si>
    <t>79,50</t>
  </si>
  <si>
    <t>Шахбазян Давид</t>
  </si>
  <si>
    <t>Открытая (30.08.1994)/25</t>
  </si>
  <si>
    <t>78,20</t>
  </si>
  <si>
    <t>Бельков Игорь</t>
  </si>
  <si>
    <t>Открытая (08.03.1983)/37</t>
  </si>
  <si>
    <t>80,90</t>
  </si>
  <si>
    <t xml:space="preserve">RUS/Тамбов </t>
  </si>
  <si>
    <t>Рязанцев Денис</t>
  </si>
  <si>
    <t>Юниоры (08.03.1998)/22</t>
  </si>
  <si>
    <t xml:space="preserve">Минаев А. </t>
  </si>
  <si>
    <t>Сапожонков Андрей</t>
  </si>
  <si>
    <t>Открытая (26.06.1987)/33</t>
  </si>
  <si>
    <t>89,00</t>
  </si>
  <si>
    <t xml:space="preserve">RUS/Талдом </t>
  </si>
  <si>
    <t>277,0</t>
  </si>
  <si>
    <t>Пыткин Максим</t>
  </si>
  <si>
    <t>Открытая (30.03.1992)/28</t>
  </si>
  <si>
    <t xml:space="preserve">RUS/Липецк </t>
  </si>
  <si>
    <t xml:space="preserve">Колохин П. </t>
  </si>
  <si>
    <t>Алиев Владимир</t>
  </si>
  <si>
    <t>Открытая (26.01.1992)/28</t>
  </si>
  <si>
    <t>88,90</t>
  </si>
  <si>
    <t xml:space="preserve">Мельников Н. </t>
  </si>
  <si>
    <t>Шмадченко Александр</t>
  </si>
  <si>
    <t>Открытая (26.12.1986)/33</t>
  </si>
  <si>
    <t>Столяров Алексей</t>
  </si>
  <si>
    <t>Открытая (25.02.1990)/30</t>
  </si>
  <si>
    <t>88,80</t>
  </si>
  <si>
    <t xml:space="preserve">Сарычев К. </t>
  </si>
  <si>
    <t>Тимофеев Александр</t>
  </si>
  <si>
    <t>Открытая (26.01.1988)/32</t>
  </si>
  <si>
    <t>88,00</t>
  </si>
  <si>
    <t xml:space="preserve">Таранухо С. </t>
  </si>
  <si>
    <t>Толмачев Александр</t>
  </si>
  <si>
    <t>Открытая (06.01.1984)/36</t>
  </si>
  <si>
    <t xml:space="preserve">RUS/Чехов </t>
  </si>
  <si>
    <t xml:space="preserve">Крылов В. </t>
  </si>
  <si>
    <t>Могильников Кирилл</t>
  </si>
  <si>
    <t>Открытая (14.07.1990)/30</t>
  </si>
  <si>
    <t>96,80</t>
  </si>
  <si>
    <t>Федоренко Роман</t>
  </si>
  <si>
    <t>Открытая (28.05.1988)/32</t>
  </si>
  <si>
    <t xml:space="preserve">Коваленко К. </t>
  </si>
  <si>
    <t>Кандауров Станислав</t>
  </si>
  <si>
    <t>99,40</t>
  </si>
  <si>
    <t>Байдюк Сергей</t>
  </si>
  <si>
    <t>Открытая (07.04.1993)/27</t>
  </si>
  <si>
    <t>95,30</t>
  </si>
  <si>
    <t xml:space="preserve">Русанов В. </t>
  </si>
  <si>
    <t>Мучлер Александр</t>
  </si>
  <si>
    <t>Мастера 40-49 (06.08.1979)/41</t>
  </si>
  <si>
    <t>95,50</t>
  </si>
  <si>
    <t>Петросян Артур</t>
  </si>
  <si>
    <t>Мастера 50-59 (23.02.1970)/50</t>
  </si>
  <si>
    <t>97,00</t>
  </si>
  <si>
    <t>Бондарев Евгений</t>
  </si>
  <si>
    <t>Открытая (21.09.1985)/34</t>
  </si>
  <si>
    <t>107,80</t>
  </si>
  <si>
    <t>Мокшин Алексей</t>
  </si>
  <si>
    <t>Открытая (07.03.1983)/37</t>
  </si>
  <si>
    <t>107,10</t>
  </si>
  <si>
    <t>Иванчук Алексей</t>
  </si>
  <si>
    <t>Открытая (13.04.1991)/29</t>
  </si>
  <si>
    <t xml:space="preserve">Терешин А. </t>
  </si>
  <si>
    <t>Кулаков Олег</t>
  </si>
  <si>
    <t>Мастера 50-59 (14.10.1969)/50</t>
  </si>
  <si>
    <t>Гринько Кирилл</t>
  </si>
  <si>
    <t>Юноши 14-16 (30.03.2007)/13</t>
  </si>
  <si>
    <t>119,40</t>
  </si>
  <si>
    <t xml:space="preserve">Терёшин А. </t>
  </si>
  <si>
    <t>Ильиных Иван</t>
  </si>
  <si>
    <t>Юниоры (25.10.1996)/23</t>
  </si>
  <si>
    <t>122,20</t>
  </si>
  <si>
    <t>Дьяконов Дмитрий</t>
  </si>
  <si>
    <t>Открытая (07.07.1988)/32</t>
  </si>
  <si>
    <t>115,00</t>
  </si>
  <si>
    <t xml:space="preserve">RUS/Астрахань </t>
  </si>
  <si>
    <t>277,5</t>
  </si>
  <si>
    <t>Лисютин Максим</t>
  </si>
  <si>
    <t>Открытая (24.04.1985)/35</t>
  </si>
  <si>
    <t>Чулин Сергей</t>
  </si>
  <si>
    <t>Открытая (18.04.1987)/33</t>
  </si>
  <si>
    <t>118,60</t>
  </si>
  <si>
    <t xml:space="preserve">Беловал Е </t>
  </si>
  <si>
    <t>Рыжков Анатолий</t>
  </si>
  <si>
    <t>Открытая (20.06.1984)/36</t>
  </si>
  <si>
    <t>116,20</t>
  </si>
  <si>
    <t xml:space="preserve">Милостной С. </t>
  </si>
  <si>
    <t>Колохин Павел</t>
  </si>
  <si>
    <t>135,90</t>
  </si>
  <si>
    <t xml:space="preserve">RUS/Судогда </t>
  </si>
  <si>
    <t>282,5</t>
  </si>
  <si>
    <t>173,3670</t>
  </si>
  <si>
    <t>157,4955</t>
  </si>
  <si>
    <t>156,8970</t>
  </si>
  <si>
    <t>5</t>
  </si>
  <si>
    <t>6</t>
  </si>
  <si>
    <t>7</t>
  </si>
  <si>
    <t>Сычева Наталья</t>
  </si>
  <si>
    <t>Открытая (04.06.1995)/25</t>
  </si>
  <si>
    <t>50,60</t>
  </si>
  <si>
    <t xml:space="preserve">Ржановский А. </t>
  </si>
  <si>
    <t>Лиджиева Елена</t>
  </si>
  <si>
    <t>Открытая (17.06.1992)/28</t>
  </si>
  <si>
    <t>51,20</t>
  </si>
  <si>
    <t xml:space="preserve">RUS/Лагань </t>
  </si>
  <si>
    <t xml:space="preserve">Федорец М. </t>
  </si>
  <si>
    <t>Щербакова Елена</t>
  </si>
  <si>
    <t>Открытая (14.04.1979)/41</t>
  </si>
  <si>
    <t>51,50</t>
  </si>
  <si>
    <t xml:space="preserve">Васильев Б. </t>
  </si>
  <si>
    <t>Мастера 40-49 (14.04.1979)/41</t>
  </si>
  <si>
    <t>Токарева Алина</t>
  </si>
  <si>
    <t>Девушки 14-16 (24.06.2005)/15</t>
  </si>
  <si>
    <t>55,40</t>
  </si>
  <si>
    <t xml:space="preserve">RUS/Ступино </t>
  </si>
  <si>
    <t xml:space="preserve">Шишлянников Д. </t>
  </si>
  <si>
    <t>Телегина Любовь</t>
  </si>
  <si>
    <t>Открытая (05.08.1985)/35</t>
  </si>
  <si>
    <t>55,50</t>
  </si>
  <si>
    <t xml:space="preserve">Телегин А. </t>
  </si>
  <si>
    <t>Савчук Анастасия</t>
  </si>
  <si>
    <t>Открытая (31.03.1992)/28</t>
  </si>
  <si>
    <t>54,30</t>
  </si>
  <si>
    <t xml:space="preserve">RUS/Воскресенск </t>
  </si>
  <si>
    <t xml:space="preserve">Силантьев А. </t>
  </si>
  <si>
    <t>Максимчук Ольга</t>
  </si>
  <si>
    <t>Юниорки (05.07.1997)/23</t>
  </si>
  <si>
    <t>58,40</t>
  </si>
  <si>
    <t>Родионова Екатерина</t>
  </si>
  <si>
    <t>Открытая (02.04.1994)/26</t>
  </si>
  <si>
    <t>56,50</t>
  </si>
  <si>
    <t xml:space="preserve">Михеев А. </t>
  </si>
  <si>
    <t>Крицкий Антон</t>
  </si>
  <si>
    <t>66,90</t>
  </si>
  <si>
    <t xml:space="preserve">RUS/Старый Оскол </t>
  </si>
  <si>
    <t xml:space="preserve">Лысенко Д. </t>
  </si>
  <si>
    <t>Матвиенко Надежда</t>
  </si>
  <si>
    <t>Открытая (27.07.1964)/56</t>
  </si>
  <si>
    <t>73,30</t>
  </si>
  <si>
    <t xml:space="preserve">Опиченок Е. </t>
  </si>
  <si>
    <t>Мастера 50-59 (27.07.1964)/56</t>
  </si>
  <si>
    <t>Шишкин Вадим</t>
  </si>
  <si>
    <t>Юноши 17-19 (08.12.2000)/19</t>
  </si>
  <si>
    <t>59,10</t>
  </si>
  <si>
    <t>Беспелюхин Алексей</t>
  </si>
  <si>
    <t>Юноши 14-16 (01.10.2003)/16</t>
  </si>
  <si>
    <t>65,80</t>
  </si>
  <si>
    <t>Гончаров Максим</t>
  </si>
  <si>
    <t>Юноши 17-19 (01.04.2001)/19</t>
  </si>
  <si>
    <t>Щербаков Иван</t>
  </si>
  <si>
    <t>Юноши 17-19 (26.09.2002)/17</t>
  </si>
  <si>
    <t>61,30</t>
  </si>
  <si>
    <t xml:space="preserve">RUS/Истра </t>
  </si>
  <si>
    <t xml:space="preserve">Щербаков Е. </t>
  </si>
  <si>
    <t>Жилин Андрей</t>
  </si>
  <si>
    <t>Открытая (05.04.1980)/40</t>
  </si>
  <si>
    <t>67,10</t>
  </si>
  <si>
    <t>Открытая (01.04.2001)/19</t>
  </si>
  <si>
    <t>Руэда-Суарес Валентин</t>
  </si>
  <si>
    <t>Открытая (08.03.1990)/30</t>
  </si>
  <si>
    <t xml:space="preserve">ESP/Madrid </t>
  </si>
  <si>
    <t xml:space="preserve">Кок Д. </t>
  </si>
  <si>
    <t>Юрченко Никита</t>
  </si>
  <si>
    <t>Юноши 14-16 (06.08.2004)/16</t>
  </si>
  <si>
    <t>69,70</t>
  </si>
  <si>
    <t>Шишлянников Даниил</t>
  </si>
  <si>
    <t>Юноши 17-19 (05.04.2002)/18</t>
  </si>
  <si>
    <t>Сизенцев Константин</t>
  </si>
  <si>
    <t>Юноши 17-19 (02.12.2000)/19</t>
  </si>
  <si>
    <t>69,40</t>
  </si>
  <si>
    <t xml:space="preserve">Шмадченко А. </t>
  </si>
  <si>
    <t>Карпов Иван</t>
  </si>
  <si>
    <t>Открытая (09.12.1987)/32</t>
  </si>
  <si>
    <t xml:space="preserve">RUS/Щербинка </t>
  </si>
  <si>
    <t>Самойлов Максим</t>
  </si>
  <si>
    <t>Открытая (04.05.1996)/24</t>
  </si>
  <si>
    <t>79,80</t>
  </si>
  <si>
    <t xml:space="preserve">Савин А. </t>
  </si>
  <si>
    <t>Данилин Дмитрий</t>
  </si>
  <si>
    <t>Открытая (08.12.1988)/31</t>
  </si>
  <si>
    <t>Аксенов Филипп</t>
  </si>
  <si>
    <t>Юноши 14-16 (29.08.2003)/16</t>
  </si>
  <si>
    <t>83,40</t>
  </si>
  <si>
    <t xml:space="preserve">Никитин В. </t>
  </si>
  <si>
    <t>Мазур Евгений</t>
  </si>
  <si>
    <t>Открытая (30.11.1990)/29</t>
  </si>
  <si>
    <t xml:space="preserve">RUS/Одинцово </t>
  </si>
  <si>
    <t xml:space="preserve">Якименко В. </t>
  </si>
  <si>
    <t>Шакиров Фаррух</t>
  </si>
  <si>
    <t>Открытая (16.08.1987)/32</t>
  </si>
  <si>
    <t>89,60</t>
  </si>
  <si>
    <t xml:space="preserve">TJK/Душанбе </t>
  </si>
  <si>
    <t>89,50</t>
  </si>
  <si>
    <t>Жирков Федор</t>
  </si>
  <si>
    <t>Открытая (19.01.1984)/36</t>
  </si>
  <si>
    <t>88,70</t>
  </si>
  <si>
    <t xml:space="preserve">Парфенов А. </t>
  </si>
  <si>
    <t>Улигов Сосруко</t>
  </si>
  <si>
    <t>Открытая (22.04.1983)/37</t>
  </si>
  <si>
    <t xml:space="preserve">RUS/Нальчик </t>
  </si>
  <si>
    <t>Садыков Руслан</t>
  </si>
  <si>
    <t>Открытая (16.03.1971)/49</t>
  </si>
  <si>
    <t>Доставалов Антон</t>
  </si>
  <si>
    <t>Открытая (23.05.1993)/27</t>
  </si>
  <si>
    <t>Мастера 40-49 (16.03.1971)/49</t>
  </si>
  <si>
    <t>Смирнов Леонид</t>
  </si>
  <si>
    <t>Мастера 60-69 (26.09.1957)/62</t>
  </si>
  <si>
    <t>Плешков Владимир</t>
  </si>
  <si>
    <t>Мастера 70-79 (29.08.1944)/75</t>
  </si>
  <si>
    <t>84,00</t>
  </si>
  <si>
    <t xml:space="preserve">RUS/Калининград </t>
  </si>
  <si>
    <t>Клименко Владимир</t>
  </si>
  <si>
    <t>Мастера 70-79 (12.03.1945)/75</t>
  </si>
  <si>
    <t xml:space="preserve">Наумов А. </t>
  </si>
  <si>
    <t>Дёмкин Константин</t>
  </si>
  <si>
    <t>Открытая (07.03.1984)/36</t>
  </si>
  <si>
    <t>97,70</t>
  </si>
  <si>
    <t>Башкевич Максим</t>
  </si>
  <si>
    <t>Мастера 40-49 (02.09.1975)/44</t>
  </si>
  <si>
    <t>99,30</t>
  </si>
  <si>
    <t>Страхалис Сергей</t>
  </si>
  <si>
    <t>Мастера 50-59 (10.03.1963)/57</t>
  </si>
  <si>
    <t>95,40</t>
  </si>
  <si>
    <t xml:space="preserve">Варава И. </t>
  </si>
  <si>
    <t>Васильев Виктор</t>
  </si>
  <si>
    <t>Мастера 60-69 (09.02.1954)/66</t>
  </si>
  <si>
    <t>Сасаниа Георгий</t>
  </si>
  <si>
    <t>Открытая (14.02.1993)/27</t>
  </si>
  <si>
    <t>107,60</t>
  </si>
  <si>
    <t xml:space="preserve">RUS/Керчь </t>
  </si>
  <si>
    <t>231,0</t>
  </si>
  <si>
    <t>Киляров Инал</t>
  </si>
  <si>
    <t>Открытая (13.02.1994)/26</t>
  </si>
  <si>
    <t>106,40</t>
  </si>
  <si>
    <t>Костин Александр</t>
  </si>
  <si>
    <t>Открытая (04.03.1995)/25</t>
  </si>
  <si>
    <t>107,20</t>
  </si>
  <si>
    <t xml:space="preserve">Котов К. </t>
  </si>
  <si>
    <t>Цуров Магомед</t>
  </si>
  <si>
    <t>Открытая (01.07.1991)/29</t>
  </si>
  <si>
    <t xml:space="preserve">RUS/Назрань </t>
  </si>
  <si>
    <t>Зайкин Андрей</t>
  </si>
  <si>
    <t>Открытая (21.01.1984)/36</t>
  </si>
  <si>
    <t>109,40</t>
  </si>
  <si>
    <t>Остапенко Кирилл</t>
  </si>
  <si>
    <t>Мастера 40-49 (19.10.1977)/42</t>
  </si>
  <si>
    <t>102,10</t>
  </si>
  <si>
    <t>Шомахов Альберт</t>
  </si>
  <si>
    <t>Мастера 50-59 (08.06.1968)/52</t>
  </si>
  <si>
    <t>Оглоблин Денис</t>
  </si>
  <si>
    <t>Мастера 50-59 (12.05.1967)/53</t>
  </si>
  <si>
    <t>108,50</t>
  </si>
  <si>
    <t>Усольцев Евгений</t>
  </si>
  <si>
    <t>Открытая (01.02.1970)/50</t>
  </si>
  <si>
    <t>122,90</t>
  </si>
  <si>
    <t>Мастера 50-59 (01.02.1970)/50</t>
  </si>
  <si>
    <t>Перов Павел</t>
  </si>
  <si>
    <t>Мастера 50-59 (06.08.1966)/54</t>
  </si>
  <si>
    <t>115,30</t>
  </si>
  <si>
    <t>Яковенко Владимир</t>
  </si>
  <si>
    <t>Мастера 60-69 (27.03.1959)/61</t>
  </si>
  <si>
    <t>112,00</t>
  </si>
  <si>
    <t xml:space="preserve">RUS/Можайск </t>
  </si>
  <si>
    <t xml:space="preserve">Савин К. </t>
  </si>
  <si>
    <t>Госман Дмитрий</t>
  </si>
  <si>
    <t>Открытая (22.05.1993)/27</t>
  </si>
  <si>
    <t>129,90</t>
  </si>
  <si>
    <t xml:space="preserve">UKR/Донецк </t>
  </si>
  <si>
    <t>107,9715</t>
  </si>
  <si>
    <t>103,6945</t>
  </si>
  <si>
    <t>74,0563</t>
  </si>
  <si>
    <t>92,0150</t>
  </si>
  <si>
    <t>91,6970</t>
  </si>
  <si>
    <t>88,1920</t>
  </si>
  <si>
    <t>136,8906</t>
  </si>
  <si>
    <t>126,0840</t>
  </si>
  <si>
    <t>118,9600</t>
  </si>
  <si>
    <t>154,2667</t>
  </si>
  <si>
    <t>139,4404</t>
  </si>
  <si>
    <t>136,4696</t>
  </si>
  <si>
    <t>Гамаев Александр</t>
  </si>
  <si>
    <t>Открытая (06.02.1983)/37</t>
  </si>
  <si>
    <t>104,50</t>
  </si>
  <si>
    <t>Некрасов Марат</t>
  </si>
  <si>
    <t>Открытая (14.08.1990)/29</t>
  </si>
  <si>
    <t>Кончаков Владимир</t>
  </si>
  <si>
    <t>Мастера 40-49 (25.05.1973)/47</t>
  </si>
  <si>
    <t>99,00</t>
  </si>
  <si>
    <t>Григорьев Денис</t>
  </si>
  <si>
    <t>Открытая (07.08.1982)/38</t>
  </si>
  <si>
    <t>107,30</t>
  </si>
  <si>
    <t>Иваненко Анна</t>
  </si>
  <si>
    <t>Открытая (03.01.1986)/34</t>
  </si>
  <si>
    <t>74,30</t>
  </si>
  <si>
    <t xml:space="preserve">Румянцев С. </t>
  </si>
  <si>
    <t>Килин Роман</t>
  </si>
  <si>
    <t>Открытая (02.06.1998)/22</t>
  </si>
  <si>
    <t>79,90</t>
  </si>
  <si>
    <t xml:space="preserve">RUS/Чайковский </t>
  </si>
  <si>
    <t xml:space="preserve">Смирнов Д. </t>
  </si>
  <si>
    <t>Левин Александр</t>
  </si>
  <si>
    <t>Открытая (07.04.1988)/32</t>
  </si>
  <si>
    <t>81,20</t>
  </si>
  <si>
    <t>Мамедов Эмин</t>
  </si>
  <si>
    <t>Открытая (31.08.1974)/45</t>
  </si>
  <si>
    <t>Мастера 40-49 (31.08.1974)/45</t>
  </si>
  <si>
    <t>Василенко Дмитрий</t>
  </si>
  <si>
    <t>Открытая (03.06.1975)/45</t>
  </si>
  <si>
    <t>114,20</t>
  </si>
  <si>
    <t xml:space="preserve">Хузин Р. </t>
  </si>
  <si>
    <t>Обрывченко Юрий</t>
  </si>
  <si>
    <t>Открытая (19.01.1987)/33</t>
  </si>
  <si>
    <t>118,20</t>
  </si>
  <si>
    <t>Щеславский Станислав</t>
  </si>
  <si>
    <t>Открытая (15.04.1981)/39</t>
  </si>
  <si>
    <t>98,05</t>
  </si>
  <si>
    <t>Пчелинцева Екатерина</t>
  </si>
  <si>
    <t>Открытая (31.07.1990)/30</t>
  </si>
  <si>
    <t>46,35</t>
  </si>
  <si>
    <t xml:space="preserve">RUS/Томилино </t>
  </si>
  <si>
    <t>Минаев Александр</t>
  </si>
  <si>
    <t>Открытая (01.08.1993)/27</t>
  </si>
  <si>
    <t>72,30</t>
  </si>
  <si>
    <t>Насонов Дмитрий</t>
  </si>
  <si>
    <t>Открытая (13.02.1992)/28</t>
  </si>
  <si>
    <t>82,50</t>
  </si>
  <si>
    <t xml:space="preserve">RUS/Лиски </t>
  </si>
  <si>
    <t xml:space="preserve">Нидилько И. </t>
  </si>
  <si>
    <t>Филатов Егор</t>
  </si>
  <si>
    <t>Открытая (22.04.1993)/27</t>
  </si>
  <si>
    <t>79,10</t>
  </si>
  <si>
    <t xml:space="preserve">RUS/Орехово-Зуево </t>
  </si>
  <si>
    <t>Кубликов Михаил</t>
  </si>
  <si>
    <t>Мастера 40-49 (12.08.1970)/49</t>
  </si>
  <si>
    <t xml:space="preserve">RUS/Ростов-на-Дону </t>
  </si>
  <si>
    <t xml:space="preserve">Першиков Р. </t>
  </si>
  <si>
    <t>Азизмамадов Константин</t>
  </si>
  <si>
    <t>Открытая (17.03.1985)/35</t>
  </si>
  <si>
    <t xml:space="preserve">RUS/Ржев </t>
  </si>
  <si>
    <t>312,5</t>
  </si>
  <si>
    <t>Дмитриев Иван</t>
  </si>
  <si>
    <t>Открытая (11.06.1970)/50</t>
  </si>
  <si>
    <t>87,40</t>
  </si>
  <si>
    <t>Бабин Владимир</t>
  </si>
  <si>
    <t>Открытая (09.08.1992)/28</t>
  </si>
  <si>
    <t>83,70</t>
  </si>
  <si>
    <t xml:space="preserve">RUS/Трёхгорный </t>
  </si>
  <si>
    <t>Мастера 50-59 (11.06.1970)/50</t>
  </si>
  <si>
    <t>Сизов Андрей</t>
  </si>
  <si>
    <t>Открытая (29.01.1968)/52</t>
  </si>
  <si>
    <t xml:space="preserve">RUS/Горячий Ключ </t>
  </si>
  <si>
    <t xml:space="preserve">Низамиди В. </t>
  </si>
  <si>
    <t>Кравченко Евгений</t>
  </si>
  <si>
    <t>Открытая (03.11.1986)/33</t>
  </si>
  <si>
    <t>97,90</t>
  </si>
  <si>
    <t>Шустров Алексей</t>
  </si>
  <si>
    <t>Мастера 40-49 (01.09.1976)/43</t>
  </si>
  <si>
    <t>Мастера 50-59 (29.01.1968)/52</t>
  </si>
  <si>
    <t>Лавин Павел</t>
  </si>
  <si>
    <t>Старов Дмитрий</t>
  </si>
  <si>
    <t>Мастера 40-49 (01.02.1973)/47</t>
  </si>
  <si>
    <t>Макеев Денис</t>
  </si>
  <si>
    <t>137,30</t>
  </si>
  <si>
    <t xml:space="preserve">RUS/Таганрог </t>
  </si>
  <si>
    <t xml:space="preserve">Курлов И. </t>
  </si>
  <si>
    <t>244,5135</t>
  </si>
  <si>
    <t>214,2350</t>
  </si>
  <si>
    <t>208,0880</t>
  </si>
  <si>
    <t>Голикова Ольга</t>
  </si>
  <si>
    <t>47,80</t>
  </si>
  <si>
    <t xml:space="preserve">RUS/Новомосковск </t>
  </si>
  <si>
    <t xml:space="preserve">Авраменко И. </t>
  </si>
  <si>
    <t>Петрова Милада</t>
  </si>
  <si>
    <t>Открытая (29.04.1986)/34</t>
  </si>
  <si>
    <t>Стамо Анна</t>
  </si>
  <si>
    <t>Открытая (10.04.1982)/38</t>
  </si>
  <si>
    <t>53,10</t>
  </si>
  <si>
    <t>Сердюченко Елена</t>
  </si>
  <si>
    <t>Мастера 40-49 (15.01.1972)/48</t>
  </si>
  <si>
    <t>62,80</t>
  </si>
  <si>
    <t xml:space="preserve">Петрокович Н. </t>
  </si>
  <si>
    <t>Закиев Руслан</t>
  </si>
  <si>
    <t>Юноши 17-19 (12.11.2002)/17</t>
  </si>
  <si>
    <t>66,20</t>
  </si>
  <si>
    <t>Коломыцев Михаил</t>
  </si>
  <si>
    <t>Открытая (21.06.1989)/31</t>
  </si>
  <si>
    <t>Котов Алексей</t>
  </si>
  <si>
    <t>Открытая (19.09.1987)/32</t>
  </si>
  <si>
    <t xml:space="preserve">RUS/Владивосток </t>
  </si>
  <si>
    <t>Комиссаров Вадим</t>
  </si>
  <si>
    <t>Юноши 14-16 (17.04.2006)/14</t>
  </si>
  <si>
    <t>78,40</t>
  </si>
  <si>
    <t xml:space="preserve">RUS/Клин </t>
  </si>
  <si>
    <t xml:space="preserve">Арсентьев И. </t>
  </si>
  <si>
    <t>Айсаев Мухтар</t>
  </si>
  <si>
    <t>Юниоры (21.01.1998)/22</t>
  </si>
  <si>
    <t>Оларь Василий</t>
  </si>
  <si>
    <t>Открытая (13.01.1994)/26</t>
  </si>
  <si>
    <t>78,90</t>
  </si>
  <si>
    <t>Щемелев Владимир</t>
  </si>
  <si>
    <t>Мастера 50-59 (02.04.1961)/59</t>
  </si>
  <si>
    <t>78,80</t>
  </si>
  <si>
    <t>222,5</t>
  </si>
  <si>
    <t>Юферов Павел</t>
  </si>
  <si>
    <t>Открытая (24.11.1984)/35</t>
  </si>
  <si>
    <t>Шкель Алексей</t>
  </si>
  <si>
    <t>Мастера 40-49 (07.09.1977)/42</t>
  </si>
  <si>
    <t>98,80</t>
  </si>
  <si>
    <t xml:space="preserve">Ермолаев Д. </t>
  </si>
  <si>
    <t>Кулагин Дмитрий</t>
  </si>
  <si>
    <t>Открытая (07.06.1989)/31</t>
  </si>
  <si>
    <t>102,30</t>
  </si>
  <si>
    <t>Бабин Евгений</t>
  </si>
  <si>
    <t>Мастера 40-49 (17.04.1971)/49</t>
  </si>
  <si>
    <t>117,30</t>
  </si>
  <si>
    <t xml:space="preserve">Петров С. </t>
  </si>
  <si>
    <t>Воробьёв Сергей</t>
  </si>
  <si>
    <t>Открытая (25.05.1974)/46</t>
  </si>
  <si>
    <t>Мастера 40-49 (25.05.1974)/46</t>
  </si>
  <si>
    <t>172,4195</t>
  </si>
  <si>
    <t>167,6000</t>
  </si>
  <si>
    <t>165,3120</t>
  </si>
  <si>
    <t>205,8128</t>
  </si>
  <si>
    <t>193,0675</t>
  </si>
  <si>
    <t>186,1110</t>
  </si>
  <si>
    <t>Soliman Eslam</t>
  </si>
  <si>
    <t>Открытая (11.02.1996)/24</t>
  </si>
  <si>
    <t>79,40</t>
  </si>
  <si>
    <t>121,00</t>
  </si>
  <si>
    <t>Хоботнев Владислав</t>
  </si>
  <si>
    <t>Открытая (22.05.1990)/30</t>
  </si>
  <si>
    <t>91,20</t>
  </si>
  <si>
    <t>106,0</t>
  </si>
  <si>
    <t>Лощинин Григорий</t>
  </si>
  <si>
    <t>Открытая (05.05.1991)/29</t>
  </si>
  <si>
    <t>54,90</t>
  </si>
  <si>
    <t xml:space="preserve">Силушин П. </t>
  </si>
  <si>
    <t>Петрокович Николай</t>
  </si>
  <si>
    <t>Мастера 40-49 (17.08.1979)/40</t>
  </si>
  <si>
    <t>84,60</t>
  </si>
  <si>
    <t>Подъем на бицепс</t>
  </si>
  <si>
    <t>ВЕСОВАЯ КАТЕГОРИЯ   90+</t>
  </si>
  <si>
    <t>Борисова Анастасия</t>
  </si>
  <si>
    <t>97,20</t>
  </si>
  <si>
    <t xml:space="preserve">RUS/Лобня </t>
  </si>
  <si>
    <t xml:space="preserve">Химченко А. </t>
  </si>
  <si>
    <t>Открытая (23.03.1998)/22</t>
  </si>
  <si>
    <t>59,60</t>
  </si>
  <si>
    <t>Олисаев Вадим</t>
  </si>
  <si>
    <t>64,90</t>
  </si>
  <si>
    <t xml:space="preserve">RUS/Владикавказ </t>
  </si>
  <si>
    <t xml:space="preserve">Сорокин В. </t>
  </si>
  <si>
    <t>Агхйурли Мухамед</t>
  </si>
  <si>
    <t>Болдуганов Максим</t>
  </si>
  <si>
    <t>Открытая (31.08.1990)/29</t>
  </si>
  <si>
    <t>71,20</t>
  </si>
  <si>
    <t>56,0</t>
  </si>
  <si>
    <t>Ходанов Иван</t>
  </si>
  <si>
    <t>Открытая (17.01.1990)/30</t>
  </si>
  <si>
    <t xml:space="preserve">Синюшин В. </t>
  </si>
  <si>
    <t>Сафаев Бахтияр</t>
  </si>
  <si>
    <t>Открытая (28.06.1987)/33</t>
  </si>
  <si>
    <t>73,00</t>
  </si>
  <si>
    <t>Дуров Сергей</t>
  </si>
  <si>
    <t>74,95</t>
  </si>
  <si>
    <t xml:space="preserve">Козлов А. </t>
  </si>
  <si>
    <t>69,60</t>
  </si>
  <si>
    <t>Сакович Олег</t>
  </si>
  <si>
    <t>Открытая (21.08.1992)/27</t>
  </si>
  <si>
    <t>80,75</t>
  </si>
  <si>
    <t>Бездольнов Олег</t>
  </si>
  <si>
    <t>75,80</t>
  </si>
  <si>
    <t xml:space="preserve">RUS/Боровск </t>
  </si>
  <si>
    <t xml:space="preserve">Поволоцкий Д. </t>
  </si>
  <si>
    <t>Волков Максим</t>
  </si>
  <si>
    <t>75,5</t>
  </si>
  <si>
    <t>88,15</t>
  </si>
  <si>
    <t>Мельяновский Александр</t>
  </si>
  <si>
    <t>90,30</t>
  </si>
  <si>
    <t>88,5</t>
  </si>
  <si>
    <t>Авдулов Евгений</t>
  </si>
  <si>
    <t>Открытая (04.11.1983)/36</t>
  </si>
  <si>
    <t xml:space="preserve">RUS/Суздаль </t>
  </si>
  <si>
    <t>56,2776</t>
  </si>
  <si>
    <t>58,8353</t>
  </si>
  <si>
    <t>54,9900</t>
  </si>
  <si>
    <t>50,9615</t>
  </si>
  <si>
    <t>47,3433</t>
  </si>
  <si>
    <t>47,2396</t>
  </si>
  <si>
    <t>RUS/Калуга</t>
  </si>
  <si>
    <t>8</t>
  </si>
  <si>
    <t>Юноши (06.12.2000)/19</t>
  </si>
  <si>
    <t xml:space="preserve">Cамостоятельно </t>
  </si>
  <si>
    <t>Весовая категория</t>
  </si>
  <si>
    <t>Прокопов М.</t>
  </si>
  <si>
    <t>Савинкин А.</t>
  </si>
  <si>
    <t>Открытый Чемпионат Европы
WRPF любители Пауэрлифтинг без экипировки ДК
Москва, 8-9 августа 2020 года</t>
  </si>
  <si>
    <t>Открытый Чемпионат Европы
WRPF любители Пауэрлифтинг без экипировки
Москва, 8-9 августа 2020 года</t>
  </si>
  <si>
    <t>Открытый Чемпионат Европы
WRPF любители Пауэрлифтинг классический в бинтах ДК
Москва, 8-9 августа 2020 года</t>
  </si>
  <si>
    <t>Открытый Чемпионат Европы
WRPF любители Пауэрлифтинг классический в бинтах
Москва, 8-9 августа 2020 года</t>
  </si>
  <si>
    <t>Открытый Чемпионат Европы
WRPF любители Жим лежа без экипировки ДК
Москва, 8-9 августа 2020 года</t>
  </si>
  <si>
    <t>Открытый Чемпионат Европы
WRPF любители Жим лежа без экипировки
Москва, 8-9 августа 2020 года</t>
  </si>
  <si>
    <t>Открытый Чемпионат Европы
WEPF любители Жим лежа в однослойной экипировке ДК
Москва, 8-9 августа 2020 года</t>
  </si>
  <si>
    <t>Открытый Чемпионат Европы
WEPF любители Жим лежа в однослойной экипировке
Москва, 8-9 августа 2020 года</t>
  </si>
  <si>
    <t>Открытый Чемпионат Европы
WEPF Жим лежа в однопетельной софт экипировке ДК
Москва, 8-9 августа 2020 года</t>
  </si>
  <si>
    <t>Открытый Чемпионат Европы
WEPF Жим лежа в однопетельной софт экипировке
Москва, 8-9 августа 2020 года</t>
  </si>
  <si>
    <t>Открытый Чемпионат Европы
WEPF Жим лежа в многопетельной софт экипировке ДК
Москва, 8-9 августа 2020 года</t>
  </si>
  <si>
    <t>Открытый Чемпионат Европы
WEPF Жим лежа в многопетельной софт экипировке
Москва, 8-9 августа 2020 года</t>
  </si>
  <si>
    <t>Открытый Чемпионат Европы
WRPF Жим лежа СФО
Москва, 8-9 августа 2020 года</t>
  </si>
  <si>
    <t>Открытый Чемпионат Европы
WRPF любители Становая тяга без экипировки ДК
Москва, 8-9 августа 2020 года</t>
  </si>
  <si>
    <t>Открытый Чемпионат Европы
WRPF любители Становая тяга без экипировки
Москва, 8-9 августа 2020 года</t>
  </si>
  <si>
    <t>Открытый Чемпионат Европы
WEPF любители Становая тяга в экипировке ДК
Москва, 8-9 августа 2020 года</t>
  </si>
  <si>
    <t>Открытый Чемпионат Европы
WRPF Строгий подъем штанги на бицепс
Москва, 8-9 августа 2020 года</t>
  </si>
  <si>
    <t>Луговой А.</t>
  </si>
  <si>
    <t>Крылов В.</t>
  </si>
  <si>
    <t>Самостоятельно</t>
  </si>
  <si>
    <t>Грикин И.</t>
  </si>
  <si>
    <t>Журавлева Е.</t>
  </si>
  <si>
    <t>Андреев Т.</t>
  </si>
  <si>
    <t>Юноши 17-19 (18.12.2000)/19</t>
  </si>
  <si>
    <t xml:space="preserve"> Cамостоятельно </t>
  </si>
  <si>
    <t>Жинкин В.</t>
  </si>
  <si>
    <t>Юниорки 20-23 (23.03.1998)/22</t>
  </si>
  <si>
    <t>Юноши 13-19 (08.12.2000)/19</t>
  </si>
  <si>
    <t>Юноши 13-19 (16.06.2002)/18</t>
  </si>
  <si>
    <t>Мастера 50-59 (25.02.1967)/53</t>
  </si>
  <si>
    <t>Юноши 13-19 (04.08.2001)/19</t>
  </si>
  <si>
    <t>Мастера 40-49 (08.09.1974)/45</t>
  </si>
  <si>
    <t>Мастера 50-59 (27.03.1964)/56</t>
  </si>
  <si>
    <t>Мастера 40-49 (17.10.1973)/46</t>
  </si>
  <si>
    <t>Мастера 40-49 (05.04.1978)/42</t>
  </si>
  <si>
    <t>Юниоры 20-23 (29.01.1997)/23</t>
  </si>
  <si>
    <t>Кравченко Е.</t>
  </si>
  <si>
    <t>Смирнов Д.</t>
  </si>
  <si>
    <t>Никулин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</si>
</sst>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9" fontId="0" fillId="0" borderId="20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85"/>
  <sheetViews>
    <sheetView tabSelected="1"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9.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5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8" width="5.5" style="2" customWidth="1"/>
    <col min="19" max="19" width="7.83203125" style="39" bestFit="1" customWidth="1"/>
    <col min="20" max="20" width="8.5" style="2" bestFit="1" customWidth="1"/>
    <col min="21" max="21" width="17" style="3" bestFit="1" customWidth="1"/>
    <col min="22" max="16384" width="9.1640625" style="3"/>
  </cols>
  <sheetData>
    <row r="1" spans="1:21" s="2" customFormat="1" ht="29" customHeight="1">
      <c r="A1" s="74" t="s">
        <v>1192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</row>
    <row r="2" spans="1:21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122</v>
      </c>
      <c r="H3" s="85"/>
      <c r="I3" s="85"/>
      <c r="J3" s="85"/>
      <c r="K3" s="85" t="s">
        <v>123</v>
      </c>
      <c r="L3" s="85"/>
      <c r="M3" s="85"/>
      <c r="N3" s="85"/>
      <c r="O3" s="85" t="s">
        <v>124</v>
      </c>
      <c r="P3" s="85"/>
      <c r="Q3" s="85"/>
      <c r="R3" s="85"/>
      <c r="S3" s="87" t="s">
        <v>1</v>
      </c>
      <c r="T3" s="85" t="s">
        <v>3</v>
      </c>
      <c r="U3" s="89" t="s">
        <v>2</v>
      </c>
    </row>
    <row r="4" spans="1:21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27">
        <v>1</v>
      </c>
      <c r="L4" s="27">
        <v>2</v>
      </c>
      <c r="M4" s="27">
        <v>3</v>
      </c>
      <c r="N4" s="27" t="s">
        <v>4</v>
      </c>
      <c r="O4" s="27">
        <v>1</v>
      </c>
      <c r="P4" s="27">
        <v>2</v>
      </c>
      <c r="Q4" s="27">
        <v>3</v>
      </c>
      <c r="R4" s="27" t="s">
        <v>4</v>
      </c>
      <c r="S4" s="88"/>
      <c r="T4" s="84"/>
      <c r="U4" s="90"/>
    </row>
    <row r="5" spans="1:21" ht="16">
      <c r="A5" s="86" t="s">
        <v>89</v>
      </c>
      <c r="B5" s="86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>
      <c r="A6" s="35" t="s">
        <v>39</v>
      </c>
      <c r="B6" s="18" t="s">
        <v>431</v>
      </c>
      <c r="C6" s="12" t="s">
        <v>432</v>
      </c>
      <c r="D6" s="12" t="s">
        <v>433</v>
      </c>
      <c r="E6" s="12" t="str">
        <f>"1,2578"</f>
        <v>1,2578</v>
      </c>
      <c r="F6" s="12" t="s">
        <v>76</v>
      </c>
      <c r="G6" s="21" t="s">
        <v>114</v>
      </c>
      <c r="H6" s="21" t="s">
        <v>94</v>
      </c>
      <c r="I6" s="21" t="s">
        <v>96</v>
      </c>
      <c r="J6" s="15"/>
      <c r="K6" s="21" t="s">
        <v>270</v>
      </c>
      <c r="L6" s="23" t="s">
        <v>98</v>
      </c>
      <c r="M6" s="23" t="s">
        <v>98</v>
      </c>
      <c r="N6" s="15"/>
      <c r="O6" s="21" t="s">
        <v>96</v>
      </c>
      <c r="P6" s="21" t="s">
        <v>52</v>
      </c>
      <c r="Q6" s="21" t="s">
        <v>119</v>
      </c>
      <c r="R6" s="15"/>
      <c r="S6" s="40" t="str">
        <f>"237,5"</f>
        <v>237,5</v>
      </c>
      <c r="T6" s="15" t="str">
        <f>"298,7275"</f>
        <v>298,7275</v>
      </c>
      <c r="U6" s="12" t="s">
        <v>434</v>
      </c>
    </row>
    <row r="7" spans="1:21">
      <c r="A7" s="36" t="s">
        <v>39</v>
      </c>
      <c r="B7" s="19" t="s">
        <v>435</v>
      </c>
      <c r="C7" s="13" t="s">
        <v>436</v>
      </c>
      <c r="D7" s="13" t="s">
        <v>437</v>
      </c>
      <c r="E7" s="13" t="str">
        <f>"1,2504"</f>
        <v>1,2504</v>
      </c>
      <c r="F7" s="13" t="s">
        <v>438</v>
      </c>
      <c r="G7" s="24" t="s">
        <v>344</v>
      </c>
      <c r="H7" s="25" t="s">
        <v>96</v>
      </c>
      <c r="I7" s="24" t="s">
        <v>51</v>
      </c>
      <c r="J7" s="16"/>
      <c r="K7" s="24" t="s">
        <v>25</v>
      </c>
      <c r="L7" s="24" t="s">
        <v>268</v>
      </c>
      <c r="M7" s="25" t="s">
        <v>269</v>
      </c>
      <c r="N7" s="16"/>
      <c r="O7" s="24" t="s">
        <v>278</v>
      </c>
      <c r="P7" s="24" t="s">
        <v>179</v>
      </c>
      <c r="Q7" s="24" t="s">
        <v>294</v>
      </c>
      <c r="R7" s="16"/>
      <c r="S7" s="41" t="str">
        <f>"260,0"</f>
        <v>260,0</v>
      </c>
      <c r="T7" s="16" t="str">
        <f>"325,1040"</f>
        <v>325,1040</v>
      </c>
      <c r="U7" s="13" t="s">
        <v>439</v>
      </c>
    </row>
    <row r="8" spans="1:21">
      <c r="A8" s="36" t="s">
        <v>117</v>
      </c>
      <c r="B8" s="19" t="s">
        <v>431</v>
      </c>
      <c r="C8" s="13" t="s">
        <v>440</v>
      </c>
      <c r="D8" s="13" t="s">
        <v>433</v>
      </c>
      <c r="E8" s="13" t="str">
        <f>"1,2578"</f>
        <v>1,2578</v>
      </c>
      <c r="F8" s="13" t="s">
        <v>76</v>
      </c>
      <c r="G8" s="24" t="s">
        <v>114</v>
      </c>
      <c r="H8" s="24" t="s">
        <v>94</v>
      </c>
      <c r="I8" s="24" t="s">
        <v>96</v>
      </c>
      <c r="J8" s="16"/>
      <c r="K8" s="24" t="s">
        <v>270</v>
      </c>
      <c r="L8" s="25" t="s">
        <v>98</v>
      </c>
      <c r="M8" s="25" t="s">
        <v>98</v>
      </c>
      <c r="N8" s="16"/>
      <c r="O8" s="24" t="s">
        <v>96</v>
      </c>
      <c r="P8" s="24" t="s">
        <v>52</v>
      </c>
      <c r="Q8" s="24" t="s">
        <v>119</v>
      </c>
      <c r="R8" s="16"/>
      <c r="S8" s="41" t="str">
        <f>"237,5"</f>
        <v>237,5</v>
      </c>
      <c r="T8" s="16" t="str">
        <f>"298,7275"</f>
        <v>298,7275</v>
      </c>
      <c r="U8" s="13" t="s">
        <v>434</v>
      </c>
    </row>
    <row r="9" spans="1:21">
      <c r="A9" s="37" t="s">
        <v>263</v>
      </c>
      <c r="B9" s="20" t="s">
        <v>441</v>
      </c>
      <c r="C9" s="14" t="s">
        <v>442</v>
      </c>
      <c r="D9" s="14" t="s">
        <v>443</v>
      </c>
      <c r="E9" s="14" t="str">
        <f>"1,2769"</f>
        <v>1,2769</v>
      </c>
      <c r="F9" s="14" t="s">
        <v>43</v>
      </c>
      <c r="G9" s="22" t="s">
        <v>18</v>
      </c>
      <c r="H9" s="22" t="s">
        <v>19</v>
      </c>
      <c r="I9" s="26" t="s">
        <v>344</v>
      </c>
      <c r="J9" s="17"/>
      <c r="K9" s="22" t="s">
        <v>25</v>
      </c>
      <c r="L9" s="22" t="s">
        <v>269</v>
      </c>
      <c r="M9" s="26" t="s">
        <v>270</v>
      </c>
      <c r="N9" s="17"/>
      <c r="O9" s="22" t="s">
        <v>344</v>
      </c>
      <c r="P9" s="22" t="s">
        <v>51</v>
      </c>
      <c r="Q9" s="22" t="s">
        <v>119</v>
      </c>
      <c r="R9" s="17"/>
      <c r="S9" s="42" t="str">
        <f>"225,0"</f>
        <v>225,0</v>
      </c>
      <c r="T9" s="17" t="str">
        <f>"287,3025"</f>
        <v>287,3025</v>
      </c>
      <c r="U9" s="14" t="s">
        <v>444</v>
      </c>
    </row>
    <row r="10" spans="1:21">
      <c r="B10" s="6" t="s">
        <v>40</v>
      </c>
    </row>
    <row r="11" spans="1:21" ht="16">
      <c r="A11" s="86" t="s">
        <v>272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21">
      <c r="A12" s="35" t="s">
        <v>39</v>
      </c>
      <c r="B12" s="18" t="s">
        <v>445</v>
      </c>
      <c r="C12" s="12" t="s">
        <v>446</v>
      </c>
      <c r="D12" s="12" t="s">
        <v>447</v>
      </c>
      <c r="E12" s="12" t="str">
        <f>"1,1900"</f>
        <v>1,1900</v>
      </c>
      <c r="F12" s="12" t="s">
        <v>448</v>
      </c>
      <c r="G12" s="21" t="s">
        <v>277</v>
      </c>
      <c r="H12" s="21" t="s">
        <v>278</v>
      </c>
      <c r="I12" s="23" t="s">
        <v>179</v>
      </c>
      <c r="J12" s="15"/>
      <c r="K12" s="21" t="s">
        <v>60</v>
      </c>
      <c r="L12" s="21" t="s">
        <v>449</v>
      </c>
      <c r="M12" s="21" t="s">
        <v>17</v>
      </c>
      <c r="N12" s="15"/>
      <c r="O12" s="21" t="s">
        <v>180</v>
      </c>
      <c r="P12" s="21" t="s">
        <v>143</v>
      </c>
      <c r="Q12" s="23" t="s">
        <v>301</v>
      </c>
      <c r="R12" s="15"/>
      <c r="S12" s="40" t="str">
        <f>"330,0"</f>
        <v>330,0</v>
      </c>
      <c r="T12" s="15" t="str">
        <f>"392,7000"</f>
        <v>392,7000</v>
      </c>
      <c r="U12" s="12" t="s">
        <v>1188</v>
      </c>
    </row>
    <row r="13" spans="1:21">
      <c r="A13" s="36" t="s">
        <v>117</v>
      </c>
      <c r="B13" s="19" t="s">
        <v>450</v>
      </c>
      <c r="C13" s="13" t="s">
        <v>451</v>
      </c>
      <c r="D13" s="13" t="s">
        <v>452</v>
      </c>
      <c r="E13" s="13" t="str">
        <f>"1,2230"</f>
        <v>1,2230</v>
      </c>
      <c r="F13" s="13" t="s">
        <v>43</v>
      </c>
      <c r="G13" s="24" t="s">
        <v>113</v>
      </c>
      <c r="H13" s="25" t="s">
        <v>114</v>
      </c>
      <c r="I13" s="24" t="s">
        <v>114</v>
      </c>
      <c r="J13" s="16"/>
      <c r="K13" s="24" t="s">
        <v>98</v>
      </c>
      <c r="L13" s="25" t="s">
        <v>453</v>
      </c>
      <c r="M13" s="25" t="s">
        <v>453</v>
      </c>
      <c r="N13" s="16"/>
      <c r="O13" s="24" t="s">
        <v>344</v>
      </c>
      <c r="P13" s="24" t="s">
        <v>96</v>
      </c>
      <c r="Q13" s="25" t="s">
        <v>52</v>
      </c>
      <c r="R13" s="16"/>
      <c r="S13" s="41" t="str">
        <f>"222,5"</f>
        <v>222,5</v>
      </c>
      <c r="T13" s="16" t="str">
        <f>"272,1175"</f>
        <v>272,1175</v>
      </c>
      <c r="U13" s="13" t="s">
        <v>252</v>
      </c>
    </row>
    <row r="14" spans="1:21">
      <c r="A14" s="37" t="s">
        <v>263</v>
      </c>
      <c r="B14" s="20" t="s">
        <v>454</v>
      </c>
      <c r="C14" s="14" t="s">
        <v>455</v>
      </c>
      <c r="D14" s="14" t="s">
        <v>456</v>
      </c>
      <c r="E14" s="14" t="str">
        <f>"1,1883"</f>
        <v>1,1883</v>
      </c>
      <c r="F14" s="14" t="s">
        <v>457</v>
      </c>
      <c r="G14" s="22" t="s">
        <v>269</v>
      </c>
      <c r="H14" s="22" t="s">
        <v>98</v>
      </c>
      <c r="I14" s="22" t="s">
        <v>26</v>
      </c>
      <c r="J14" s="17"/>
      <c r="K14" s="22" t="s">
        <v>25</v>
      </c>
      <c r="L14" s="22" t="s">
        <v>268</v>
      </c>
      <c r="M14" s="26" t="s">
        <v>269</v>
      </c>
      <c r="N14" s="17"/>
      <c r="O14" s="22" t="s">
        <v>18</v>
      </c>
      <c r="P14" s="22" t="s">
        <v>19</v>
      </c>
      <c r="Q14" s="22" t="s">
        <v>344</v>
      </c>
      <c r="R14" s="17"/>
      <c r="S14" s="42" t="str">
        <f>"182,5"</f>
        <v>182,5</v>
      </c>
      <c r="T14" s="17" t="str">
        <f>"216,8648"</f>
        <v>216,8648</v>
      </c>
      <c r="U14" s="14" t="s">
        <v>303</v>
      </c>
    </row>
    <row r="15" spans="1:21">
      <c r="B15" s="6" t="s">
        <v>40</v>
      </c>
    </row>
    <row r="16" spans="1:21" ht="16">
      <c r="A16" s="86" t="s">
        <v>458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21">
      <c r="A17" s="35" t="s">
        <v>39</v>
      </c>
      <c r="B17" s="18" t="s">
        <v>459</v>
      </c>
      <c r="C17" s="12" t="s">
        <v>460</v>
      </c>
      <c r="D17" s="12" t="s">
        <v>461</v>
      </c>
      <c r="E17" s="12" t="str">
        <f>"1,0283"</f>
        <v>1,0283</v>
      </c>
      <c r="F17" s="12" t="s">
        <v>43</v>
      </c>
      <c r="G17" s="23" t="s">
        <v>179</v>
      </c>
      <c r="H17" s="21" t="s">
        <v>294</v>
      </c>
      <c r="I17" s="21" t="s">
        <v>61</v>
      </c>
      <c r="J17" s="15"/>
      <c r="K17" s="21" t="s">
        <v>119</v>
      </c>
      <c r="L17" s="21" t="s">
        <v>116</v>
      </c>
      <c r="M17" s="23" t="s">
        <v>277</v>
      </c>
      <c r="N17" s="15"/>
      <c r="O17" s="21" t="s">
        <v>61</v>
      </c>
      <c r="P17" s="21" t="s">
        <v>106</v>
      </c>
      <c r="Q17" s="21" t="s">
        <v>63</v>
      </c>
      <c r="R17" s="15"/>
      <c r="S17" s="40" t="str">
        <f>"385,0"</f>
        <v>385,0</v>
      </c>
      <c r="T17" s="15" t="str">
        <f>"395,8955"</f>
        <v>395,8955</v>
      </c>
      <c r="U17" s="12" t="s">
        <v>1190</v>
      </c>
    </row>
    <row r="18" spans="1:21">
      <c r="A18" s="36" t="s">
        <v>117</v>
      </c>
      <c r="B18" s="19" t="s">
        <v>462</v>
      </c>
      <c r="C18" s="13" t="s">
        <v>463</v>
      </c>
      <c r="D18" s="13" t="s">
        <v>464</v>
      </c>
      <c r="E18" s="13" t="str">
        <f>"1,0306"</f>
        <v>1,0306</v>
      </c>
      <c r="F18" s="13" t="s">
        <v>43</v>
      </c>
      <c r="G18" s="24" t="s">
        <v>294</v>
      </c>
      <c r="H18" s="24" t="s">
        <v>142</v>
      </c>
      <c r="I18" s="16"/>
      <c r="J18" s="16"/>
      <c r="K18" s="24" t="s">
        <v>58</v>
      </c>
      <c r="L18" s="24" t="s">
        <v>60</v>
      </c>
      <c r="M18" s="16"/>
      <c r="N18" s="16"/>
      <c r="O18" s="24" t="s">
        <v>179</v>
      </c>
      <c r="P18" s="24" t="s">
        <v>315</v>
      </c>
      <c r="Q18" s="25" t="s">
        <v>180</v>
      </c>
      <c r="R18" s="16"/>
      <c r="S18" s="41" t="str">
        <f>"325,0"</f>
        <v>325,0</v>
      </c>
      <c r="T18" s="16" t="str">
        <f>"334,9450"</f>
        <v>334,9450</v>
      </c>
      <c r="U18" s="13" t="s">
        <v>1188</v>
      </c>
    </row>
    <row r="19" spans="1:21">
      <c r="A19" s="36" t="s">
        <v>45</v>
      </c>
      <c r="B19" s="19" t="s">
        <v>465</v>
      </c>
      <c r="C19" s="13" t="s">
        <v>466</v>
      </c>
      <c r="D19" s="13" t="s">
        <v>467</v>
      </c>
      <c r="E19" s="13" t="str">
        <f>"1,0871"</f>
        <v>1,0871</v>
      </c>
      <c r="F19" s="13" t="s">
        <v>468</v>
      </c>
      <c r="G19" s="25" t="s">
        <v>277</v>
      </c>
      <c r="H19" s="24" t="s">
        <v>277</v>
      </c>
      <c r="I19" s="25" t="s">
        <v>278</v>
      </c>
      <c r="J19" s="16"/>
      <c r="K19" s="24" t="s">
        <v>58</v>
      </c>
      <c r="L19" s="24" t="s">
        <v>60</v>
      </c>
      <c r="M19" s="24" t="s">
        <v>17</v>
      </c>
      <c r="N19" s="16"/>
      <c r="O19" s="25" t="s">
        <v>63</v>
      </c>
      <c r="P19" s="25" t="s">
        <v>63</v>
      </c>
      <c r="Q19" s="25" t="s">
        <v>63</v>
      </c>
      <c r="R19" s="16"/>
      <c r="S19" s="41">
        <v>0</v>
      </c>
      <c r="T19" s="16" t="str">
        <f>"0,0000"</f>
        <v>0,0000</v>
      </c>
      <c r="U19" s="13" t="s">
        <v>469</v>
      </c>
    </row>
    <row r="20" spans="1:21">
      <c r="A20" s="37" t="s">
        <v>45</v>
      </c>
      <c r="B20" s="20" t="s">
        <v>470</v>
      </c>
      <c r="C20" s="14" t="s">
        <v>471</v>
      </c>
      <c r="D20" s="14" t="s">
        <v>472</v>
      </c>
      <c r="E20" s="14" t="str">
        <f>"1,0491"</f>
        <v>1,0491</v>
      </c>
      <c r="F20" s="14" t="s">
        <v>410</v>
      </c>
      <c r="G20" s="22" t="s">
        <v>278</v>
      </c>
      <c r="H20" s="22" t="s">
        <v>179</v>
      </c>
      <c r="I20" s="26" t="s">
        <v>294</v>
      </c>
      <c r="J20" s="17"/>
      <c r="K20" s="26" t="s">
        <v>60</v>
      </c>
      <c r="L20" s="26" t="s">
        <v>60</v>
      </c>
      <c r="M20" s="26" t="s">
        <v>60</v>
      </c>
      <c r="N20" s="17"/>
      <c r="O20" s="26"/>
      <c r="P20" s="17"/>
      <c r="Q20" s="17"/>
      <c r="R20" s="17"/>
      <c r="S20" s="42">
        <v>0</v>
      </c>
      <c r="T20" s="17" t="str">
        <f>"0,0000"</f>
        <v>0,0000</v>
      </c>
      <c r="U20" s="14" t="s">
        <v>1188</v>
      </c>
    </row>
    <row r="21" spans="1:21">
      <c r="B21" s="6" t="s">
        <v>40</v>
      </c>
    </row>
    <row r="22" spans="1:21" ht="16">
      <c r="A22" s="86" t="s">
        <v>8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1:21">
      <c r="A23" s="35" t="s">
        <v>39</v>
      </c>
      <c r="B23" s="18" t="s">
        <v>473</v>
      </c>
      <c r="C23" s="12" t="s">
        <v>474</v>
      </c>
      <c r="D23" s="12" t="s">
        <v>475</v>
      </c>
      <c r="E23" s="12" t="str">
        <f>"0,9522"</f>
        <v>0,9522</v>
      </c>
      <c r="F23" s="12" t="s">
        <v>476</v>
      </c>
      <c r="G23" s="21" t="s">
        <v>179</v>
      </c>
      <c r="H23" s="21" t="s">
        <v>61</v>
      </c>
      <c r="I23" s="21" t="s">
        <v>180</v>
      </c>
      <c r="J23" s="15"/>
      <c r="K23" s="21" t="s">
        <v>26</v>
      </c>
      <c r="L23" s="21" t="s">
        <v>58</v>
      </c>
      <c r="M23" s="23" t="s">
        <v>60</v>
      </c>
      <c r="N23" s="15"/>
      <c r="O23" s="21" t="s">
        <v>106</v>
      </c>
      <c r="P23" s="23" t="s">
        <v>322</v>
      </c>
      <c r="Q23" s="21" t="s">
        <v>322</v>
      </c>
      <c r="R23" s="15"/>
      <c r="S23" s="40" t="str">
        <f>"342,5"</f>
        <v>342,5</v>
      </c>
      <c r="T23" s="15" t="str">
        <f>"326,1285"</f>
        <v>326,1285</v>
      </c>
      <c r="U23" s="12" t="s">
        <v>477</v>
      </c>
    </row>
    <row r="24" spans="1:21">
      <c r="A24" s="36" t="s">
        <v>117</v>
      </c>
      <c r="B24" s="19" t="s">
        <v>478</v>
      </c>
      <c r="C24" s="13" t="s">
        <v>479</v>
      </c>
      <c r="D24" s="13" t="s">
        <v>281</v>
      </c>
      <c r="E24" s="13" t="str">
        <f>"0,9760"</f>
        <v>0,9760</v>
      </c>
      <c r="F24" s="13" t="s">
        <v>97</v>
      </c>
      <c r="G24" s="24" t="s">
        <v>278</v>
      </c>
      <c r="H24" s="24" t="s">
        <v>294</v>
      </c>
      <c r="I24" s="24" t="s">
        <v>61</v>
      </c>
      <c r="J24" s="16"/>
      <c r="K24" s="24" t="s">
        <v>480</v>
      </c>
      <c r="L24" s="25" t="s">
        <v>481</v>
      </c>
      <c r="M24" s="25" t="s">
        <v>481</v>
      </c>
      <c r="N24" s="16"/>
      <c r="O24" s="24" t="s">
        <v>61</v>
      </c>
      <c r="P24" s="25" t="s">
        <v>180</v>
      </c>
      <c r="Q24" s="25" t="s">
        <v>180</v>
      </c>
      <c r="R24" s="16"/>
      <c r="S24" s="41" t="str">
        <f>"317,5"</f>
        <v>317,5</v>
      </c>
      <c r="T24" s="16" t="str">
        <f>"309,8800"</f>
        <v>309,8800</v>
      </c>
      <c r="U24" s="13" t="s">
        <v>345</v>
      </c>
    </row>
    <row r="25" spans="1:21">
      <c r="A25" s="37" t="s">
        <v>263</v>
      </c>
      <c r="B25" s="20" t="s">
        <v>482</v>
      </c>
      <c r="C25" s="14" t="s">
        <v>483</v>
      </c>
      <c r="D25" s="14" t="s">
        <v>484</v>
      </c>
      <c r="E25" s="14" t="str">
        <f>"0,9843"</f>
        <v>0,9843</v>
      </c>
      <c r="F25" s="14" t="s">
        <v>43</v>
      </c>
      <c r="G25" s="26" t="s">
        <v>480</v>
      </c>
      <c r="H25" s="22" t="s">
        <v>58</v>
      </c>
      <c r="I25" s="22" t="s">
        <v>481</v>
      </c>
      <c r="J25" s="17"/>
      <c r="K25" s="26" t="s">
        <v>485</v>
      </c>
      <c r="L25" s="26" t="s">
        <v>25</v>
      </c>
      <c r="M25" s="22" t="s">
        <v>25</v>
      </c>
      <c r="N25" s="17"/>
      <c r="O25" s="22" t="s">
        <v>481</v>
      </c>
      <c r="P25" s="22" t="s">
        <v>449</v>
      </c>
      <c r="Q25" s="22" t="s">
        <v>59</v>
      </c>
      <c r="R25" s="17"/>
      <c r="S25" s="42" t="str">
        <f>"175,0"</f>
        <v>175,0</v>
      </c>
      <c r="T25" s="17" t="str">
        <f>"172,2525"</f>
        <v>172,2525</v>
      </c>
      <c r="U25" s="14" t="s">
        <v>1188</v>
      </c>
    </row>
    <row r="26" spans="1:21">
      <c r="B26" s="6" t="s">
        <v>40</v>
      </c>
    </row>
    <row r="27" spans="1:21" ht="16">
      <c r="A27" s="86" t="s">
        <v>458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21">
      <c r="A28" s="35" t="s">
        <v>39</v>
      </c>
      <c r="B28" s="18" t="s">
        <v>486</v>
      </c>
      <c r="C28" s="12" t="s">
        <v>487</v>
      </c>
      <c r="D28" s="12" t="s">
        <v>488</v>
      </c>
      <c r="E28" s="12" t="str">
        <f>"0,7738"</f>
        <v>0,7738</v>
      </c>
      <c r="F28" s="12" t="s">
        <v>489</v>
      </c>
      <c r="G28" s="21" t="s">
        <v>180</v>
      </c>
      <c r="H28" s="21" t="s">
        <v>63</v>
      </c>
      <c r="I28" s="21" t="s">
        <v>107</v>
      </c>
      <c r="J28" s="15"/>
      <c r="K28" s="23" t="s">
        <v>119</v>
      </c>
      <c r="L28" s="21" t="s">
        <v>277</v>
      </c>
      <c r="M28" s="23" t="s">
        <v>314</v>
      </c>
      <c r="N28" s="15"/>
      <c r="O28" s="23" t="s">
        <v>163</v>
      </c>
      <c r="P28" s="21" t="s">
        <v>145</v>
      </c>
      <c r="Q28" s="21" t="s">
        <v>171</v>
      </c>
      <c r="R28" s="23" t="s">
        <v>133</v>
      </c>
      <c r="S28" s="40" t="str">
        <f>"495,0"</f>
        <v>495,0</v>
      </c>
      <c r="T28" s="15" t="str">
        <f>"383,0310"</f>
        <v>383,0310</v>
      </c>
      <c r="U28" s="12" t="s">
        <v>1188</v>
      </c>
    </row>
    <row r="29" spans="1:21">
      <c r="A29" s="37" t="s">
        <v>117</v>
      </c>
      <c r="B29" s="20" t="s">
        <v>490</v>
      </c>
      <c r="C29" s="14" t="s">
        <v>491</v>
      </c>
      <c r="D29" s="14" t="s">
        <v>492</v>
      </c>
      <c r="E29" s="14" t="str">
        <f>"0,7911"</f>
        <v>0,7911</v>
      </c>
      <c r="F29" s="14" t="s">
        <v>493</v>
      </c>
      <c r="G29" s="22" t="s">
        <v>143</v>
      </c>
      <c r="H29" s="26" t="s">
        <v>107</v>
      </c>
      <c r="I29" s="22" t="s">
        <v>107</v>
      </c>
      <c r="J29" s="17"/>
      <c r="K29" s="22" t="s">
        <v>52</v>
      </c>
      <c r="L29" s="26" t="s">
        <v>119</v>
      </c>
      <c r="M29" s="22" t="s">
        <v>119</v>
      </c>
      <c r="N29" s="17"/>
      <c r="O29" s="26" t="s">
        <v>132</v>
      </c>
      <c r="P29" s="22" t="s">
        <v>132</v>
      </c>
      <c r="Q29" s="22" t="s">
        <v>144</v>
      </c>
      <c r="R29" s="17"/>
      <c r="S29" s="42" t="str">
        <f>"455,0"</f>
        <v>455,0</v>
      </c>
      <c r="T29" s="17" t="str">
        <f>"359,9505"</f>
        <v>359,9505</v>
      </c>
      <c r="U29" s="14" t="s">
        <v>1188</v>
      </c>
    </row>
    <row r="30" spans="1:21">
      <c r="B30" s="6" t="s">
        <v>40</v>
      </c>
    </row>
    <row r="31" spans="1:21" ht="16">
      <c r="A31" s="86" t="s">
        <v>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21">
      <c r="A32" s="35" t="s">
        <v>39</v>
      </c>
      <c r="B32" s="18" t="s">
        <v>494</v>
      </c>
      <c r="C32" s="12" t="s">
        <v>495</v>
      </c>
      <c r="D32" s="12" t="s">
        <v>496</v>
      </c>
      <c r="E32" s="12" t="str">
        <f>"0,7278"</f>
        <v>0,7278</v>
      </c>
      <c r="F32" s="12" t="s">
        <v>43</v>
      </c>
      <c r="G32" s="21" t="s">
        <v>277</v>
      </c>
      <c r="H32" s="21" t="s">
        <v>179</v>
      </c>
      <c r="I32" s="21" t="s">
        <v>61</v>
      </c>
      <c r="J32" s="15"/>
      <c r="K32" s="21" t="s">
        <v>481</v>
      </c>
      <c r="L32" s="21" t="s">
        <v>17</v>
      </c>
      <c r="M32" s="23" t="s">
        <v>18</v>
      </c>
      <c r="N32" s="15"/>
      <c r="O32" s="21" t="s">
        <v>277</v>
      </c>
      <c r="P32" s="21" t="s">
        <v>179</v>
      </c>
      <c r="Q32" s="21" t="s">
        <v>61</v>
      </c>
      <c r="R32" s="15"/>
      <c r="S32" s="40" t="str">
        <f>"330,0"</f>
        <v>330,0</v>
      </c>
      <c r="T32" s="15" t="str">
        <f>"240,1740"</f>
        <v>240,1740</v>
      </c>
      <c r="U32" s="12" t="s">
        <v>497</v>
      </c>
    </row>
    <row r="33" spans="1:21">
      <c r="A33" s="36" t="s">
        <v>39</v>
      </c>
      <c r="B33" s="19" t="s">
        <v>498</v>
      </c>
      <c r="C33" s="13" t="s">
        <v>499</v>
      </c>
      <c r="D33" s="13" t="s">
        <v>500</v>
      </c>
      <c r="E33" s="13" t="str">
        <f>"0,7235"</f>
        <v>0,7235</v>
      </c>
      <c r="F33" s="13" t="s">
        <v>368</v>
      </c>
      <c r="G33" s="24" t="s">
        <v>336</v>
      </c>
      <c r="H33" s="24" t="s">
        <v>131</v>
      </c>
      <c r="I33" s="24" t="s">
        <v>283</v>
      </c>
      <c r="J33" s="16"/>
      <c r="K33" s="24" t="s">
        <v>106</v>
      </c>
      <c r="L33" s="25" t="s">
        <v>143</v>
      </c>
      <c r="M33" s="25" t="s">
        <v>143</v>
      </c>
      <c r="N33" s="16"/>
      <c r="O33" s="24" t="s">
        <v>163</v>
      </c>
      <c r="P33" s="24" t="s">
        <v>308</v>
      </c>
      <c r="Q33" s="24" t="s">
        <v>316</v>
      </c>
      <c r="R33" s="16"/>
      <c r="S33" s="41" t="str">
        <f>"557,5"</f>
        <v>557,5</v>
      </c>
      <c r="T33" s="16" t="str">
        <f>"403,3513"</f>
        <v>403,3513</v>
      </c>
      <c r="U33" s="13" t="s">
        <v>501</v>
      </c>
    </row>
    <row r="34" spans="1:21">
      <c r="A34" s="36" t="s">
        <v>117</v>
      </c>
      <c r="B34" s="19" t="s">
        <v>502</v>
      </c>
      <c r="C34" s="13" t="s">
        <v>503</v>
      </c>
      <c r="D34" s="13" t="s">
        <v>500</v>
      </c>
      <c r="E34" s="13" t="str">
        <f>"0,7235"</f>
        <v>0,7235</v>
      </c>
      <c r="F34" s="13" t="s">
        <v>504</v>
      </c>
      <c r="G34" s="24" t="s">
        <v>205</v>
      </c>
      <c r="H34" s="24" t="s">
        <v>336</v>
      </c>
      <c r="I34" s="24" t="s">
        <v>505</v>
      </c>
      <c r="J34" s="16"/>
      <c r="K34" s="25" t="s">
        <v>119</v>
      </c>
      <c r="L34" s="25" t="s">
        <v>116</v>
      </c>
      <c r="M34" s="24" t="s">
        <v>116</v>
      </c>
      <c r="N34" s="16"/>
      <c r="O34" s="24" t="s">
        <v>132</v>
      </c>
      <c r="P34" s="24" t="s">
        <v>144</v>
      </c>
      <c r="Q34" s="24" t="s">
        <v>506</v>
      </c>
      <c r="R34" s="16"/>
      <c r="S34" s="41" t="str">
        <f>"500,0"</f>
        <v>500,0</v>
      </c>
      <c r="T34" s="16" t="str">
        <f>"361,7500"</f>
        <v>361,7500</v>
      </c>
      <c r="U34" s="13" t="s">
        <v>507</v>
      </c>
    </row>
    <row r="35" spans="1:21">
      <c r="A35" s="36" t="s">
        <v>39</v>
      </c>
      <c r="B35" s="19" t="s">
        <v>508</v>
      </c>
      <c r="C35" s="13" t="s">
        <v>509</v>
      </c>
      <c r="D35" s="13" t="s">
        <v>510</v>
      </c>
      <c r="E35" s="13" t="str">
        <f>"0,7166"</f>
        <v>0,7166</v>
      </c>
      <c r="F35" s="13" t="s">
        <v>343</v>
      </c>
      <c r="G35" s="24" t="s">
        <v>179</v>
      </c>
      <c r="H35" s="24" t="s">
        <v>61</v>
      </c>
      <c r="I35" s="24" t="s">
        <v>180</v>
      </c>
      <c r="J35" s="16"/>
      <c r="K35" s="24" t="s">
        <v>276</v>
      </c>
      <c r="L35" s="25" t="s">
        <v>55</v>
      </c>
      <c r="M35" s="25" t="s">
        <v>55</v>
      </c>
      <c r="N35" s="16"/>
      <c r="O35" s="24" t="s">
        <v>152</v>
      </c>
      <c r="P35" s="24" t="s">
        <v>131</v>
      </c>
      <c r="Q35" s="24" t="s">
        <v>283</v>
      </c>
      <c r="R35" s="16"/>
      <c r="S35" s="41" t="str">
        <f>"417,5"</f>
        <v>417,5</v>
      </c>
      <c r="T35" s="16" t="str">
        <f>"299,1805"</f>
        <v>299,1805</v>
      </c>
      <c r="U35" s="13" t="s">
        <v>345</v>
      </c>
    </row>
    <row r="36" spans="1:21">
      <c r="A36" s="37" t="s">
        <v>39</v>
      </c>
      <c r="B36" s="20" t="s">
        <v>9</v>
      </c>
      <c r="C36" s="14" t="s">
        <v>359</v>
      </c>
      <c r="D36" s="14" t="s">
        <v>11</v>
      </c>
      <c r="E36" s="14" t="str">
        <f>"0,7578"</f>
        <v>0,7578</v>
      </c>
      <c r="F36" s="14" t="s">
        <v>12</v>
      </c>
      <c r="G36" s="22" t="s">
        <v>278</v>
      </c>
      <c r="H36" s="22" t="s">
        <v>179</v>
      </c>
      <c r="I36" s="22" t="s">
        <v>360</v>
      </c>
      <c r="J36" s="17"/>
      <c r="K36" s="26" t="s">
        <v>19</v>
      </c>
      <c r="L36" s="22" t="s">
        <v>19</v>
      </c>
      <c r="M36" s="26" t="s">
        <v>361</v>
      </c>
      <c r="N36" s="17"/>
      <c r="O36" s="22" t="s">
        <v>107</v>
      </c>
      <c r="P36" s="22" t="s">
        <v>205</v>
      </c>
      <c r="Q36" s="22" t="s">
        <v>353</v>
      </c>
      <c r="R36" s="17"/>
      <c r="S36" s="42" t="str">
        <f>"375,5"</f>
        <v>375,5</v>
      </c>
      <c r="T36" s="17" t="str">
        <f>"401,2210"</f>
        <v>401,2210</v>
      </c>
      <c r="U36" s="14" t="s">
        <v>1188</v>
      </c>
    </row>
    <row r="37" spans="1:21">
      <c r="B37" s="6" t="s">
        <v>40</v>
      </c>
    </row>
    <row r="38" spans="1:21" ht="16">
      <c r="A38" s="86" t="s">
        <v>15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1:21">
      <c r="A39" s="35" t="s">
        <v>39</v>
      </c>
      <c r="B39" s="18" t="s">
        <v>511</v>
      </c>
      <c r="C39" s="12" t="s">
        <v>512</v>
      </c>
      <c r="D39" s="12" t="s">
        <v>513</v>
      </c>
      <c r="E39" s="12" t="str">
        <f>"0,6843"</f>
        <v>0,6843</v>
      </c>
      <c r="F39" s="12" t="s">
        <v>514</v>
      </c>
      <c r="G39" s="21" t="s">
        <v>62</v>
      </c>
      <c r="H39" s="21" t="s">
        <v>301</v>
      </c>
      <c r="I39" s="23" t="s">
        <v>205</v>
      </c>
      <c r="J39" s="15"/>
      <c r="K39" s="23" t="s">
        <v>119</v>
      </c>
      <c r="L39" s="21" t="s">
        <v>119</v>
      </c>
      <c r="M39" s="21" t="s">
        <v>116</v>
      </c>
      <c r="N39" s="15"/>
      <c r="O39" s="21" t="s">
        <v>107</v>
      </c>
      <c r="P39" s="21" t="s">
        <v>152</v>
      </c>
      <c r="Q39" s="21" t="s">
        <v>283</v>
      </c>
      <c r="R39" s="21" t="s">
        <v>144</v>
      </c>
      <c r="S39" s="40" t="str">
        <f>"442,5"</f>
        <v>442,5</v>
      </c>
      <c r="T39" s="15" t="str">
        <f>"302,8028"</f>
        <v>302,8028</v>
      </c>
      <c r="U39" s="12" t="s">
        <v>515</v>
      </c>
    </row>
    <row r="40" spans="1:21">
      <c r="A40" s="36" t="s">
        <v>39</v>
      </c>
      <c r="B40" s="19" t="s">
        <v>516</v>
      </c>
      <c r="C40" s="13" t="s">
        <v>517</v>
      </c>
      <c r="D40" s="13" t="s">
        <v>161</v>
      </c>
      <c r="E40" s="13" t="str">
        <f>"0,6704"</f>
        <v>0,6704</v>
      </c>
      <c r="F40" s="13" t="s">
        <v>518</v>
      </c>
      <c r="G40" s="24" t="s">
        <v>181</v>
      </c>
      <c r="H40" s="24" t="s">
        <v>145</v>
      </c>
      <c r="I40" s="24" t="s">
        <v>164</v>
      </c>
      <c r="J40" s="16"/>
      <c r="K40" s="24" t="s">
        <v>180</v>
      </c>
      <c r="L40" s="24" t="s">
        <v>62</v>
      </c>
      <c r="M40" s="25" t="s">
        <v>143</v>
      </c>
      <c r="N40" s="16"/>
      <c r="O40" s="24" t="s">
        <v>171</v>
      </c>
      <c r="P40" s="24" t="s">
        <v>134</v>
      </c>
      <c r="Q40" s="25" t="s">
        <v>158</v>
      </c>
      <c r="R40" s="16"/>
      <c r="S40" s="41" t="str">
        <f>"617,5"</f>
        <v>617,5</v>
      </c>
      <c r="T40" s="16" t="str">
        <f>"413,9720"</f>
        <v>413,9720</v>
      </c>
      <c r="U40" s="13" t="s">
        <v>1188</v>
      </c>
    </row>
    <row r="41" spans="1:21">
      <c r="A41" s="36" t="s">
        <v>117</v>
      </c>
      <c r="B41" s="19" t="s">
        <v>519</v>
      </c>
      <c r="C41" s="13" t="s">
        <v>520</v>
      </c>
      <c r="D41" s="13" t="s">
        <v>521</v>
      </c>
      <c r="E41" s="13" t="str">
        <f>"0,6811"</f>
        <v>0,6811</v>
      </c>
      <c r="F41" s="13" t="s">
        <v>522</v>
      </c>
      <c r="G41" s="24" t="s">
        <v>189</v>
      </c>
      <c r="H41" s="24" t="s">
        <v>141</v>
      </c>
      <c r="I41" s="25" t="s">
        <v>163</v>
      </c>
      <c r="J41" s="16"/>
      <c r="K41" s="24" t="s">
        <v>180</v>
      </c>
      <c r="L41" s="25" t="s">
        <v>143</v>
      </c>
      <c r="M41" s="24" t="s">
        <v>143</v>
      </c>
      <c r="N41" s="16"/>
      <c r="O41" s="25" t="s">
        <v>172</v>
      </c>
      <c r="P41" s="25" t="s">
        <v>134</v>
      </c>
      <c r="Q41" s="24" t="s">
        <v>134</v>
      </c>
      <c r="R41" s="16"/>
      <c r="S41" s="41" t="str">
        <f>"600,0"</f>
        <v>600,0</v>
      </c>
      <c r="T41" s="16" t="str">
        <f>"408,6600"</f>
        <v>408,6600</v>
      </c>
      <c r="U41" s="13" t="s">
        <v>1188</v>
      </c>
    </row>
    <row r="42" spans="1:21">
      <c r="A42" s="36" t="s">
        <v>263</v>
      </c>
      <c r="B42" s="19" t="s">
        <v>523</v>
      </c>
      <c r="C42" s="13" t="s">
        <v>524</v>
      </c>
      <c r="D42" s="13" t="s">
        <v>161</v>
      </c>
      <c r="E42" s="13" t="str">
        <f>"0,6704"</f>
        <v>0,6704</v>
      </c>
      <c r="F42" s="13" t="s">
        <v>43</v>
      </c>
      <c r="G42" s="24" t="s">
        <v>181</v>
      </c>
      <c r="H42" s="25" t="s">
        <v>321</v>
      </c>
      <c r="I42" s="25" t="s">
        <v>145</v>
      </c>
      <c r="J42" s="16"/>
      <c r="K42" s="24" t="s">
        <v>61</v>
      </c>
      <c r="L42" s="24" t="s">
        <v>180</v>
      </c>
      <c r="M42" s="25" t="s">
        <v>335</v>
      </c>
      <c r="N42" s="16"/>
      <c r="O42" s="24" t="s">
        <v>171</v>
      </c>
      <c r="P42" s="24" t="s">
        <v>133</v>
      </c>
      <c r="Q42" s="25" t="s">
        <v>172</v>
      </c>
      <c r="R42" s="16"/>
      <c r="S42" s="41" t="str">
        <f>"585,0"</f>
        <v>585,0</v>
      </c>
      <c r="T42" s="16" t="str">
        <f>"392,1840"</f>
        <v>392,1840</v>
      </c>
      <c r="U42" s="13" t="s">
        <v>1188</v>
      </c>
    </row>
    <row r="43" spans="1:21">
      <c r="A43" s="36" t="s">
        <v>598</v>
      </c>
      <c r="B43" s="19" t="s">
        <v>525</v>
      </c>
      <c r="C43" s="13" t="s">
        <v>526</v>
      </c>
      <c r="D43" s="13" t="s">
        <v>115</v>
      </c>
      <c r="E43" s="13" t="str">
        <f>"0,6774"</f>
        <v>0,6774</v>
      </c>
      <c r="F43" s="13" t="s">
        <v>527</v>
      </c>
      <c r="G43" s="24" t="s">
        <v>132</v>
      </c>
      <c r="H43" s="24" t="s">
        <v>144</v>
      </c>
      <c r="I43" s="25" t="s">
        <v>141</v>
      </c>
      <c r="J43" s="16"/>
      <c r="K43" s="24" t="s">
        <v>278</v>
      </c>
      <c r="L43" s="24" t="s">
        <v>179</v>
      </c>
      <c r="M43" s="24" t="s">
        <v>294</v>
      </c>
      <c r="N43" s="16"/>
      <c r="O43" s="24" t="s">
        <v>181</v>
      </c>
      <c r="P43" s="24" t="s">
        <v>145</v>
      </c>
      <c r="Q43" s="25" t="s">
        <v>165</v>
      </c>
      <c r="R43" s="16"/>
      <c r="S43" s="41" t="str">
        <f>"545,0"</f>
        <v>545,0</v>
      </c>
      <c r="T43" s="16" t="str">
        <f>"369,1830"</f>
        <v>369,1830</v>
      </c>
      <c r="U43" s="13" t="s">
        <v>528</v>
      </c>
    </row>
    <row r="44" spans="1:21">
      <c r="A44" s="37" t="s">
        <v>39</v>
      </c>
      <c r="B44" s="20" t="s">
        <v>529</v>
      </c>
      <c r="C44" s="14" t="s">
        <v>530</v>
      </c>
      <c r="D44" s="14" t="s">
        <v>531</v>
      </c>
      <c r="E44" s="14" t="str">
        <f>"0,6827"</f>
        <v>0,6827</v>
      </c>
      <c r="F44" s="14" t="s">
        <v>43</v>
      </c>
      <c r="G44" s="22" t="s">
        <v>294</v>
      </c>
      <c r="H44" s="26" t="s">
        <v>61</v>
      </c>
      <c r="I44" s="26" t="s">
        <v>142</v>
      </c>
      <c r="J44" s="17"/>
      <c r="K44" s="22" t="s">
        <v>344</v>
      </c>
      <c r="L44" s="22" t="s">
        <v>96</v>
      </c>
      <c r="M44" s="26" t="s">
        <v>51</v>
      </c>
      <c r="N44" s="17"/>
      <c r="O44" s="22" t="s">
        <v>294</v>
      </c>
      <c r="P44" s="22" t="s">
        <v>142</v>
      </c>
      <c r="Q44" s="22" t="s">
        <v>335</v>
      </c>
      <c r="R44" s="17"/>
      <c r="S44" s="42" t="str">
        <f>"352,5"</f>
        <v>352,5</v>
      </c>
      <c r="T44" s="17" t="str">
        <f>"384,3208"</f>
        <v>384,3208</v>
      </c>
      <c r="U44" s="14" t="s">
        <v>1188</v>
      </c>
    </row>
    <row r="45" spans="1:21">
      <c r="B45" s="6" t="s">
        <v>40</v>
      </c>
    </row>
    <row r="46" spans="1:21" ht="16">
      <c r="A46" s="86" t="s">
        <v>53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21">
      <c r="A47" s="35" t="s">
        <v>39</v>
      </c>
      <c r="B47" s="18" t="s">
        <v>532</v>
      </c>
      <c r="C47" s="12" t="s">
        <v>533</v>
      </c>
      <c r="D47" s="12" t="s">
        <v>534</v>
      </c>
      <c r="E47" s="12" t="str">
        <f>"0,6471"</f>
        <v>0,6471</v>
      </c>
      <c r="F47" s="12" t="s">
        <v>43</v>
      </c>
      <c r="G47" s="21" t="s">
        <v>353</v>
      </c>
      <c r="H47" s="21" t="s">
        <v>131</v>
      </c>
      <c r="I47" s="23" t="s">
        <v>535</v>
      </c>
      <c r="J47" s="15"/>
      <c r="K47" s="21" t="s">
        <v>294</v>
      </c>
      <c r="L47" s="21" t="s">
        <v>180</v>
      </c>
      <c r="M47" s="21" t="s">
        <v>106</v>
      </c>
      <c r="N47" s="15"/>
      <c r="O47" s="21" t="s">
        <v>205</v>
      </c>
      <c r="P47" s="21" t="s">
        <v>131</v>
      </c>
      <c r="Q47" s="23" t="s">
        <v>144</v>
      </c>
      <c r="R47" s="15"/>
      <c r="S47" s="40" t="str">
        <f>"500,0"</f>
        <v>500,0</v>
      </c>
      <c r="T47" s="15" t="str">
        <f>"323,5500"</f>
        <v>323,5500</v>
      </c>
      <c r="U47" s="12" t="s">
        <v>1188</v>
      </c>
    </row>
    <row r="48" spans="1:21">
      <c r="A48" s="36" t="s">
        <v>39</v>
      </c>
      <c r="B48" s="19" t="s">
        <v>536</v>
      </c>
      <c r="C48" s="13" t="s">
        <v>537</v>
      </c>
      <c r="D48" s="13" t="s">
        <v>538</v>
      </c>
      <c r="E48" s="13" t="str">
        <f>"0,6515"</f>
        <v>0,6515</v>
      </c>
      <c r="F48" s="13" t="s">
        <v>539</v>
      </c>
      <c r="G48" s="24" t="s">
        <v>132</v>
      </c>
      <c r="H48" s="24" t="s">
        <v>144</v>
      </c>
      <c r="I48" s="24" t="s">
        <v>181</v>
      </c>
      <c r="J48" s="16"/>
      <c r="K48" s="24" t="s">
        <v>61</v>
      </c>
      <c r="L48" s="24" t="s">
        <v>106</v>
      </c>
      <c r="M48" s="24" t="s">
        <v>143</v>
      </c>
      <c r="N48" s="16"/>
      <c r="O48" s="24" t="s">
        <v>145</v>
      </c>
      <c r="P48" s="24" t="s">
        <v>133</v>
      </c>
      <c r="Q48" s="25" t="s">
        <v>134</v>
      </c>
      <c r="R48" s="16"/>
      <c r="S48" s="41" t="str">
        <f>"595,0"</f>
        <v>595,0</v>
      </c>
      <c r="T48" s="16" t="str">
        <f>"387,6425"</f>
        <v>387,6425</v>
      </c>
      <c r="U48" s="13" t="s">
        <v>540</v>
      </c>
    </row>
    <row r="49" spans="1:21">
      <c r="A49" s="36" t="s">
        <v>117</v>
      </c>
      <c r="B49" s="19" t="s">
        <v>541</v>
      </c>
      <c r="C49" s="13" t="s">
        <v>542</v>
      </c>
      <c r="D49" s="13" t="s">
        <v>543</v>
      </c>
      <c r="E49" s="13" t="str">
        <f>"0,6413"</f>
        <v>0,6413</v>
      </c>
      <c r="F49" s="13" t="s">
        <v>544</v>
      </c>
      <c r="G49" s="24" t="s">
        <v>353</v>
      </c>
      <c r="H49" s="24" t="s">
        <v>369</v>
      </c>
      <c r="I49" s="24" t="s">
        <v>283</v>
      </c>
      <c r="J49" s="16"/>
      <c r="K49" s="24" t="s">
        <v>179</v>
      </c>
      <c r="L49" s="25" t="s">
        <v>61</v>
      </c>
      <c r="M49" s="25" t="s">
        <v>61</v>
      </c>
      <c r="N49" s="16"/>
      <c r="O49" s="24" t="s">
        <v>131</v>
      </c>
      <c r="P49" s="24" t="s">
        <v>132</v>
      </c>
      <c r="Q49" s="24" t="s">
        <v>141</v>
      </c>
      <c r="R49" s="16"/>
      <c r="S49" s="41" t="str">
        <f>"510,0"</f>
        <v>510,0</v>
      </c>
      <c r="T49" s="16" t="str">
        <f>"327,0630"</f>
        <v>327,0630</v>
      </c>
      <c r="U49" s="13" t="s">
        <v>243</v>
      </c>
    </row>
    <row r="50" spans="1:21">
      <c r="A50" s="37" t="s">
        <v>45</v>
      </c>
      <c r="B50" s="20" t="s">
        <v>545</v>
      </c>
      <c r="C50" s="14" t="s">
        <v>546</v>
      </c>
      <c r="D50" s="14" t="s">
        <v>547</v>
      </c>
      <c r="E50" s="14" t="str">
        <f>"0,6410"</f>
        <v>0,6410</v>
      </c>
      <c r="F50" s="14" t="s">
        <v>548</v>
      </c>
      <c r="G50" s="22" t="s">
        <v>173</v>
      </c>
      <c r="H50" s="26" t="s">
        <v>158</v>
      </c>
      <c r="I50" s="26" t="s">
        <v>158</v>
      </c>
      <c r="J50" s="17"/>
      <c r="K50" s="26" t="s">
        <v>353</v>
      </c>
      <c r="L50" s="26" t="s">
        <v>353</v>
      </c>
      <c r="M50" s="26" t="s">
        <v>353</v>
      </c>
      <c r="N50" s="17"/>
      <c r="O50" s="17"/>
      <c r="P50" s="26"/>
      <c r="Q50" s="26"/>
      <c r="R50" s="17"/>
      <c r="S50" s="42">
        <v>0</v>
      </c>
      <c r="T50" s="17" t="str">
        <f>"0,0000"</f>
        <v>0,0000</v>
      </c>
      <c r="U50" s="14" t="s">
        <v>1191</v>
      </c>
    </row>
    <row r="51" spans="1:21">
      <c r="B51" s="6" t="s">
        <v>40</v>
      </c>
    </row>
    <row r="52" spans="1:21" ht="16">
      <c r="A52" s="86" t="s">
        <v>20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</row>
    <row r="53" spans="1:21">
      <c r="A53" s="35" t="s">
        <v>39</v>
      </c>
      <c r="B53" s="18" t="s">
        <v>550</v>
      </c>
      <c r="C53" s="12" t="s">
        <v>551</v>
      </c>
      <c r="D53" s="12" t="s">
        <v>108</v>
      </c>
      <c r="E53" s="12" t="str">
        <f>"0,6098"</f>
        <v>0,6098</v>
      </c>
      <c r="F53" s="12" t="s">
        <v>313</v>
      </c>
      <c r="G53" s="23" t="s">
        <v>152</v>
      </c>
      <c r="H53" s="21" t="s">
        <v>152</v>
      </c>
      <c r="I53" s="21" t="s">
        <v>131</v>
      </c>
      <c r="J53" s="15"/>
      <c r="K53" s="21" t="s">
        <v>180</v>
      </c>
      <c r="L53" s="21" t="s">
        <v>106</v>
      </c>
      <c r="M53" s="21" t="s">
        <v>62</v>
      </c>
      <c r="N53" s="15"/>
      <c r="O53" s="21" t="s">
        <v>144</v>
      </c>
      <c r="P53" s="21" t="s">
        <v>181</v>
      </c>
      <c r="Q53" s="21" t="s">
        <v>163</v>
      </c>
      <c r="R53" s="15"/>
      <c r="S53" s="40" t="str">
        <f>"537,5"</f>
        <v>537,5</v>
      </c>
      <c r="T53" s="15" t="str">
        <f>"327,7675"</f>
        <v>327,7675</v>
      </c>
      <c r="U53" s="12" t="s">
        <v>317</v>
      </c>
    </row>
    <row r="54" spans="1:21">
      <c r="A54" s="36" t="s">
        <v>39</v>
      </c>
      <c r="B54" s="19" t="s">
        <v>552</v>
      </c>
      <c r="C54" s="13" t="s">
        <v>553</v>
      </c>
      <c r="D54" s="13" t="s">
        <v>554</v>
      </c>
      <c r="E54" s="13" t="str">
        <f>"0,6272"</f>
        <v>0,6272</v>
      </c>
      <c r="F54" s="13" t="s">
        <v>555</v>
      </c>
      <c r="G54" s="24" t="s">
        <v>132</v>
      </c>
      <c r="H54" s="24" t="s">
        <v>65</v>
      </c>
      <c r="I54" s="25" t="s">
        <v>163</v>
      </c>
      <c r="J54" s="16"/>
      <c r="K54" s="24" t="s">
        <v>107</v>
      </c>
      <c r="L54" s="24" t="s">
        <v>353</v>
      </c>
      <c r="M54" s="24" t="s">
        <v>336</v>
      </c>
      <c r="N54" s="16"/>
      <c r="O54" s="25" t="s">
        <v>181</v>
      </c>
      <c r="P54" s="24" t="s">
        <v>164</v>
      </c>
      <c r="Q54" s="24" t="s">
        <v>134</v>
      </c>
      <c r="R54" s="16"/>
      <c r="S54" s="41" t="str">
        <f>"630,0"</f>
        <v>630,0</v>
      </c>
      <c r="T54" s="16" t="str">
        <f>"395,1360"</f>
        <v>395,1360</v>
      </c>
      <c r="U54" s="13" t="s">
        <v>1188</v>
      </c>
    </row>
    <row r="55" spans="1:21">
      <c r="A55" s="36" t="s">
        <v>117</v>
      </c>
      <c r="B55" s="19" t="s">
        <v>556</v>
      </c>
      <c r="C55" s="13" t="s">
        <v>557</v>
      </c>
      <c r="D55" s="13" t="s">
        <v>558</v>
      </c>
      <c r="E55" s="13" t="str">
        <f>"0,6131"</f>
        <v>0,6131</v>
      </c>
      <c r="F55" s="13" t="s">
        <v>559</v>
      </c>
      <c r="G55" s="24" t="s">
        <v>283</v>
      </c>
      <c r="H55" s="24" t="s">
        <v>144</v>
      </c>
      <c r="I55" s="25" t="s">
        <v>181</v>
      </c>
      <c r="J55" s="16"/>
      <c r="K55" s="24" t="s">
        <v>63</v>
      </c>
      <c r="L55" s="24" t="s">
        <v>205</v>
      </c>
      <c r="M55" s="24" t="s">
        <v>340</v>
      </c>
      <c r="N55" s="16"/>
      <c r="O55" s="24" t="s">
        <v>145</v>
      </c>
      <c r="P55" s="24" t="s">
        <v>165</v>
      </c>
      <c r="Q55" s="24" t="s">
        <v>172</v>
      </c>
      <c r="R55" s="16"/>
      <c r="S55" s="41" t="str">
        <f>"612,5"</f>
        <v>612,5</v>
      </c>
      <c r="T55" s="16" t="str">
        <f>"375,5237"</f>
        <v>375,5237</v>
      </c>
      <c r="U55" s="13" t="s">
        <v>1188</v>
      </c>
    </row>
    <row r="56" spans="1:21">
      <c r="A56" s="36" t="s">
        <v>39</v>
      </c>
      <c r="B56" s="19" t="s">
        <v>560</v>
      </c>
      <c r="C56" s="13" t="s">
        <v>561</v>
      </c>
      <c r="D56" s="13" t="s">
        <v>562</v>
      </c>
      <c r="E56" s="13" t="str">
        <f>"0,6134"</f>
        <v>0,6134</v>
      </c>
      <c r="F56" s="13" t="s">
        <v>368</v>
      </c>
      <c r="G56" s="25" t="s">
        <v>132</v>
      </c>
      <c r="H56" s="25" t="s">
        <v>144</v>
      </c>
      <c r="I56" s="24" t="s">
        <v>144</v>
      </c>
      <c r="J56" s="16"/>
      <c r="K56" s="24" t="s">
        <v>61</v>
      </c>
      <c r="L56" s="24" t="s">
        <v>106</v>
      </c>
      <c r="M56" s="24" t="s">
        <v>63</v>
      </c>
      <c r="N56" s="16"/>
      <c r="O56" s="24" t="s">
        <v>308</v>
      </c>
      <c r="P56" s="24" t="s">
        <v>165</v>
      </c>
      <c r="Q56" s="25" t="s">
        <v>323</v>
      </c>
      <c r="R56" s="16"/>
      <c r="S56" s="41" t="str">
        <f>"585,0"</f>
        <v>585,0</v>
      </c>
      <c r="T56" s="16" t="str">
        <f>"386,8284"</f>
        <v>386,8284</v>
      </c>
      <c r="U56" s="13" t="s">
        <v>370</v>
      </c>
    </row>
    <row r="57" spans="1:21">
      <c r="A57" s="37" t="s">
        <v>39</v>
      </c>
      <c r="B57" s="20" t="s">
        <v>563</v>
      </c>
      <c r="C57" s="14" t="s">
        <v>564</v>
      </c>
      <c r="D57" s="14" t="s">
        <v>565</v>
      </c>
      <c r="E57" s="14" t="str">
        <f>"0,6197"</f>
        <v>0,6197</v>
      </c>
      <c r="F57" s="14" t="s">
        <v>566</v>
      </c>
      <c r="G57" s="22" t="s">
        <v>335</v>
      </c>
      <c r="H57" s="22" t="s">
        <v>62</v>
      </c>
      <c r="I57" s="26" t="s">
        <v>322</v>
      </c>
      <c r="J57" s="17"/>
      <c r="K57" s="22" t="s">
        <v>51</v>
      </c>
      <c r="L57" s="22" t="s">
        <v>276</v>
      </c>
      <c r="M57" s="17"/>
      <c r="N57" s="17"/>
      <c r="O57" s="22" t="s">
        <v>205</v>
      </c>
      <c r="P57" s="22" t="s">
        <v>340</v>
      </c>
      <c r="Q57" s="26" t="s">
        <v>336</v>
      </c>
      <c r="R57" s="17"/>
      <c r="S57" s="42" t="str">
        <f>"407,5"</f>
        <v>407,5</v>
      </c>
      <c r="T57" s="17" t="str">
        <f>"469,7016"</f>
        <v>469,7016</v>
      </c>
      <c r="U57" s="14" t="s">
        <v>1188</v>
      </c>
    </row>
    <row r="58" spans="1:21">
      <c r="B58" s="6" t="s">
        <v>40</v>
      </c>
    </row>
    <row r="59" spans="1:21" ht="16">
      <c r="A59" s="86" t="s">
        <v>82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21">
      <c r="A60" s="38" t="s">
        <v>39</v>
      </c>
      <c r="B60" s="11" t="s">
        <v>567</v>
      </c>
      <c r="C60" s="4" t="s">
        <v>568</v>
      </c>
      <c r="D60" s="4" t="s">
        <v>569</v>
      </c>
      <c r="E60" s="4" t="str">
        <f>"0,5970"</f>
        <v>0,5970</v>
      </c>
      <c r="F60" s="4" t="s">
        <v>72</v>
      </c>
      <c r="G60" s="10" t="s">
        <v>205</v>
      </c>
      <c r="H60" s="10" t="s">
        <v>205</v>
      </c>
      <c r="I60" s="9" t="s">
        <v>205</v>
      </c>
      <c r="J60" s="8"/>
      <c r="K60" s="9" t="s">
        <v>179</v>
      </c>
      <c r="L60" s="9" t="s">
        <v>61</v>
      </c>
      <c r="M60" s="10" t="s">
        <v>106</v>
      </c>
      <c r="N60" s="8"/>
      <c r="O60" s="9" t="s">
        <v>144</v>
      </c>
      <c r="P60" s="9" t="s">
        <v>181</v>
      </c>
      <c r="Q60" s="9" t="s">
        <v>163</v>
      </c>
      <c r="R60" s="8"/>
      <c r="S60" s="43" t="str">
        <f>"505,0"</f>
        <v>505,0</v>
      </c>
      <c r="T60" s="8" t="str">
        <f>"301,4850"</f>
        <v>301,4850</v>
      </c>
      <c r="U60" s="4" t="s">
        <v>1188</v>
      </c>
    </row>
    <row r="61" spans="1:21">
      <c r="B61" s="6" t="s">
        <v>40</v>
      </c>
    </row>
    <row r="62" spans="1:21" ht="16">
      <c r="A62" s="86" t="s">
        <v>118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21">
      <c r="A63" s="35" t="s">
        <v>39</v>
      </c>
      <c r="B63" s="18" t="s">
        <v>570</v>
      </c>
      <c r="C63" s="12" t="s">
        <v>571</v>
      </c>
      <c r="D63" s="12" t="s">
        <v>572</v>
      </c>
      <c r="E63" s="12" t="str">
        <f>"0,5788"</f>
        <v>0,5788</v>
      </c>
      <c r="F63" s="12" t="s">
        <v>72</v>
      </c>
      <c r="G63" s="21" t="s">
        <v>129</v>
      </c>
      <c r="H63" s="21" t="s">
        <v>130</v>
      </c>
      <c r="I63" s="23" t="s">
        <v>573</v>
      </c>
      <c r="J63" s="15"/>
      <c r="K63" s="21" t="s">
        <v>63</v>
      </c>
      <c r="L63" s="21" t="s">
        <v>302</v>
      </c>
      <c r="M63" s="15"/>
      <c r="N63" s="15"/>
      <c r="O63" s="21" t="s">
        <v>150</v>
      </c>
      <c r="P63" s="21" t="s">
        <v>204</v>
      </c>
      <c r="Q63" s="23" t="s">
        <v>574</v>
      </c>
      <c r="R63" s="15"/>
      <c r="S63" s="40" t="str">
        <f>"742,5"</f>
        <v>742,5</v>
      </c>
      <c r="T63" s="15" t="str">
        <f>"429,7590"</f>
        <v>429,7590</v>
      </c>
      <c r="U63" s="12" t="s">
        <v>575</v>
      </c>
    </row>
    <row r="64" spans="1:21">
      <c r="A64" s="37" t="s">
        <v>117</v>
      </c>
      <c r="B64" s="20" t="s">
        <v>576</v>
      </c>
      <c r="C64" s="14" t="s">
        <v>577</v>
      </c>
      <c r="D64" s="14" t="s">
        <v>578</v>
      </c>
      <c r="E64" s="14" t="str">
        <f>"0,5796"</f>
        <v>0,5796</v>
      </c>
      <c r="F64" s="14" t="s">
        <v>43</v>
      </c>
      <c r="G64" s="22" t="s">
        <v>181</v>
      </c>
      <c r="H64" s="22" t="s">
        <v>165</v>
      </c>
      <c r="I64" s="26" t="s">
        <v>134</v>
      </c>
      <c r="J64" s="17"/>
      <c r="K64" s="22" t="s">
        <v>63</v>
      </c>
      <c r="L64" s="22" t="s">
        <v>353</v>
      </c>
      <c r="M64" s="22" t="s">
        <v>369</v>
      </c>
      <c r="N64" s="17"/>
      <c r="O64" s="22" t="s">
        <v>134</v>
      </c>
      <c r="P64" s="22" t="s">
        <v>135</v>
      </c>
      <c r="Q64" s="26" t="s">
        <v>204</v>
      </c>
      <c r="R64" s="17"/>
      <c r="S64" s="42" t="str">
        <f>"680,0"</f>
        <v>680,0</v>
      </c>
      <c r="T64" s="17" t="str">
        <f>"394,1280"</f>
        <v>394,1280</v>
      </c>
      <c r="U64" s="14" t="s">
        <v>579</v>
      </c>
    </row>
    <row r="65" spans="1:21">
      <c r="B65" s="6" t="s">
        <v>40</v>
      </c>
    </row>
    <row r="66" spans="1:21" ht="16">
      <c r="A66" s="86" t="s">
        <v>244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1:21">
      <c r="A67" s="38" t="s">
        <v>39</v>
      </c>
      <c r="B67" s="11" t="s">
        <v>580</v>
      </c>
      <c r="C67" s="4" t="s">
        <v>581</v>
      </c>
      <c r="D67" s="4" t="s">
        <v>582</v>
      </c>
      <c r="E67" s="4" t="str">
        <f>"0,5607"</f>
        <v>0,5607</v>
      </c>
      <c r="F67" s="4" t="s">
        <v>72</v>
      </c>
      <c r="G67" s="9" t="s">
        <v>173</v>
      </c>
      <c r="H67" s="9" t="s">
        <v>196</v>
      </c>
      <c r="I67" s="10" t="s">
        <v>150</v>
      </c>
      <c r="J67" s="8"/>
      <c r="K67" s="9" t="s">
        <v>180</v>
      </c>
      <c r="L67" s="9" t="s">
        <v>62</v>
      </c>
      <c r="M67" s="10" t="s">
        <v>322</v>
      </c>
      <c r="N67" s="8"/>
      <c r="O67" s="9" t="s">
        <v>204</v>
      </c>
      <c r="P67" s="10" t="s">
        <v>583</v>
      </c>
      <c r="Q67" s="8"/>
      <c r="R67" s="8"/>
      <c r="S67" s="43" t="str">
        <f>"692,5"</f>
        <v>692,5</v>
      </c>
      <c r="T67" s="8" t="str">
        <f>"388,2847"</f>
        <v>388,2847</v>
      </c>
      <c r="U67" s="4" t="s">
        <v>1188</v>
      </c>
    </row>
    <row r="68" spans="1:21">
      <c r="B68" s="6" t="s">
        <v>40</v>
      </c>
    </row>
    <row r="71" spans="1:21" ht="18">
      <c r="B71" s="33" t="s">
        <v>27</v>
      </c>
      <c r="C71" s="33"/>
    </row>
    <row r="72" spans="1:21" ht="16">
      <c r="B72" s="28" t="s">
        <v>86</v>
      </c>
      <c r="C72" s="28"/>
    </row>
    <row r="73" spans="1:21" ht="14">
      <c r="B73" s="34"/>
      <c r="C73" s="34" t="s">
        <v>29</v>
      </c>
    </row>
    <row r="74" spans="1:21" ht="14">
      <c r="B74" s="5" t="s">
        <v>30</v>
      </c>
      <c r="C74" s="5" t="s">
        <v>31</v>
      </c>
      <c r="D74" s="5" t="s">
        <v>1189</v>
      </c>
      <c r="E74" s="5" t="s">
        <v>32</v>
      </c>
      <c r="F74" s="5" t="s">
        <v>253</v>
      </c>
    </row>
    <row r="75" spans="1:21">
      <c r="B75" s="3" t="s">
        <v>459</v>
      </c>
      <c r="C75" s="6" t="s">
        <v>29</v>
      </c>
      <c r="D75" s="7" t="s">
        <v>584</v>
      </c>
      <c r="E75" s="7" t="s">
        <v>585</v>
      </c>
      <c r="F75" s="7" t="s">
        <v>586</v>
      </c>
    </row>
    <row r="76" spans="1:21">
      <c r="B76" s="3" t="s">
        <v>445</v>
      </c>
      <c r="C76" s="6" t="s">
        <v>29</v>
      </c>
      <c r="D76" s="7" t="s">
        <v>325</v>
      </c>
      <c r="E76" s="7" t="s">
        <v>235</v>
      </c>
      <c r="F76" s="7" t="s">
        <v>587</v>
      </c>
    </row>
    <row r="77" spans="1:21">
      <c r="B77" s="3" t="s">
        <v>462</v>
      </c>
      <c r="C77" s="6" t="s">
        <v>29</v>
      </c>
      <c r="D77" s="7" t="s">
        <v>584</v>
      </c>
      <c r="E77" s="7" t="s">
        <v>419</v>
      </c>
      <c r="F77" s="7" t="s">
        <v>588</v>
      </c>
    </row>
    <row r="78" spans="1:21">
      <c r="B78" s="3"/>
    </row>
    <row r="79" spans="1:21" ht="16">
      <c r="B79" s="28" t="s">
        <v>28</v>
      </c>
      <c r="C79" s="28"/>
    </row>
    <row r="80" spans="1:21" ht="14">
      <c r="B80" s="34"/>
      <c r="C80" s="34" t="s">
        <v>29</v>
      </c>
    </row>
    <row r="81" spans="2:6" ht="14">
      <c r="B81" s="5" t="s">
        <v>30</v>
      </c>
      <c r="C81" s="5" t="s">
        <v>31</v>
      </c>
      <c r="D81" s="5" t="s">
        <v>1189</v>
      </c>
      <c r="E81" s="5" t="s">
        <v>32</v>
      </c>
      <c r="F81" s="5" t="s">
        <v>253</v>
      </c>
    </row>
    <row r="82" spans="2:6">
      <c r="B82" s="3" t="s">
        <v>570</v>
      </c>
      <c r="C82" s="6" t="s">
        <v>29</v>
      </c>
      <c r="D82" s="7" t="s">
        <v>120</v>
      </c>
      <c r="E82" s="7" t="s">
        <v>591</v>
      </c>
      <c r="F82" s="7" t="s">
        <v>592</v>
      </c>
    </row>
    <row r="83" spans="2:6">
      <c r="B83" s="3" t="s">
        <v>516</v>
      </c>
      <c r="C83" s="6" t="s">
        <v>29</v>
      </c>
      <c r="D83" s="7" t="s">
        <v>33</v>
      </c>
      <c r="E83" s="7" t="s">
        <v>593</v>
      </c>
      <c r="F83" s="7" t="s">
        <v>594</v>
      </c>
    </row>
    <row r="84" spans="2:6">
      <c r="B84" s="3" t="s">
        <v>519</v>
      </c>
      <c r="C84" s="6" t="s">
        <v>29</v>
      </c>
      <c r="D84" s="7" t="s">
        <v>33</v>
      </c>
      <c r="E84" s="7" t="s">
        <v>595</v>
      </c>
      <c r="F84" s="7" t="s">
        <v>596</v>
      </c>
    </row>
    <row r="85" spans="2:6">
      <c r="B85" s="6" t="s">
        <v>40</v>
      </c>
    </row>
  </sheetData>
  <mergeCells count="25">
    <mergeCell ref="A46:R46"/>
    <mergeCell ref="A52:R52"/>
    <mergeCell ref="A59:R59"/>
    <mergeCell ref="A62:R62"/>
    <mergeCell ref="A66:R66"/>
    <mergeCell ref="A31:R31"/>
    <mergeCell ref="A38:R38"/>
    <mergeCell ref="S3:S4"/>
    <mergeCell ref="T3:T4"/>
    <mergeCell ref="U3:U4"/>
    <mergeCell ref="A5:R5"/>
    <mergeCell ref="B3:B4"/>
    <mergeCell ref="A11:R11"/>
    <mergeCell ref="A16:R16"/>
    <mergeCell ref="A22:R22"/>
    <mergeCell ref="A27:R27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53"/>
  <sheetViews>
    <sheetView topLeftCell="A24" zoomScaleNormal="100"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9.3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3.1640625" style="3" bestFit="1" customWidth="1"/>
    <col min="7" max="10" width="5.5" style="2" customWidth="1"/>
    <col min="11" max="11" width="10.5" style="2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1201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8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5" t="s">
        <v>39</v>
      </c>
      <c r="B6" s="18" t="s">
        <v>125</v>
      </c>
      <c r="C6" s="12" t="s">
        <v>126</v>
      </c>
      <c r="D6" s="12" t="s">
        <v>127</v>
      </c>
      <c r="E6" s="12" t="str">
        <f>"0,6969"</f>
        <v>0,6969</v>
      </c>
      <c r="F6" s="12" t="s">
        <v>128</v>
      </c>
      <c r="G6" s="21" t="s">
        <v>133</v>
      </c>
      <c r="H6" s="23" t="s">
        <v>134</v>
      </c>
      <c r="I6" s="21" t="s">
        <v>134</v>
      </c>
      <c r="J6" s="21" t="s">
        <v>200</v>
      </c>
      <c r="K6" s="15" t="str">
        <f>"250,0"</f>
        <v>250,0</v>
      </c>
      <c r="L6" s="15" t="str">
        <f>"174,2125"</f>
        <v>174,2125</v>
      </c>
      <c r="M6" s="12" t="s">
        <v>136</v>
      </c>
    </row>
    <row r="7" spans="1:13">
      <c r="A7" s="37" t="s">
        <v>117</v>
      </c>
      <c r="B7" s="20" t="s">
        <v>599</v>
      </c>
      <c r="C7" s="14" t="s">
        <v>600</v>
      </c>
      <c r="D7" s="14" t="s">
        <v>358</v>
      </c>
      <c r="E7" s="14" t="str">
        <f>"0,6885"</f>
        <v>0,6885</v>
      </c>
      <c r="F7" s="14" t="s">
        <v>43</v>
      </c>
      <c r="G7" s="22" t="s">
        <v>205</v>
      </c>
      <c r="H7" s="22" t="s">
        <v>369</v>
      </c>
      <c r="I7" s="26" t="s">
        <v>283</v>
      </c>
      <c r="J7" s="17"/>
      <c r="K7" s="17" t="str">
        <f>"175,0"</f>
        <v>175,0</v>
      </c>
      <c r="L7" s="17" t="str">
        <f>"120,4962"</f>
        <v>120,4962</v>
      </c>
      <c r="M7" s="14" t="s">
        <v>1211</v>
      </c>
    </row>
    <row r="8" spans="1:13">
      <c r="B8" s="6" t="s">
        <v>40</v>
      </c>
    </row>
    <row r="9" spans="1:13" ht="16">
      <c r="A9" s="86" t="s">
        <v>15</v>
      </c>
      <c r="B9" s="86"/>
      <c r="C9" s="86"/>
      <c r="D9" s="86"/>
      <c r="E9" s="86"/>
      <c r="F9" s="86"/>
      <c r="G9" s="86"/>
      <c r="H9" s="86"/>
      <c r="I9" s="86"/>
      <c r="J9" s="86"/>
    </row>
    <row r="10" spans="1:13">
      <c r="A10" s="35" t="s">
        <v>39</v>
      </c>
      <c r="B10" s="18" t="s">
        <v>601</v>
      </c>
      <c r="C10" s="12" t="s">
        <v>602</v>
      </c>
      <c r="D10" s="12" t="s">
        <v>603</v>
      </c>
      <c r="E10" s="12" t="str">
        <f>"0,6829"</f>
        <v>0,6829</v>
      </c>
      <c r="F10" s="12" t="s">
        <v>604</v>
      </c>
      <c r="G10" s="21" t="s">
        <v>132</v>
      </c>
      <c r="H10" s="23" t="s">
        <v>144</v>
      </c>
      <c r="I10" s="23" t="s">
        <v>144</v>
      </c>
      <c r="J10" s="15"/>
      <c r="K10" s="15" t="str">
        <f>"190,0"</f>
        <v>190,0</v>
      </c>
      <c r="L10" s="15" t="str">
        <f>"129,7415"</f>
        <v>129,7415</v>
      </c>
      <c r="M10" s="12" t="s">
        <v>1217</v>
      </c>
    </row>
    <row r="11" spans="1:13">
      <c r="A11" s="36" t="s">
        <v>117</v>
      </c>
      <c r="B11" s="19" t="s">
        <v>605</v>
      </c>
      <c r="C11" s="13" t="s">
        <v>606</v>
      </c>
      <c r="D11" s="13" t="s">
        <v>607</v>
      </c>
      <c r="E11" s="13" t="str">
        <f>"0,6503"</f>
        <v>0,6503</v>
      </c>
      <c r="F11" s="13" t="s">
        <v>608</v>
      </c>
      <c r="G11" s="24" t="s">
        <v>369</v>
      </c>
      <c r="H11" s="24" t="s">
        <v>283</v>
      </c>
      <c r="I11" s="25" t="s">
        <v>65</v>
      </c>
      <c r="J11" s="16"/>
      <c r="K11" s="16" t="str">
        <f>"185,0"</f>
        <v>185,0</v>
      </c>
      <c r="L11" s="16" t="str">
        <f>"120,2963"</f>
        <v>120,2963</v>
      </c>
      <c r="M11" s="13" t="s">
        <v>609</v>
      </c>
    </row>
    <row r="12" spans="1:13">
      <c r="A12" s="37" t="s">
        <v>39</v>
      </c>
      <c r="B12" s="20" t="s">
        <v>610</v>
      </c>
      <c r="C12" s="14" t="s">
        <v>611</v>
      </c>
      <c r="D12" s="14" t="s">
        <v>612</v>
      </c>
      <c r="E12" s="14" t="str">
        <f>"0,6508"</f>
        <v>0,6508</v>
      </c>
      <c r="F12" s="14" t="s">
        <v>43</v>
      </c>
      <c r="G12" s="22" t="s">
        <v>131</v>
      </c>
      <c r="H12" s="22" t="s">
        <v>132</v>
      </c>
      <c r="I12" s="26" t="s">
        <v>144</v>
      </c>
      <c r="J12" s="17"/>
      <c r="K12" s="17" t="str">
        <f>"190,0"</f>
        <v>190,0</v>
      </c>
      <c r="L12" s="17" t="str">
        <f>"123,6520"</f>
        <v>123,6520</v>
      </c>
      <c r="M12" s="14" t="s">
        <v>613</v>
      </c>
    </row>
    <row r="13" spans="1:13">
      <c r="B13" s="6" t="s">
        <v>40</v>
      </c>
    </row>
    <row r="14" spans="1:13" ht="16">
      <c r="A14" s="86" t="s">
        <v>53</v>
      </c>
      <c r="B14" s="86"/>
      <c r="C14" s="86"/>
      <c r="D14" s="86"/>
      <c r="E14" s="86"/>
      <c r="F14" s="86"/>
      <c r="G14" s="86"/>
      <c r="H14" s="86"/>
      <c r="I14" s="86"/>
      <c r="J14" s="86"/>
    </row>
    <row r="15" spans="1:13">
      <c r="A15" s="35" t="s">
        <v>39</v>
      </c>
      <c r="B15" s="18" t="s">
        <v>614</v>
      </c>
      <c r="C15" s="12" t="s">
        <v>615</v>
      </c>
      <c r="D15" s="12" t="s">
        <v>616</v>
      </c>
      <c r="E15" s="12" t="str">
        <f>"0,6216"</f>
        <v>0,6216</v>
      </c>
      <c r="F15" s="12" t="s">
        <v>307</v>
      </c>
      <c r="G15" s="21" t="s">
        <v>134</v>
      </c>
      <c r="H15" s="23" t="s">
        <v>196</v>
      </c>
      <c r="I15" s="23" t="s">
        <v>196</v>
      </c>
      <c r="J15" s="15"/>
      <c r="K15" s="15" t="str">
        <f>"250,0"</f>
        <v>250,0</v>
      </c>
      <c r="L15" s="15" t="str">
        <f>"155,3875"</f>
        <v>155,3875</v>
      </c>
      <c r="M15" s="12" t="s">
        <v>617</v>
      </c>
    </row>
    <row r="16" spans="1:13">
      <c r="A16" s="37" t="s">
        <v>117</v>
      </c>
      <c r="B16" s="20" t="s">
        <v>618</v>
      </c>
      <c r="C16" s="14" t="s">
        <v>619</v>
      </c>
      <c r="D16" s="14" t="s">
        <v>74</v>
      </c>
      <c r="E16" s="14" t="str">
        <f>"0,6119"</f>
        <v>0,6119</v>
      </c>
      <c r="F16" s="14" t="s">
        <v>620</v>
      </c>
      <c r="G16" s="22" t="s">
        <v>171</v>
      </c>
      <c r="H16" s="26" t="s">
        <v>133</v>
      </c>
      <c r="I16" s="22" t="s">
        <v>133</v>
      </c>
      <c r="J16" s="17"/>
      <c r="K16" s="17" t="str">
        <f>"240,0"</f>
        <v>240,0</v>
      </c>
      <c r="L16" s="17" t="str">
        <f>"146,8440"</f>
        <v>146,8440</v>
      </c>
      <c r="M16" s="14" t="s">
        <v>1211</v>
      </c>
    </row>
    <row r="17" spans="1:13">
      <c r="B17" s="6" t="s">
        <v>40</v>
      </c>
    </row>
    <row r="18" spans="1:13" ht="16">
      <c r="A18" s="86" t="s">
        <v>20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3">
      <c r="A19" s="35" t="s">
        <v>39</v>
      </c>
      <c r="B19" s="18" t="s">
        <v>621</v>
      </c>
      <c r="C19" s="12" t="s">
        <v>622</v>
      </c>
      <c r="D19" s="12" t="s">
        <v>623</v>
      </c>
      <c r="E19" s="12" t="str">
        <f>"0,5864"</f>
        <v>0,5864</v>
      </c>
      <c r="F19" s="12" t="s">
        <v>624</v>
      </c>
      <c r="G19" s="21" t="s">
        <v>204</v>
      </c>
      <c r="H19" s="21" t="s">
        <v>186</v>
      </c>
      <c r="I19" s="21" t="s">
        <v>625</v>
      </c>
      <c r="J19" s="23" t="s">
        <v>187</v>
      </c>
      <c r="K19" s="15" t="str">
        <f>"305,0"</f>
        <v>305,0</v>
      </c>
      <c r="L19" s="15" t="str">
        <f>"178,8368"</f>
        <v>178,8368</v>
      </c>
      <c r="M19" s="12" t="s">
        <v>1188</v>
      </c>
    </row>
    <row r="20" spans="1:13">
      <c r="A20" s="36" t="s">
        <v>117</v>
      </c>
      <c r="B20" s="19" t="s">
        <v>626</v>
      </c>
      <c r="C20" s="13" t="s">
        <v>627</v>
      </c>
      <c r="D20" s="13" t="s">
        <v>373</v>
      </c>
      <c r="E20" s="13" t="str">
        <f>"0,5850"</f>
        <v>0,5850</v>
      </c>
      <c r="F20" s="13" t="s">
        <v>628</v>
      </c>
      <c r="G20" s="24" t="s">
        <v>158</v>
      </c>
      <c r="H20" s="25" t="s">
        <v>405</v>
      </c>
      <c r="I20" s="24" t="s">
        <v>405</v>
      </c>
      <c r="J20" s="16"/>
      <c r="K20" s="16" t="str">
        <f>"272,5"</f>
        <v>272,5</v>
      </c>
      <c r="L20" s="16" t="str">
        <f>"159,4261"</f>
        <v>159,4261</v>
      </c>
      <c r="M20" s="13" t="s">
        <v>1188</v>
      </c>
    </row>
    <row r="21" spans="1:13">
      <c r="A21" s="37" t="s">
        <v>263</v>
      </c>
      <c r="B21" s="20" t="s">
        <v>629</v>
      </c>
      <c r="C21" s="14" t="s">
        <v>630</v>
      </c>
      <c r="D21" s="14" t="s">
        <v>631</v>
      </c>
      <c r="E21" s="14" t="str">
        <f>"0,5816"</f>
        <v>0,5816</v>
      </c>
      <c r="F21" s="14" t="s">
        <v>43</v>
      </c>
      <c r="G21" s="22" t="s">
        <v>173</v>
      </c>
      <c r="H21" s="22" t="s">
        <v>196</v>
      </c>
      <c r="I21" s="26" t="s">
        <v>405</v>
      </c>
      <c r="J21" s="17"/>
      <c r="K21" s="17" t="str">
        <f>"265,0"</f>
        <v>265,0</v>
      </c>
      <c r="L21" s="17" t="str">
        <f>"154,1108"</f>
        <v>154,1108</v>
      </c>
      <c r="M21" s="14" t="s">
        <v>632</v>
      </c>
    </row>
    <row r="22" spans="1:13">
      <c r="B22" s="6" t="s">
        <v>40</v>
      </c>
    </row>
    <row r="23" spans="1:13" ht="16">
      <c r="A23" s="86" t="s">
        <v>82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13">
      <c r="A24" s="35" t="s">
        <v>39</v>
      </c>
      <c r="B24" s="18" t="s">
        <v>633</v>
      </c>
      <c r="C24" s="12" t="s">
        <v>634</v>
      </c>
      <c r="D24" s="12" t="s">
        <v>635</v>
      </c>
      <c r="E24" s="12" t="str">
        <f>"0,5680"</f>
        <v>0,5680</v>
      </c>
      <c r="F24" s="12" t="s">
        <v>85</v>
      </c>
      <c r="G24" s="21" t="s">
        <v>171</v>
      </c>
      <c r="H24" s="21" t="s">
        <v>133</v>
      </c>
      <c r="I24" s="21" t="s">
        <v>134</v>
      </c>
      <c r="J24" s="15"/>
      <c r="K24" s="15" t="str">
        <f>"250,0"</f>
        <v>250,0</v>
      </c>
      <c r="L24" s="15" t="str">
        <f>"141,9875"</f>
        <v>141,9875</v>
      </c>
      <c r="M24" s="12" t="s">
        <v>1188</v>
      </c>
    </row>
    <row r="25" spans="1:13">
      <c r="A25" s="36" t="s">
        <v>117</v>
      </c>
      <c r="B25" s="19" t="s">
        <v>636</v>
      </c>
      <c r="C25" s="13" t="s">
        <v>637</v>
      </c>
      <c r="D25" s="13" t="s">
        <v>403</v>
      </c>
      <c r="E25" s="13" t="str">
        <f>"0,5627"</f>
        <v>0,5627</v>
      </c>
      <c r="F25" s="13" t="s">
        <v>638</v>
      </c>
      <c r="G25" s="24" t="s">
        <v>171</v>
      </c>
      <c r="H25" s="25" t="s">
        <v>133</v>
      </c>
      <c r="I25" s="25" t="s">
        <v>172</v>
      </c>
      <c r="J25" s="16"/>
      <c r="K25" s="16" t="str">
        <f>"230,0"</f>
        <v>230,0</v>
      </c>
      <c r="L25" s="16" t="str">
        <f>"129,4095"</f>
        <v>129,4095</v>
      </c>
      <c r="M25" s="13" t="s">
        <v>639</v>
      </c>
    </row>
    <row r="26" spans="1:13">
      <c r="A26" s="36" t="s">
        <v>39</v>
      </c>
      <c r="B26" s="19" t="s">
        <v>633</v>
      </c>
      <c r="C26" s="13" t="s">
        <v>640</v>
      </c>
      <c r="D26" s="13" t="s">
        <v>635</v>
      </c>
      <c r="E26" s="13" t="str">
        <f>"0,5680"</f>
        <v>0,5680</v>
      </c>
      <c r="F26" s="13" t="s">
        <v>85</v>
      </c>
      <c r="G26" s="24" t="s">
        <v>171</v>
      </c>
      <c r="H26" s="24" t="s">
        <v>133</v>
      </c>
      <c r="I26" s="24" t="s">
        <v>134</v>
      </c>
      <c r="J26" s="16"/>
      <c r="K26" s="16" t="str">
        <f>"250,0"</f>
        <v>250,0</v>
      </c>
      <c r="L26" s="16" t="str">
        <f>"141,9875"</f>
        <v>141,9875</v>
      </c>
      <c r="M26" s="13" t="s">
        <v>1188</v>
      </c>
    </row>
    <row r="27" spans="1:13">
      <c r="A27" s="36" t="s">
        <v>117</v>
      </c>
      <c r="B27" s="19" t="s">
        <v>636</v>
      </c>
      <c r="C27" s="13" t="s">
        <v>641</v>
      </c>
      <c r="D27" s="13" t="s">
        <v>403</v>
      </c>
      <c r="E27" s="13" t="str">
        <f>"0,5627"</f>
        <v>0,5627</v>
      </c>
      <c r="F27" s="13" t="s">
        <v>638</v>
      </c>
      <c r="G27" s="24" t="s">
        <v>171</v>
      </c>
      <c r="H27" s="25" t="s">
        <v>133</v>
      </c>
      <c r="I27" s="25" t="s">
        <v>172</v>
      </c>
      <c r="J27" s="16"/>
      <c r="K27" s="16" t="str">
        <f>"230,0"</f>
        <v>230,0</v>
      </c>
      <c r="L27" s="16" t="str">
        <f>"138,2094"</f>
        <v>138,2094</v>
      </c>
      <c r="M27" s="13" t="s">
        <v>639</v>
      </c>
    </row>
    <row r="28" spans="1:13">
      <c r="A28" s="37" t="s">
        <v>39</v>
      </c>
      <c r="B28" s="20" t="s">
        <v>642</v>
      </c>
      <c r="C28" s="14" t="s">
        <v>643</v>
      </c>
      <c r="D28" s="14" t="s">
        <v>644</v>
      </c>
      <c r="E28" s="14" t="str">
        <f>"0,5632"</f>
        <v>0,5632</v>
      </c>
      <c r="F28" s="14" t="s">
        <v>43</v>
      </c>
      <c r="G28" s="22" t="s">
        <v>152</v>
      </c>
      <c r="H28" s="26" t="s">
        <v>131</v>
      </c>
      <c r="I28" s="22" t="s">
        <v>131</v>
      </c>
      <c r="J28" s="26" t="s">
        <v>132</v>
      </c>
      <c r="K28" s="17" t="str">
        <f>"180,0"</f>
        <v>180,0</v>
      </c>
      <c r="L28" s="17" t="str">
        <f>"130,8764"</f>
        <v>130,8764</v>
      </c>
      <c r="M28" s="14" t="s">
        <v>1188</v>
      </c>
    </row>
    <row r="29" spans="1:13">
      <c r="B29" s="6" t="s">
        <v>40</v>
      </c>
    </row>
    <row r="30" spans="1:13" ht="16">
      <c r="A30" s="86" t="s">
        <v>118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13">
      <c r="A31" s="35" t="s">
        <v>39</v>
      </c>
      <c r="B31" s="18" t="s">
        <v>645</v>
      </c>
      <c r="C31" s="12" t="s">
        <v>646</v>
      </c>
      <c r="D31" s="12" t="s">
        <v>647</v>
      </c>
      <c r="E31" s="12" t="str">
        <f>"0,5490"</f>
        <v>0,5490</v>
      </c>
      <c r="F31" s="12" t="s">
        <v>638</v>
      </c>
      <c r="G31" s="21" t="s">
        <v>158</v>
      </c>
      <c r="H31" s="21" t="s">
        <v>135</v>
      </c>
      <c r="I31" s="23" t="s">
        <v>216</v>
      </c>
      <c r="J31" s="15"/>
      <c r="K31" s="15" t="str">
        <f>"270,0"</f>
        <v>270,0</v>
      </c>
      <c r="L31" s="15" t="str">
        <f>"148,2435"</f>
        <v>148,2435</v>
      </c>
      <c r="M31" s="12" t="s">
        <v>1188</v>
      </c>
    </row>
    <row r="32" spans="1:13">
      <c r="A32" s="37" t="s">
        <v>39</v>
      </c>
      <c r="B32" s="20" t="s">
        <v>645</v>
      </c>
      <c r="C32" s="14" t="s">
        <v>648</v>
      </c>
      <c r="D32" s="14" t="s">
        <v>647</v>
      </c>
      <c r="E32" s="14" t="str">
        <f>"0,5490"</f>
        <v>0,5490</v>
      </c>
      <c r="F32" s="14" t="s">
        <v>638</v>
      </c>
      <c r="G32" s="22" t="s">
        <v>158</v>
      </c>
      <c r="H32" s="22" t="s">
        <v>135</v>
      </c>
      <c r="I32" s="26" t="s">
        <v>216</v>
      </c>
      <c r="J32" s="17"/>
      <c r="K32" s="17" t="str">
        <f>"270,0"</f>
        <v>270,0</v>
      </c>
      <c r="L32" s="17" t="str">
        <f>"148,2435"</f>
        <v>148,2435</v>
      </c>
      <c r="M32" s="14" t="s">
        <v>1188</v>
      </c>
    </row>
    <row r="33" spans="1:13">
      <c r="B33" s="6" t="s">
        <v>40</v>
      </c>
    </row>
    <row r="34" spans="1:13" ht="16">
      <c r="A34" s="86" t="s">
        <v>649</v>
      </c>
      <c r="B34" s="86"/>
      <c r="C34" s="86"/>
      <c r="D34" s="86"/>
      <c r="E34" s="86"/>
      <c r="F34" s="86"/>
      <c r="G34" s="86"/>
      <c r="H34" s="86"/>
      <c r="I34" s="86"/>
      <c r="J34" s="86"/>
    </row>
    <row r="35" spans="1:13">
      <c r="A35" s="35" t="s">
        <v>39</v>
      </c>
      <c r="B35" s="18" t="s">
        <v>650</v>
      </c>
      <c r="C35" s="12" t="s">
        <v>651</v>
      </c>
      <c r="D35" s="12" t="s">
        <v>652</v>
      </c>
      <c r="E35" s="12" t="str">
        <f>"0,5301"</f>
        <v>0,5301</v>
      </c>
      <c r="F35" s="12" t="s">
        <v>566</v>
      </c>
      <c r="G35" s="21" t="s">
        <v>625</v>
      </c>
      <c r="H35" s="21" t="s">
        <v>188</v>
      </c>
      <c r="I35" s="23" t="s">
        <v>653</v>
      </c>
      <c r="J35" s="15"/>
      <c r="K35" s="15" t="str">
        <f>"320,0"</f>
        <v>320,0</v>
      </c>
      <c r="L35" s="15" t="str">
        <f>"169,6176"</f>
        <v>169,6176</v>
      </c>
      <c r="M35" s="12" t="s">
        <v>1188</v>
      </c>
    </row>
    <row r="36" spans="1:13">
      <c r="A36" s="37" t="s">
        <v>39</v>
      </c>
      <c r="B36" s="20" t="s">
        <v>650</v>
      </c>
      <c r="C36" s="14" t="s">
        <v>654</v>
      </c>
      <c r="D36" s="14" t="s">
        <v>652</v>
      </c>
      <c r="E36" s="14" t="str">
        <f>"0,5301"</f>
        <v>0,5301</v>
      </c>
      <c r="F36" s="14" t="s">
        <v>566</v>
      </c>
      <c r="G36" s="22" t="s">
        <v>625</v>
      </c>
      <c r="H36" s="22" t="s">
        <v>188</v>
      </c>
      <c r="I36" s="26" t="s">
        <v>653</v>
      </c>
      <c r="J36" s="17"/>
      <c r="K36" s="17" t="str">
        <f>"320,0"</f>
        <v>320,0</v>
      </c>
      <c r="L36" s="17" t="str">
        <f>"218,9763"</f>
        <v>218,9763</v>
      </c>
      <c r="M36" s="14" t="s">
        <v>1188</v>
      </c>
    </row>
    <row r="37" spans="1:13">
      <c r="B37" s="6" t="s">
        <v>40</v>
      </c>
    </row>
    <row r="40" spans="1:13" ht="18">
      <c r="B40" s="33" t="s">
        <v>27</v>
      </c>
      <c r="C40" s="33"/>
    </row>
    <row r="41" spans="1:13" ht="16">
      <c r="B41" s="28" t="s">
        <v>28</v>
      </c>
      <c r="C41" s="28"/>
    </row>
    <row r="42" spans="1:13" ht="14">
      <c r="B42" s="34"/>
      <c r="C42" s="34" t="s">
        <v>29</v>
      </c>
    </row>
    <row r="43" spans="1:13" ht="14">
      <c r="B43" s="5" t="s">
        <v>30</v>
      </c>
      <c r="C43" s="5" t="s">
        <v>31</v>
      </c>
      <c r="D43" s="5" t="s">
        <v>1189</v>
      </c>
      <c r="E43" s="5" t="s">
        <v>38</v>
      </c>
      <c r="F43" s="5" t="s">
        <v>87</v>
      </c>
    </row>
    <row r="44" spans="1:13">
      <c r="B44" s="3" t="s">
        <v>621</v>
      </c>
      <c r="C44" s="6" t="s">
        <v>29</v>
      </c>
      <c r="D44" s="7" t="s">
        <v>34</v>
      </c>
      <c r="E44" s="7" t="s">
        <v>625</v>
      </c>
      <c r="F44" s="7" t="s">
        <v>655</v>
      </c>
    </row>
    <row r="45" spans="1:13">
      <c r="B45" s="3" t="s">
        <v>125</v>
      </c>
      <c r="C45" s="6" t="s">
        <v>29</v>
      </c>
      <c r="D45" s="7" t="s">
        <v>37</v>
      </c>
      <c r="E45" s="7" t="s">
        <v>134</v>
      </c>
      <c r="F45" s="7" t="s">
        <v>656</v>
      </c>
    </row>
    <row r="46" spans="1:13">
      <c r="B46" s="3" t="s">
        <v>650</v>
      </c>
      <c r="C46" s="6" t="s">
        <v>29</v>
      </c>
      <c r="D46" s="7" t="s">
        <v>657</v>
      </c>
      <c r="E46" s="7" t="s">
        <v>188</v>
      </c>
      <c r="F46" s="7" t="s">
        <v>658</v>
      </c>
    </row>
    <row r="47" spans="1:13">
      <c r="B47" s="3"/>
    </row>
    <row r="48" spans="1:13" ht="14">
      <c r="B48" s="34"/>
      <c r="C48" s="34" t="s">
        <v>35</v>
      </c>
    </row>
    <row r="49" spans="2:6" ht="14">
      <c r="B49" s="5" t="s">
        <v>30</v>
      </c>
      <c r="C49" s="5" t="s">
        <v>31</v>
      </c>
      <c r="D49" s="5" t="s">
        <v>1189</v>
      </c>
      <c r="E49" s="5" t="s">
        <v>38</v>
      </c>
      <c r="F49" s="5" t="s">
        <v>87</v>
      </c>
    </row>
    <row r="50" spans="2:6">
      <c r="B50" s="3" t="s">
        <v>650</v>
      </c>
      <c r="C50" s="6" t="s">
        <v>261</v>
      </c>
      <c r="D50" s="7" t="s">
        <v>657</v>
      </c>
      <c r="E50" s="7" t="s">
        <v>188</v>
      </c>
      <c r="F50" s="7" t="s">
        <v>659</v>
      </c>
    </row>
    <row r="51" spans="2:6">
      <c r="B51" s="3" t="s">
        <v>633</v>
      </c>
      <c r="C51" s="6" t="s">
        <v>262</v>
      </c>
      <c r="D51" s="7" t="s">
        <v>88</v>
      </c>
      <c r="E51" s="7" t="s">
        <v>134</v>
      </c>
      <c r="F51" s="7" t="s">
        <v>660</v>
      </c>
    </row>
    <row r="52" spans="2:6">
      <c r="B52" s="3" t="s">
        <v>636</v>
      </c>
      <c r="C52" s="6" t="s">
        <v>262</v>
      </c>
      <c r="D52" s="7" t="s">
        <v>88</v>
      </c>
      <c r="E52" s="7" t="s">
        <v>171</v>
      </c>
      <c r="F52" s="7" t="s">
        <v>661</v>
      </c>
    </row>
    <row r="53" spans="2:6">
      <c r="B53" s="6" t="s">
        <v>40</v>
      </c>
    </row>
  </sheetData>
  <mergeCells count="18">
    <mergeCell ref="A34:J34"/>
    <mergeCell ref="K3:K4"/>
    <mergeCell ref="L3:L4"/>
    <mergeCell ref="M3:M4"/>
    <mergeCell ref="A5:J5"/>
    <mergeCell ref="B3:B4"/>
    <mergeCell ref="A9:J9"/>
    <mergeCell ref="A14:J14"/>
    <mergeCell ref="A18:J18"/>
    <mergeCell ref="A23:J23"/>
    <mergeCell ref="A30:J30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1.5" style="6" bestFit="1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15.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1202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20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1009</v>
      </c>
      <c r="C6" s="4" t="s">
        <v>1010</v>
      </c>
      <c r="D6" s="4" t="s">
        <v>1011</v>
      </c>
      <c r="E6" s="4" t="str">
        <f>"0,5863"</f>
        <v>0,5863</v>
      </c>
      <c r="F6" s="4" t="s">
        <v>43</v>
      </c>
      <c r="G6" s="9" t="s">
        <v>134</v>
      </c>
      <c r="H6" s="10" t="s">
        <v>772</v>
      </c>
      <c r="I6" s="10" t="s">
        <v>216</v>
      </c>
      <c r="J6" s="8"/>
      <c r="K6" s="8" t="str">
        <f>"250,0"</f>
        <v>250,0</v>
      </c>
      <c r="L6" s="8" t="str">
        <f>"146,5625"</f>
        <v>146,5625</v>
      </c>
      <c r="M6" s="4" t="s">
        <v>1188</v>
      </c>
    </row>
    <row r="7" spans="1:13">
      <c r="B7" s="6" t="s">
        <v>40</v>
      </c>
    </row>
    <row r="8" spans="1:13" ht="16">
      <c r="A8" s="86" t="s">
        <v>82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39</v>
      </c>
      <c r="B9" s="11" t="s">
        <v>976</v>
      </c>
      <c r="C9" s="4" t="s">
        <v>977</v>
      </c>
      <c r="D9" s="4" t="s">
        <v>978</v>
      </c>
      <c r="E9" s="4" t="str">
        <f>"0,5716"</f>
        <v>0,5716</v>
      </c>
      <c r="F9" s="4" t="s">
        <v>43</v>
      </c>
      <c r="G9" s="9" t="s">
        <v>283</v>
      </c>
      <c r="H9" s="10" t="s">
        <v>132</v>
      </c>
      <c r="I9" s="10" t="s">
        <v>132</v>
      </c>
      <c r="J9" s="8"/>
      <c r="K9" s="8" t="str">
        <f>"185,0"</f>
        <v>185,0</v>
      </c>
      <c r="L9" s="8" t="str">
        <f>"105,7460"</f>
        <v>105,7460</v>
      </c>
      <c r="M9" s="4" t="s">
        <v>1188</v>
      </c>
    </row>
    <row r="10" spans="1:13">
      <c r="B10" s="6" t="s">
        <v>40</v>
      </c>
    </row>
    <row r="11" spans="1:13">
      <c r="B11" s="6" t="s">
        <v>40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8.3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0.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15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5" t="s">
        <v>39</v>
      </c>
      <c r="B6" s="18" t="s">
        <v>991</v>
      </c>
      <c r="C6" s="12" t="s">
        <v>992</v>
      </c>
      <c r="D6" s="12" t="s">
        <v>993</v>
      </c>
      <c r="E6" s="12" t="str">
        <f>"0,6583"</f>
        <v>0,6583</v>
      </c>
      <c r="F6" s="12" t="s">
        <v>994</v>
      </c>
      <c r="G6" s="21" t="s">
        <v>133</v>
      </c>
      <c r="H6" s="21" t="s">
        <v>134</v>
      </c>
      <c r="I6" s="23" t="s">
        <v>158</v>
      </c>
      <c r="J6" s="15"/>
      <c r="K6" s="15" t="str">
        <f>"250,0"</f>
        <v>250,0</v>
      </c>
      <c r="L6" s="15" t="str">
        <f>"164,5875"</f>
        <v>164,5875</v>
      </c>
      <c r="M6" s="12" t="s">
        <v>995</v>
      </c>
    </row>
    <row r="7" spans="1:13">
      <c r="A7" s="37" t="s">
        <v>117</v>
      </c>
      <c r="B7" s="20" t="s">
        <v>996</v>
      </c>
      <c r="C7" s="14" t="s">
        <v>997</v>
      </c>
      <c r="D7" s="14" t="s">
        <v>998</v>
      </c>
      <c r="E7" s="14" t="str">
        <f>"0,6513"</f>
        <v>0,6513</v>
      </c>
      <c r="F7" s="14" t="s">
        <v>72</v>
      </c>
      <c r="G7" s="22" t="s">
        <v>144</v>
      </c>
      <c r="H7" s="22" t="s">
        <v>145</v>
      </c>
      <c r="I7" s="26" t="s">
        <v>165</v>
      </c>
      <c r="J7" s="17"/>
      <c r="K7" s="17" t="str">
        <f>"220,0"</f>
        <v>220,0</v>
      </c>
      <c r="L7" s="17" t="str">
        <f>"143,2860"</f>
        <v>143,2860</v>
      </c>
      <c r="M7" s="14" t="s">
        <v>1188</v>
      </c>
    </row>
    <row r="8" spans="1:13">
      <c r="B8" s="6" t="s">
        <v>40</v>
      </c>
    </row>
    <row r="9" spans="1:13" ht="16">
      <c r="A9" s="86" t="s">
        <v>82</v>
      </c>
      <c r="B9" s="86"/>
      <c r="C9" s="86"/>
      <c r="D9" s="86"/>
      <c r="E9" s="86"/>
      <c r="F9" s="86"/>
      <c r="G9" s="86"/>
      <c r="H9" s="86"/>
      <c r="I9" s="86"/>
      <c r="J9" s="86"/>
    </row>
    <row r="10" spans="1:13">
      <c r="A10" s="35" t="s">
        <v>39</v>
      </c>
      <c r="B10" s="18" t="s">
        <v>999</v>
      </c>
      <c r="C10" s="12" t="s">
        <v>1000</v>
      </c>
      <c r="D10" s="12" t="s">
        <v>83</v>
      </c>
      <c r="E10" s="12" t="str">
        <f>"0,5650"</f>
        <v>0,5650</v>
      </c>
      <c r="F10" s="12" t="s">
        <v>248</v>
      </c>
      <c r="G10" s="21" t="s">
        <v>249</v>
      </c>
      <c r="H10" s="23" t="s">
        <v>250</v>
      </c>
      <c r="I10" s="21" t="s">
        <v>242</v>
      </c>
      <c r="J10" s="15"/>
      <c r="K10" s="15" t="str">
        <f>"400,0"</f>
        <v>400,0</v>
      </c>
      <c r="L10" s="15" t="str">
        <f>"226,0000"</f>
        <v>226,0000</v>
      </c>
      <c r="M10" s="12" t="s">
        <v>174</v>
      </c>
    </row>
    <row r="11" spans="1:13">
      <c r="A11" s="37" t="s">
        <v>39</v>
      </c>
      <c r="B11" s="20" t="s">
        <v>999</v>
      </c>
      <c r="C11" s="14" t="s">
        <v>1001</v>
      </c>
      <c r="D11" s="14" t="s">
        <v>83</v>
      </c>
      <c r="E11" s="14" t="str">
        <f>"0,5650"</f>
        <v>0,5650</v>
      </c>
      <c r="F11" s="14" t="s">
        <v>248</v>
      </c>
      <c r="G11" s="22" t="s">
        <v>249</v>
      </c>
      <c r="H11" s="26" t="s">
        <v>250</v>
      </c>
      <c r="I11" s="22" t="s">
        <v>242</v>
      </c>
      <c r="J11" s="17"/>
      <c r="K11" s="17" t="str">
        <f>"400,0"</f>
        <v>400,0</v>
      </c>
      <c r="L11" s="17" t="str">
        <f>"238,4300"</f>
        <v>238,4300</v>
      </c>
      <c r="M11" s="14" t="s">
        <v>174</v>
      </c>
    </row>
    <row r="12" spans="1:13">
      <c r="B12" s="6" t="s">
        <v>40</v>
      </c>
    </row>
    <row r="13" spans="1:13" ht="16">
      <c r="A13" s="86" t="s">
        <v>118</v>
      </c>
      <c r="B13" s="86"/>
      <c r="C13" s="86"/>
      <c r="D13" s="86"/>
      <c r="E13" s="86"/>
      <c r="F13" s="86"/>
      <c r="G13" s="86"/>
      <c r="H13" s="86"/>
      <c r="I13" s="86"/>
      <c r="J13" s="86"/>
    </row>
    <row r="14" spans="1:13">
      <c r="A14" s="35" t="s">
        <v>39</v>
      </c>
      <c r="B14" s="18" t="s">
        <v>1002</v>
      </c>
      <c r="C14" s="12" t="s">
        <v>1003</v>
      </c>
      <c r="D14" s="12" t="s">
        <v>1004</v>
      </c>
      <c r="E14" s="12" t="str">
        <f>"0,5571"</f>
        <v>0,5571</v>
      </c>
      <c r="F14" s="12" t="s">
        <v>457</v>
      </c>
      <c r="G14" s="23" t="s">
        <v>235</v>
      </c>
      <c r="H14" s="21" t="s">
        <v>190</v>
      </c>
      <c r="I14" s="23" t="s">
        <v>249</v>
      </c>
      <c r="J14" s="15"/>
      <c r="K14" s="15" t="str">
        <f>"350,0"</f>
        <v>350,0</v>
      </c>
      <c r="L14" s="15" t="str">
        <f>"194,9850"</f>
        <v>194,9850</v>
      </c>
      <c r="M14" s="12" t="s">
        <v>1005</v>
      </c>
    </row>
    <row r="15" spans="1:13">
      <c r="A15" s="37" t="s">
        <v>117</v>
      </c>
      <c r="B15" s="20" t="s">
        <v>1006</v>
      </c>
      <c r="C15" s="14" t="s">
        <v>1007</v>
      </c>
      <c r="D15" s="14" t="s">
        <v>1008</v>
      </c>
      <c r="E15" s="14" t="str">
        <f>"0,5528"</f>
        <v>0,5528</v>
      </c>
      <c r="F15" s="14" t="s">
        <v>72</v>
      </c>
      <c r="G15" s="26" t="s">
        <v>150</v>
      </c>
      <c r="H15" s="26" t="s">
        <v>216</v>
      </c>
      <c r="I15" s="22" t="s">
        <v>129</v>
      </c>
      <c r="J15" s="17"/>
      <c r="K15" s="17" t="str">
        <f>"290,0"</f>
        <v>290,0</v>
      </c>
      <c r="L15" s="17" t="str">
        <f>"160,3120"</f>
        <v>160,3120</v>
      </c>
      <c r="M15" s="14" t="s">
        <v>1188</v>
      </c>
    </row>
    <row r="16" spans="1:13">
      <c r="B16" s="6" t="s">
        <v>40</v>
      </c>
    </row>
  </sheetData>
  <mergeCells count="14">
    <mergeCell ref="A9:J9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8.8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15.5" style="3" bestFit="1" customWidth="1"/>
    <col min="7" max="8" width="4.5" style="2" customWidth="1"/>
    <col min="9" max="9" width="5.5" style="2" customWidth="1"/>
    <col min="10" max="10" width="4.83203125" style="2" customWidth="1"/>
    <col min="11" max="11" width="10.5" style="2" bestFit="1" customWidth="1"/>
    <col min="12" max="12" width="7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272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1129</v>
      </c>
      <c r="C6" s="4" t="s">
        <v>1130</v>
      </c>
      <c r="D6" s="4" t="s">
        <v>1131</v>
      </c>
      <c r="E6" s="4" t="str">
        <f>"0,9113"</f>
        <v>0,9113</v>
      </c>
      <c r="F6" s="4" t="s">
        <v>307</v>
      </c>
      <c r="G6" s="9" t="s">
        <v>96</v>
      </c>
      <c r="H6" s="9" t="s">
        <v>52</v>
      </c>
      <c r="I6" s="10" t="s">
        <v>119</v>
      </c>
      <c r="J6" s="8"/>
      <c r="K6" s="8" t="str">
        <f>"95,0"</f>
        <v>95,0</v>
      </c>
      <c r="L6" s="8" t="str">
        <f>"86,5735"</f>
        <v>86,5735</v>
      </c>
      <c r="M6" s="4" t="s">
        <v>1132</v>
      </c>
    </row>
    <row r="7" spans="1:13">
      <c r="B7" s="6" t="s">
        <v>40</v>
      </c>
    </row>
    <row r="8" spans="1:13" ht="16">
      <c r="A8" s="86" t="s">
        <v>53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39</v>
      </c>
      <c r="B9" s="11" t="s">
        <v>1133</v>
      </c>
      <c r="C9" s="4" t="s">
        <v>1134</v>
      </c>
      <c r="D9" s="4" t="s">
        <v>1135</v>
      </c>
      <c r="E9" s="4" t="str">
        <f>"0,6345"</f>
        <v>0,6345</v>
      </c>
      <c r="F9" s="4" t="s">
        <v>43</v>
      </c>
      <c r="G9" s="9" t="s">
        <v>96</v>
      </c>
      <c r="H9" s="9" t="s">
        <v>52</v>
      </c>
      <c r="I9" s="10" t="s">
        <v>55</v>
      </c>
      <c r="J9" s="8"/>
      <c r="K9" s="8" t="str">
        <f>"95,0"</f>
        <v>95,0</v>
      </c>
      <c r="L9" s="8" t="str">
        <f>"60,2728"</f>
        <v>60,2728</v>
      </c>
      <c r="M9" s="4" t="s">
        <v>1188</v>
      </c>
    </row>
    <row r="10" spans="1:13">
      <c r="B10" s="6" t="s">
        <v>40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86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0.8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8.5" style="3" bestFit="1" customWidth="1"/>
    <col min="14" max="16384" width="9.1640625" style="3"/>
  </cols>
  <sheetData>
    <row r="1" spans="1:13" s="2" customFormat="1" ht="29" customHeight="1">
      <c r="A1" s="74" t="s">
        <v>1205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124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326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1064</v>
      </c>
      <c r="C6" s="4" t="s">
        <v>693</v>
      </c>
      <c r="D6" s="4" t="s">
        <v>1065</v>
      </c>
      <c r="E6" s="4" t="str">
        <f>"1,3285"</f>
        <v>1,3285</v>
      </c>
      <c r="F6" s="4" t="s">
        <v>1066</v>
      </c>
      <c r="G6" s="9" t="s">
        <v>96</v>
      </c>
      <c r="H6" s="9" t="s">
        <v>119</v>
      </c>
      <c r="I6" s="9" t="s">
        <v>277</v>
      </c>
      <c r="J6" s="8"/>
      <c r="K6" s="8" t="str">
        <f>"110,0"</f>
        <v>110,0</v>
      </c>
      <c r="L6" s="8" t="str">
        <f>"146,1350"</f>
        <v>146,1350</v>
      </c>
      <c r="M6" s="4" t="s">
        <v>1067</v>
      </c>
    </row>
    <row r="7" spans="1:13">
      <c r="B7" s="6" t="s">
        <v>40</v>
      </c>
    </row>
    <row r="8" spans="1:13" ht="16">
      <c r="A8" s="86" t="s">
        <v>89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45</v>
      </c>
      <c r="B9" s="11" t="s">
        <v>1068</v>
      </c>
      <c r="C9" s="4" t="s">
        <v>1069</v>
      </c>
      <c r="D9" s="4" t="s">
        <v>804</v>
      </c>
      <c r="E9" s="4" t="str">
        <f>"1,2560"</f>
        <v>1,2560</v>
      </c>
      <c r="F9" s="4" t="s">
        <v>476</v>
      </c>
      <c r="G9" s="10" t="s">
        <v>52</v>
      </c>
      <c r="H9" s="10" t="s">
        <v>52</v>
      </c>
      <c r="I9" s="10" t="s">
        <v>52</v>
      </c>
      <c r="J9" s="8"/>
      <c r="K9" s="8" t="str">
        <f>"0.00"</f>
        <v>0.00</v>
      </c>
      <c r="L9" s="8" t="str">
        <f>"0,0000"</f>
        <v>0,0000</v>
      </c>
      <c r="M9" s="4" t="s">
        <v>477</v>
      </c>
    </row>
    <row r="10" spans="1:13">
      <c r="B10" s="6" t="s">
        <v>40</v>
      </c>
    </row>
    <row r="11" spans="1:13" ht="16">
      <c r="A11" s="86" t="s">
        <v>272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3">
      <c r="A12" s="35" t="s">
        <v>39</v>
      </c>
      <c r="B12" s="18" t="s">
        <v>445</v>
      </c>
      <c r="C12" s="12" t="s">
        <v>446</v>
      </c>
      <c r="D12" s="12" t="s">
        <v>447</v>
      </c>
      <c r="E12" s="12" t="str">
        <f>"1,1900"</f>
        <v>1,1900</v>
      </c>
      <c r="F12" s="12" t="s">
        <v>448</v>
      </c>
      <c r="G12" s="21" t="s">
        <v>180</v>
      </c>
      <c r="H12" s="21" t="s">
        <v>143</v>
      </c>
      <c r="I12" s="23" t="s">
        <v>301</v>
      </c>
      <c r="J12" s="15"/>
      <c r="K12" s="15" t="str">
        <f>"145,0"</f>
        <v>145,0</v>
      </c>
      <c r="L12" s="15" t="str">
        <f>"172,5500"</f>
        <v>172,5500</v>
      </c>
      <c r="M12" s="12" t="s">
        <v>1188</v>
      </c>
    </row>
    <row r="13" spans="1:13">
      <c r="A13" s="37" t="s">
        <v>117</v>
      </c>
      <c r="B13" s="20" t="s">
        <v>1070</v>
      </c>
      <c r="C13" s="14" t="s">
        <v>1071</v>
      </c>
      <c r="D13" s="14" t="s">
        <v>1072</v>
      </c>
      <c r="E13" s="14" t="str">
        <f>"1,2266"</f>
        <v>1,2266</v>
      </c>
      <c r="F13" s="14" t="s">
        <v>43</v>
      </c>
      <c r="G13" s="22" t="s">
        <v>116</v>
      </c>
      <c r="H13" s="22" t="s">
        <v>278</v>
      </c>
      <c r="I13" s="26" t="s">
        <v>315</v>
      </c>
      <c r="J13" s="17"/>
      <c r="K13" s="17" t="str">
        <f>"115,0"</f>
        <v>115,0</v>
      </c>
      <c r="L13" s="17" t="str">
        <f>"141,0590"</f>
        <v>141,0590</v>
      </c>
      <c r="M13" s="14" t="s">
        <v>1228</v>
      </c>
    </row>
    <row r="14" spans="1:13">
      <c r="B14" s="6" t="s">
        <v>40</v>
      </c>
    </row>
    <row r="15" spans="1:13" ht="16">
      <c r="A15" s="86" t="s">
        <v>458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3">
      <c r="A16" s="35" t="s">
        <v>39</v>
      </c>
      <c r="B16" s="18" t="s">
        <v>470</v>
      </c>
      <c r="C16" s="12" t="s">
        <v>471</v>
      </c>
      <c r="D16" s="12" t="s">
        <v>472</v>
      </c>
      <c r="E16" s="12" t="str">
        <f>"1,0491"</f>
        <v>1,0491</v>
      </c>
      <c r="F16" s="12" t="s">
        <v>410</v>
      </c>
      <c r="G16" s="21" t="s">
        <v>106</v>
      </c>
      <c r="H16" s="23" t="s">
        <v>143</v>
      </c>
      <c r="I16" s="23" t="s">
        <v>143</v>
      </c>
      <c r="J16" s="15"/>
      <c r="K16" s="15" t="str">
        <f>"140,0"</f>
        <v>140,0</v>
      </c>
      <c r="L16" s="15" t="str">
        <f>"146,8740"</f>
        <v>146,8740</v>
      </c>
      <c r="M16" s="12" t="s">
        <v>1188</v>
      </c>
    </row>
    <row r="17" spans="1:13">
      <c r="A17" s="37" t="s">
        <v>39</v>
      </c>
      <c r="B17" s="20" t="s">
        <v>1073</v>
      </c>
      <c r="C17" s="14" t="s">
        <v>1074</v>
      </c>
      <c r="D17" s="14" t="s">
        <v>1075</v>
      </c>
      <c r="E17" s="14" t="str">
        <f>"1,0765"</f>
        <v>1,0765</v>
      </c>
      <c r="F17" s="14" t="s">
        <v>43</v>
      </c>
      <c r="G17" s="22" t="s">
        <v>269</v>
      </c>
      <c r="H17" s="22" t="s">
        <v>98</v>
      </c>
      <c r="I17" s="26" t="s">
        <v>26</v>
      </c>
      <c r="J17" s="17"/>
      <c r="K17" s="17" t="str">
        <f>"50,0"</f>
        <v>50,0</v>
      </c>
      <c r="L17" s="17" t="str">
        <f>"59,9611"</f>
        <v>59,9611</v>
      </c>
      <c r="M17" s="14" t="s">
        <v>1076</v>
      </c>
    </row>
    <row r="18" spans="1:13">
      <c r="B18" s="6" t="s">
        <v>40</v>
      </c>
    </row>
    <row r="19" spans="1:13" ht="16">
      <c r="A19" s="86" t="s">
        <v>8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3">
      <c r="A20" s="38" t="s">
        <v>39</v>
      </c>
      <c r="B20" s="11" t="s">
        <v>473</v>
      </c>
      <c r="C20" s="4" t="s">
        <v>474</v>
      </c>
      <c r="D20" s="4" t="s">
        <v>475</v>
      </c>
      <c r="E20" s="4" t="str">
        <f>"0,9522"</f>
        <v>0,9522</v>
      </c>
      <c r="F20" s="4" t="s">
        <v>476</v>
      </c>
      <c r="G20" s="9" t="s">
        <v>106</v>
      </c>
      <c r="H20" s="10" t="s">
        <v>322</v>
      </c>
      <c r="I20" s="9" t="s">
        <v>322</v>
      </c>
      <c r="J20" s="8"/>
      <c r="K20" s="8" t="str">
        <f>"147,5"</f>
        <v>147,5</v>
      </c>
      <c r="L20" s="8" t="str">
        <f>"140,4495"</f>
        <v>140,4495</v>
      </c>
      <c r="M20" s="4" t="s">
        <v>477</v>
      </c>
    </row>
    <row r="21" spans="1:13">
      <c r="B21" s="6" t="s">
        <v>40</v>
      </c>
    </row>
    <row r="22" spans="1:13" ht="16">
      <c r="A22" s="86" t="s">
        <v>46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3">
      <c r="A23" s="38" t="s">
        <v>39</v>
      </c>
      <c r="B23" s="11" t="s">
        <v>837</v>
      </c>
      <c r="C23" s="4" t="s">
        <v>838</v>
      </c>
      <c r="D23" s="4" t="s">
        <v>839</v>
      </c>
      <c r="E23" s="4" t="str">
        <f>"0,8648"</f>
        <v>0,8648</v>
      </c>
      <c r="F23" s="4" t="s">
        <v>128</v>
      </c>
      <c r="G23" s="10" t="s">
        <v>205</v>
      </c>
      <c r="H23" s="10" t="s">
        <v>205</v>
      </c>
      <c r="I23" s="9" t="s">
        <v>205</v>
      </c>
      <c r="J23" s="8"/>
      <c r="K23" s="8" t="str">
        <f>"160,0"</f>
        <v>160,0</v>
      </c>
      <c r="L23" s="8" t="str">
        <f>"138,3680"</f>
        <v>138,3680</v>
      </c>
      <c r="M23" s="4" t="s">
        <v>136</v>
      </c>
    </row>
    <row r="24" spans="1:13">
      <c r="B24" s="6" t="s">
        <v>40</v>
      </c>
    </row>
    <row r="25" spans="1:13" ht="16">
      <c r="A25" s="86" t="s">
        <v>458</v>
      </c>
      <c r="B25" s="86"/>
      <c r="C25" s="86"/>
      <c r="D25" s="86"/>
      <c r="E25" s="86"/>
      <c r="F25" s="86"/>
      <c r="G25" s="86"/>
      <c r="H25" s="86"/>
      <c r="I25" s="86"/>
      <c r="J25" s="86"/>
    </row>
    <row r="26" spans="1:13">
      <c r="A26" s="35" t="s">
        <v>39</v>
      </c>
      <c r="B26" s="18" t="s">
        <v>1077</v>
      </c>
      <c r="C26" s="12" t="s">
        <v>1078</v>
      </c>
      <c r="D26" s="12" t="s">
        <v>1079</v>
      </c>
      <c r="E26" s="12" t="str">
        <f>"0,7832"</f>
        <v>0,7832</v>
      </c>
      <c r="F26" s="12" t="s">
        <v>410</v>
      </c>
      <c r="G26" s="21" t="s">
        <v>152</v>
      </c>
      <c r="H26" s="23" t="s">
        <v>131</v>
      </c>
      <c r="I26" s="21" t="s">
        <v>131</v>
      </c>
      <c r="J26" s="15"/>
      <c r="K26" s="15" t="str">
        <f>"180,0"</f>
        <v>180,0</v>
      </c>
      <c r="L26" s="15" t="str">
        <f>"140,9760"</f>
        <v>140,9760</v>
      </c>
      <c r="M26" s="12" t="s">
        <v>1188</v>
      </c>
    </row>
    <row r="27" spans="1:13">
      <c r="A27" s="37" t="s">
        <v>39</v>
      </c>
      <c r="B27" s="20" t="s">
        <v>490</v>
      </c>
      <c r="C27" s="14" t="s">
        <v>491</v>
      </c>
      <c r="D27" s="14" t="s">
        <v>492</v>
      </c>
      <c r="E27" s="14" t="str">
        <f>"0,7911"</f>
        <v>0,7911</v>
      </c>
      <c r="F27" s="14" t="s">
        <v>493</v>
      </c>
      <c r="G27" s="26" t="s">
        <v>132</v>
      </c>
      <c r="H27" s="22" t="s">
        <v>132</v>
      </c>
      <c r="I27" s="22" t="s">
        <v>144</v>
      </c>
      <c r="J27" s="17"/>
      <c r="K27" s="17" t="str">
        <f>"200,0"</f>
        <v>200,0</v>
      </c>
      <c r="L27" s="17" t="str">
        <f>"158,2200"</f>
        <v>158,2200</v>
      </c>
      <c r="M27" s="14" t="s">
        <v>1188</v>
      </c>
    </row>
    <row r="28" spans="1:13">
      <c r="B28" s="6" t="s">
        <v>40</v>
      </c>
    </row>
    <row r="29" spans="1:13" ht="16">
      <c r="A29" s="86" t="s">
        <v>8</v>
      </c>
      <c r="B29" s="86"/>
      <c r="C29" s="86"/>
      <c r="D29" s="86"/>
      <c r="E29" s="86"/>
      <c r="F29" s="86"/>
      <c r="G29" s="86"/>
      <c r="H29" s="86"/>
      <c r="I29" s="86"/>
      <c r="J29" s="86"/>
    </row>
    <row r="30" spans="1:13">
      <c r="A30" s="35" t="s">
        <v>39</v>
      </c>
      <c r="B30" s="18" t="s">
        <v>863</v>
      </c>
      <c r="C30" s="12" t="s">
        <v>864</v>
      </c>
      <c r="D30" s="12" t="s">
        <v>865</v>
      </c>
      <c r="E30" s="12" t="str">
        <f>"0,7544"</f>
        <v>0,7544</v>
      </c>
      <c r="F30" s="12" t="s">
        <v>128</v>
      </c>
      <c r="G30" s="23" t="s">
        <v>179</v>
      </c>
      <c r="H30" s="21" t="s">
        <v>61</v>
      </c>
      <c r="I30" s="21" t="s">
        <v>63</v>
      </c>
      <c r="J30" s="15"/>
      <c r="K30" s="15" t="str">
        <f>"150,0"</f>
        <v>150,0</v>
      </c>
      <c r="L30" s="15" t="str">
        <f>"113,1600"</f>
        <v>113,1600</v>
      </c>
      <c r="M30" s="12" t="s">
        <v>866</v>
      </c>
    </row>
    <row r="31" spans="1:13">
      <c r="A31" s="36" t="s">
        <v>39</v>
      </c>
      <c r="B31" s="19" t="s">
        <v>279</v>
      </c>
      <c r="C31" s="13" t="s">
        <v>280</v>
      </c>
      <c r="D31" s="13" t="s">
        <v>281</v>
      </c>
      <c r="E31" s="13" t="str">
        <f>"0,7337"</f>
        <v>0,7337</v>
      </c>
      <c r="F31" s="13" t="s">
        <v>282</v>
      </c>
      <c r="G31" s="24" t="s">
        <v>181</v>
      </c>
      <c r="H31" s="24" t="s">
        <v>308</v>
      </c>
      <c r="I31" s="24" t="s">
        <v>165</v>
      </c>
      <c r="J31" s="16"/>
      <c r="K31" s="16" t="str">
        <f>"235,0"</f>
        <v>235,0</v>
      </c>
      <c r="L31" s="16" t="str">
        <f>"172,4195"</f>
        <v>172,4195</v>
      </c>
      <c r="M31" s="13" t="s">
        <v>1188</v>
      </c>
    </row>
    <row r="32" spans="1:13">
      <c r="A32" s="36" t="s">
        <v>117</v>
      </c>
      <c r="B32" s="19" t="s">
        <v>1080</v>
      </c>
      <c r="C32" s="13" t="s">
        <v>1081</v>
      </c>
      <c r="D32" s="13" t="s">
        <v>44</v>
      </c>
      <c r="E32" s="13" t="str">
        <f>"0,7214"</f>
        <v>0,7214</v>
      </c>
      <c r="F32" s="13" t="s">
        <v>476</v>
      </c>
      <c r="G32" s="24" t="s">
        <v>144</v>
      </c>
      <c r="H32" s="25" t="s">
        <v>163</v>
      </c>
      <c r="I32" s="24" t="s">
        <v>145</v>
      </c>
      <c r="J32" s="16"/>
      <c r="K32" s="16" t="str">
        <f>"220,0"</f>
        <v>220,0</v>
      </c>
      <c r="L32" s="16" t="str">
        <f>"158,7080"</f>
        <v>158,7080</v>
      </c>
      <c r="M32" s="13" t="s">
        <v>1229</v>
      </c>
    </row>
    <row r="33" spans="1:13">
      <c r="A33" s="36" t="s">
        <v>263</v>
      </c>
      <c r="B33" s="19" t="s">
        <v>1082</v>
      </c>
      <c r="C33" s="13" t="s">
        <v>1083</v>
      </c>
      <c r="D33" s="13" t="s">
        <v>358</v>
      </c>
      <c r="E33" s="13" t="str">
        <f>"0,7126"</f>
        <v>0,7126</v>
      </c>
      <c r="F33" s="13" t="s">
        <v>1084</v>
      </c>
      <c r="G33" s="24" t="s">
        <v>181</v>
      </c>
      <c r="H33" s="24" t="s">
        <v>145</v>
      </c>
      <c r="I33" s="25" t="s">
        <v>165</v>
      </c>
      <c r="J33" s="16"/>
      <c r="K33" s="16" t="str">
        <f>"220,0"</f>
        <v>220,0</v>
      </c>
      <c r="L33" s="16" t="str">
        <f>"156,7720"</f>
        <v>156,7720</v>
      </c>
      <c r="M33" s="13" t="s">
        <v>1188</v>
      </c>
    </row>
    <row r="34" spans="1:13">
      <c r="A34" s="37" t="s">
        <v>39</v>
      </c>
      <c r="B34" s="20" t="s">
        <v>9</v>
      </c>
      <c r="C34" s="14" t="s">
        <v>359</v>
      </c>
      <c r="D34" s="14" t="s">
        <v>11</v>
      </c>
      <c r="E34" s="14" t="str">
        <f>"0,7578"</f>
        <v>0,7578</v>
      </c>
      <c r="F34" s="14" t="s">
        <v>12</v>
      </c>
      <c r="G34" s="22" t="s">
        <v>107</v>
      </c>
      <c r="H34" s="22" t="s">
        <v>205</v>
      </c>
      <c r="I34" s="22" t="s">
        <v>353</v>
      </c>
      <c r="J34" s="17"/>
      <c r="K34" s="17" t="str">
        <f>"165,0"</f>
        <v>165,0</v>
      </c>
      <c r="L34" s="17" t="str">
        <f>"176,3022"</f>
        <v>176,3022</v>
      </c>
      <c r="M34" s="14" t="s">
        <v>1188</v>
      </c>
    </row>
    <row r="35" spans="1:13">
      <c r="B35" s="6" t="s">
        <v>40</v>
      </c>
    </row>
    <row r="36" spans="1:13" ht="16">
      <c r="A36" s="86" t="s">
        <v>15</v>
      </c>
      <c r="B36" s="86"/>
      <c r="C36" s="86"/>
      <c r="D36" s="86"/>
      <c r="E36" s="86"/>
      <c r="F36" s="86"/>
      <c r="G36" s="86"/>
      <c r="H36" s="86"/>
      <c r="I36" s="86"/>
      <c r="J36" s="86"/>
    </row>
    <row r="37" spans="1:13">
      <c r="A37" s="35" t="s">
        <v>39</v>
      </c>
      <c r="B37" s="18" t="s">
        <v>1085</v>
      </c>
      <c r="C37" s="12" t="s">
        <v>1086</v>
      </c>
      <c r="D37" s="12" t="s">
        <v>1087</v>
      </c>
      <c r="E37" s="12" t="str">
        <f>"0,6916"</f>
        <v>0,6916</v>
      </c>
      <c r="F37" s="12" t="s">
        <v>1088</v>
      </c>
      <c r="G37" s="21" t="s">
        <v>294</v>
      </c>
      <c r="H37" s="21" t="s">
        <v>180</v>
      </c>
      <c r="I37" s="23" t="s">
        <v>143</v>
      </c>
      <c r="J37" s="15"/>
      <c r="K37" s="15" t="str">
        <f>"135,0"</f>
        <v>135,0</v>
      </c>
      <c r="L37" s="15" t="str">
        <f>"93,3660"</f>
        <v>93,3660</v>
      </c>
      <c r="M37" s="12" t="s">
        <v>1089</v>
      </c>
    </row>
    <row r="38" spans="1:13">
      <c r="A38" s="36" t="s">
        <v>39</v>
      </c>
      <c r="B38" s="19" t="s">
        <v>1090</v>
      </c>
      <c r="C38" s="13" t="s">
        <v>1091</v>
      </c>
      <c r="D38" s="13" t="s">
        <v>531</v>
      </c>
      <c r="E38" s="13" t="str">
        <f>"0,6827"</f>
        <v>0,6827</v>
      </c>
      <c r="F38" s="13" t="s">
        <v>43</v>
      </c>
      <c r="G38" s="24" t="s">
        <v>171</v>
      </c>
      <c r="H38" s="24" t="s">
        <v>133</v>
      </c>
      <c r="I38" s="25" t="s">
        <v>134</v>
      </c>
      <c r="J38" s="16"/>
      <c r="K38" s="16" t="str">
        <f>"240,0"</f>
        <v>240,0</v>
      </c>
      <c r="L38" s="16" t="str">
        <f>"163,8480"</f>
        <v>163,8480</v>
      </c>
      <c r="M38" s="13" t="s">
        <v>1188</v>
      </c>
    </row>
    <row r="39" spans="1:13">
      <c r="A39" s="36" t="s">
        <v>39</v>
      </c>
      <c r="B39" s="19" t="s">
        <v>516</v>
      </c>
      <c r="C39" s="13" t="s">
        <v>517</v>
      </c>
      <c r="D39" s="13" t="s">
        <v>161</v>
      </c>
      <c r="E39" s="13" t="str">
        <f>"0,6704"</f>
        <v>0,6704</v>
      </c>
      <c r="F39" s="13" t="s">
        <v>518</v>
      </c>
      <c r="G39" s="24" t="s">
        <v>171</v>
      </c>
      <c r="H39" s="24" t="s">
        <v>134</v>
      </c>
      <c r="I39" s="25" t="s">
        <v>158</v>
      </c>
      <c r="J39" s="16"/>
      <c r="K39" s="16" t="str">
        <f>"250,0"</f>
        <v>250,0</v>
      </c>
      <c r="L39" s="16" t="str">
        <f>"167,6000"</f>
        <v>167,6000</v>
      </c>
      <c r="M39" s="13" t="s">
        <v>1188</v>
      </c>
    </row>
    <row r="40" spans="1:13">
      <c r="A40" s="36" t="s">
        <v>117</v>
      </c>
      <c r="B40" s="19" t="s">
        <v>1092</v>
      </c>
      <c r="C40" s="13" t="s">
        <v>1093</v>
      </c>
      <c r="D40" s="13" t="s">
        <v>1094</v>
      </c>
      <c r="E40" s="13" t="str">
        <f>"0,6888"</f>
        <v>0,6888</v>
      </c>
      <c r="F40" s="13" t="s">
        <v>140</v>
      </c>
      <c r="G40" s="24" t="s">
        <v>133</v>
      </c>
      <c r="H40" s="25" t="s">
        <v>134</v>
      </c>
      <c r="I40" s="25" t="s">
        <v>134</v>
      </c>
      <c r="J40" s="16"/>
      <c r="K40" s="16" t="str">
        <f>"240,0"</f>
        <v>240,0</v>
      </c>
      <c r="L40" s="16" t="str">
        <f>"165,3120"</f>
        <v>165,3120</v>
      </c>
      <c r="M40" s="13" t="s">
        <v>1188</v>
      </c>
    </row>
    <row r="41" spans="1:13">
      <c r="A41" s="36" t="s">
        <v>39</v>
      </c>
      <c r="B41" s="19" t="s">
        <v>1028</v>
      </c>
      <c r="C41" s="13" t="s">
        <v>1029</v>
      </c>
      <c r="D41" s="13" t="s">
        <v>148</v>
      </c>
      <c r="E41" s="13" t="str">
        <f>"0,6790"</f>
        <v>0,6790</v>
      </c>
      <c r="F41" s="13" t="s">
        <v>1030</v>
      </c>
      <c r="G41" s="24" t="s">
        <v>132</v>
      </c>
      <c r="H41" s="25" t="s">
        <v>144</v>
      </c>
      <c r="I41" s="25" t="s">
        <v>144</v>
      </c>
      <c r="J41" s="16"/>
      <c r="K41" s="16" t="str">
        <f>"190,0"</f>
        <v>190,0</v>
      </c>
      <c r="L41" s="16" t="str">
        <f>"146,0393"</f>
        <v>146,0393</v>
      </c>
      <c r="M41" s="13" t="s">
        <v>1031</v>
      </c>
    </row>
    <row r="42" spans="1:13">
      <c r="A42" s="36" t="s">
        <v>39</v>
      </c>
      <c r="B42" s="19" t="s">
        <v>159</v>
      </c>
      <c r="C42" s="13" t="s">
        <v>160</v>
      </c>
      <c r="D42" s="13" t="s">
        <v>161</v>
      </c>
      <c r="E42" s="13" t="str">
        <f>"0,6704"</f>
        <v>0,6704</v>
      </c>
      <c r="F42" s="13" t="s">
        <v>162</v>
      </c>
      <c r="G42" s="24" t="s">
        <v>165</v>
      </c>
      <c r="H42" s="24" t="s">
        <v>134</v>
      </c>
      <c r="I42" s="25" t="s">
        <v>158</v>
      </c>
      <c r="J42" s="16"/>
      <c r="K42" s="16" t="str">
        <f>"250,0"</f>
        <v>250,0</v>
      </c>
      <c r="L42" s="16" t="str">
        <f>"205,8128"</f>
        <v>205,8128</v>
      </c>
      <c r="M42" s="13" t="s">
        <v>1188</v>
      </c>
    </row>
    <row r="43" spans="1:13">
      <c r="A43" s="37" t="s">
        <v>117</v>
      </c>
      <c r="B43" s="20" t="s">
        <v>1095</v>
      </c>
      <c r="C43" s="14" t="s">
        <v>1096</v>
      </c>
      <c r="D43" s="14" t="s">
        <v>1097</v>
      </c>
      <c r="E43" s="14" t="str">
        <f>"0,6893"</f>
        <v>0,6893</v>
      </c>
      <c r="F43" s="14" t="s">
        <v>43</v>
      </c>
      <c r="G43" s="26" t="s">
        <v>144</v>
      </c>
      <c r="H43" s="22" t="s">
        <v>144</v>
      </c>
      <c r="I43" s="26" t="s">
        <v>181</v>
      </c>
      <c r="J43" s="17"/>
      <c r="K43" s="17" t="str">
        <f>"200,0"</f>
        <v>200,0</v>
      </c>
      <c r="L43" s="17" t="str">
        <f>"186,1110"</f>
        <v>186,1110</v>
      </c>
      <c r="M43" s="14" t="s">
        <v>1188</v>
      </c>
    </row>
    <row r="44" spans="1:13">
      <c r="B44" s="6" t="s">
        <v>40</v>
      </c>
    </row>
    <row r="45" spans="1:13" ht="16">
      <c r="A45" s="86" t="s">
        <v>53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3">
      <c r="A46" s="35" t="s">
        <v>39</v>
      </c>
      <c r="B46" s="18" t="s">
        <v>545</v>
      </c>
      <c r="C46" s="12" t="s">
        <v>546</v>
      </c>
      <c r="D46" s="12" t="s">
        <v>547</v>
      </c>
      <c r="E46" s="12" t="str">
        <f>"0,6410"</f>
        <v>0,6410</v>
      </c>
      <c r="F46" s="12" t="s">
        <v>548</v>
      </c>
      <c r="G46" s="21" t="s">
        <v>173</v>
      </c>
      <c r="H46" s="23" t="s">
        <v>549</v>
      </c>
      <c r="I46" s="23" t="s">
        <v>549</v>
      </c>
      <c r="J46" s="15"/>
      <c r="K46" s="15" t="str">
        <f>"255,0"</f>
        <v>255,0</v>
      </c>
      <c r="L46" s="15" t="str">
        <f>"163,4550"</f>
        <v>163,4550</v>
      </c>
      <c r="M46" s="12" t="s">
        <v>1191</v>
      </c>
    </row>
    <row r="47" spans="1:13">
      <c r="A47" s="36" t="s">
        <v>117</v>
      </c>
      <c r="B47" s="19" t="s">
        <v>536</v>
      </c>
      <c r="C47" s="13" t="s">
        <v>537</v>
      </c>
      <c r="D47" s="13" t="s">
        <v>538</v>
      </c>
      <c r="E47" s="13" t="str">
        <f>"0,6515"</f>
        <v>0,6515</v>
      </c>
      <c r="F47" s="13" t="s">
        <v>539</v>
      </c>
      <c r="G47" s="24" t="s">
        <v>145</v>
      </c>
      <c r="H47" s="24" t="s">
        <v>133</v>
      </c>
      <c r="I47" s="25" t="s">
        <v>134</v>
      </c>
      <c r="J47" s="16"/>
      <c r="K47" s="16" t="str">
        <f>"240,0"</f>
        <v>240,0</v>
      </c>
      <c r="L47" s="16" t="str">
        <f>"156,3600"</f>
        <v>156,3600</v>
      </c>
      <c r="M47" s="13" t="s">
        <v>540</v>
      </c>
    </row>
    <row r="48" spans="1:13">
      <c r="A48" s="36" t="s">
        <v>263</v>
      </c>
      <c r="B48" s="19" t="s">
        <v>893</v>
      </c>
      <c r="C48" s="13" t="s">
        <v>894</v>
      </c>
      <c r="D48" s="13" t="s">
        <v>547</v>
      </c>
      <c r="E48" s="13" t="str">
        <f>"0,6410"</f>
        <v>0,6410</v>
      </c>
      <c r="F48" s="13" t="s">
        <v>895</v>
      </c>
      <c r="G48" s="25" t="s">
        <v>65</v>
      </c>
      <c r="H48" s="24" t="s">
        <v>163</v>
      </c>
      <c r="I48" s="25" t="s">
        <v>1098</v>
      </c>
      <c r="J48" s="16"/>
      <c r="K48" s="16" t="str">
        <f>"215,0"</f>
        <v>215,0</v>
      </c>
      <c r="L48" s="16" t="str">
        <f>"137,8150"</f>
        <v>137,8150</v>
      </c>
      <c r="M48" s="13" t="s">
        <v>317</v>
      </c>
    </row>
    <row r="49" spans="1:13">
      <c r="A49" s="37" t="s">
        <v>598</v>
      </c>
      <c r="B49" s="20" t="s">
        <v>1099</v>
      </c>
      <c r="C49" s="14" t="s">
        <v>1100</v>
      </c>
      <c r="D49" s="14" t="s">
        <v>184</v>
      </c>
      <c r="E49" s="14" t="str">
        <f>"0,6395"</f>
        <v>0,6395</v>
      </c>
      <c r="F49" s="14" t="s">
        <v>43</v>
      </c>
      <c r="G49" s="22" t="s">
        <v>132</v>
      </c>
      <c r="H49" s="22" t="s">
        <v>144</v>
      </c>
      <c r="I49" s="22" t="s">
        <v>181</v>
      </c>
      <c r="J49" s="17"/>
      <c r="K49" s="17" t="str">
        <f>"210,0"</f>
        <v>210,0</v>
      </c>
      <c r="L49" s="17" t="str">
        <f>"134,2950"</f>
        <v>134,2950</v>
      </c>
      <c r="M49" s="14" t="s">
        <v>1188</v>
      </c>
    </row>
    <row r="50" spans="1:13">
      <c r="B50" s="6" t="s">
        <v>40</v>
      </c>
    </row>
    <row r="51" spans="1:13" ht="16">
      <c r="A51" s="86" t="s">
        <v>20</v>
      </c>
      <c r="B51" s="86"/>
      <c r="C51" s="86"/>
      <c r="D51" s="86"/>
      <c r="E51" s="86"/>
      <c r="F51" s="86"/>
      <c r="G51" s="86"/>
      <c r="H51" s="86"/>
      <c r="I51" s="86"/>
      <c r="J51" s="86"/>
    </row>
    <row r="52" spans="1:13">
      <c r="A52" s="35" t="s">
        <v>39</v>
      </c>
      <c r="B52" s="18" t="s">
        <v>550</v>
      </c>
      <c r="C52" s="12" t="s">
        <v>551</v>
      </c>
      <c r="D52" s="12" t="s">
        <v>108</v>
      </c>
      <c r="E52" s="12" t="str">
        <f>"0,6098"</f>
        <v>0,6098</v>
      </c>
      <c r="F52" s="12" t="s">
        <v>313</v>
      </c>
      <c r="G52" s="21" t="s">
        <v>144</v>
      </c>
      <c r="H52" s="21" t="s">
        <v>181</v>
      </c>
      <c r="I52" s="21" t="s">
        <v>163</v>
      </c>
      <c r="J52" s="15"/>
      <c r="K52" s="15" t="str">
        <f>"215,0"</f>
        <v>215,0</v>
      </c>
      <c r="L52" s="15" t="str">
        <f>"131,1070"</f>
        <v>131,1070</v>
      </c>
      <c r="M52" s="12" t="s">
        <v>317</v>
      </c>
    </row>
    <row r="53" spans="1:13">
      <c r="A53" s="36" t="s">
        <v>39</v>
      </c>
      <c r="B53" s="19" t="s">
        <v>21</v>
      </c>
      <c r="C53" s="13" t="s">
        <v>22</v>
      </c>
      <c r="D53" s="13" t="s">
        <v>373</v>
      </c>
      <c r="E53" s="13" t="str">
        <f>"0,6123"</f>
        <v>0,6123</v>
      </c>
      <c r="F53" s="13" t="s">
        <v>23</v>
      </c>
      <c r="G53" s="25" t="s">
        <v>134</v>
      </c>
      <c r="H53" s="24" t="s">
        <v>158</v>
      </c>
      <c r="I53" s="25" t="s">
        <v>204</v>
      </c>
      <c r="J53" s="16"/>
      <c r="K53" s="16" t="str">
        <f>"260,0"</f>
        <v>260,0</v>
      </c>
      <c r="L53" s="16" t="str">
        <f>"159,1980"</f>
        <v>159,1980</v>
      </c>
      <c r="M53" s="13" t="s">
        <v>1188</v>
      </c>
    </row>
    <row r="54" spans="1:13">
      <c r="A54" s="36" t="s">
        <v>117</v>
      </c>
      <c r="B54" s="19" t="s">
        <v>552</v>
      </c>
      <c r="C54" s="13" t="s">
        <v>553</v>
      </c>
      <c r="D54" s="13" t="s">
        <v>554</v>
      </c>
      <c r="E54" s="13" t="str">
        <f>"0,6272"</f>
        <v>0,6272</v>
      </c>
      <c r="F54" s="13" t="s">
        <v>555</v>
      </c>
      <c r="G54" s="24" t="s">
        <v>164</v>
      </c>
      <c r="H54" s="24" t="s">
        <v>134</v>
      </c>
      <c r="I54" s="25" t="s">
        <v>216</v>
      </c>
      <c r="J54" s="16"/>
      <c r="K54" s="16" t="str">
        <f>"250,0"</f>
        <v>250,0</v>
      </c>
      <c r="L54" s="16" t="str">
        <f>"156,8000"</f>
        <v>156,8000</v>
      </c>
      <c r="M54" s="13" t="s">
        <v>1188</v>
      </c>
    </row>
    <row r="55" spans="1:13">
      <c r="A55" s="36" t="s">
        <v>39</v>
      </c>
      <c r="B55" s="19" t="s">
        <v>1101</v>
      </c>
      <c r="C55" s="13" t="s">
        <v>1102</v>
      </c>
      <c r="D55" s="13" t="s">
        <v>1103</v>
      </c>
      <c r="E55" s="13" t="str">
        <f>"0,6116"</f>
        <v>0,6116</v>
      </c>
      <c r="F55" s="13" t="s">
        <v>43</v>
      </c>
      <c r="G55" s="24" t="s">
        <v>144</v>
      </c>
      <c r="H55" s="24" t="s">
        <v>181</v>
      </c>
      <c r="I55" s="25" t="s">
        <v>321</v>
      </c>
      <c r="J55" s="16"/>
      <c r="K55" s="16" t="str">
        <f>"210,0"</f>
        <v>210,0</v>
      </c>
      <c r="L55" s="16" t="str">
        <f>"130,2341"</f>
        <v>130,2341</v>
      </c>
      <c r="M55" s="13" t="s">
        <v>1104</v>
      </c>
    </row>
    <row r="56" spans="1:13">
      <c r="A56" s="37" t="s">
        <v>39</v>
      </c>
      <c r="B56" s="20" t="s">
        <v>563</v>
      </c>
      <c r="C56" s="14" t="s">
        <v>564</v>
      </c>
      <c r="D56" s="14" t="s">
        <v>565</v>
      </c>
      <c r="E56" s="14" t="str">
        <f>"0,6197"</f>
        <v>0,6197</v>
      </c>
      <c r="F56" s="14" t="s">
        <v>566</v>
      </c>
      <c r="G56" s="22" t="s">
        <v>205</v>
      </c>
      <c r="H56" s="22" t="s">
        <v>340</v>
      </c>
      <c r="I56" s="26" t="s">
        <v>336</v>
      </c>
      <c r="J56" s="17"/>
      <c r="K56" s="17" t="str">
        <f>"167,5"</f>
        <v>167,5</v>
      </c>
      <c r="L56" s="17" t="str">
        <f>"193,0675"</f>
        <v>193,0675</v>
      </c>
      <c r="M56" s="14" t="s">
        <v>1188</v>
      </c>
    </row>
    <row r="57" spans="1:13">
      <c r="B57" s="6" t="s">
        <v>40</v>
      </c>
    </row>
    <row r="58" spans="1:13" ht="16">
      <c r="A58" s="86" t="s">
        <v>82</v>
      </c>
      <c r="B58" s="86"/>
      <c r="C58" s="86"/>
      <c r="D58" s="86"/>
      <c r="E58" s="86"/>
      <c r="F58" s="86"/>
      <c r="G58" s="86"/>
      <c r="H58" s="86"/>
      <c r="I58" s="86"/>
      <c r="J58" s="86"/>
    </row>
    <row r="59" spans="1:13">
      <c r="A59" s="35" t="s">
        <v>39</v>
      </c>
      <c r="B59" s="18" t="s">
        <v>1105</v>
      </c>
      <c r="C59" s="12" t="s">
        <v>1106</v>
      </c>
      <c r="D59" s="12" t="s">
        <v>1107</v>
      </c>
      <c r="E59" s="12" t="str">
        <f>"0,6032"</f>
        <v>0,6032</v>
      </c>
      <c r="F59" s="12" t="s">
        <v>43</v>
      </c>
      <c r="G59" s="21" t="s">
        <v>133</v>
      </c>
      <c r="H59" s="21" t="s">
        <v>173</v>
      </c>
      <c r="I59" s="23" t="s">
        <v>196</v>
      </c>
      <c r="J59" s="15"/>
      <c r="K59" s="15" t="str">
        <f>"255,0"</f>
        <v>255,0</v>
      </c>
      <c r="L59" s="15" t="str">
        <f>"153,8160"</f>
        <v>153,8160</v>
      </c>
      <c r="M59" s="12" t="s">
        <v>1188</v>
      </c>
    </row>
    <row r="60" spans="1:13">
      <c r="A60" s="37" t="s">
        <v>117</v>
      </c>
      <c r="B60" s="20" t="s">
        <v>310</v>
      </c>
      <c r="C60" s="14" t="s">
        <v>311</v>
      </c>
      <c r="D60" s="14" t="s">
        <v>312</v>
      </c>
      <c r="E60" s="14" t="str">
        <f>"0,5937"</f>
        <v>0,5937</v>
      </c>
      <c r="F60" s="14" t="s">
        <v>313</v>
      </c>
      <c r="G60" s="22" t="s">
        <v>316</v>
      </c>
      <c r="H60" s="26" t="s">
        <v>172</v>
      </c>
      <c r="I60" s="26" t="s">
        <v>134</v>
      </c>
      <c r="J60" s="17"/>
      <c r="K60" s="17" t="str">
        <f>"232,5"</f>
        <v>232,5</v>
      </c>
      <c r="L60" s="17" t="str">
        <f>"138,0352"</f>
        <v>138,0352</v>
      </c>
      <c r="M60" s="14" t="s">
        <v>317</v>
      </c>
    </row>
    <row r="61" spans="1:13">
      <c r="B61" s="6" t="s">
        <v>40</v>
      </c>
    </row>
    <row r="62" spans="1:13" ht="16">
      <c r="A62" s="86" t="s">
        <v>118</v>
      </c>
      <c r="B62" s="86"/>
      <c r="C62" s="86"/>
      <c r="D62" s="86"/>
      <c r="E62" s="86"/>
      <c r="F62" s="86"/>
      <c r="G62" s="86"/>
      <c r="H62" s="86"/>
      <c r="I62" s="86"/>
      <c r="J62" s="86"/>
    </row>
    <row r="63" spans="1:13">
      <c r="A63" s="35" t="s">
        <v>39</v>
      </c>
      <c r="B63" s="18" t="s">
        <v>318</v>
      </c>
      <c r="C63" s="12" t="s">
        <v>319</v>
      </c>
      <c r="D63" s="12" t="s">
        <v>320</v>
      </c>
      <c r="E63" s="12" t="str">
        <f>"0,5823"</f>
        <v>0,5823</v>
      </c>
      <c r="F63" s="12" t="s">
        <v>313</v>
      </c>
      <c r="G63" s="21" t="s">
        <v>323</v>
      </c>
      <c r="H63" s="21" t="s">
        <v>134</v>
      </c>
      <c r="I63" s="21" t="s">
        <v>158</v>
      </c>
      <c r="J63" s="15"/>
      <c r="K63" s="15" t="str">
        <f>"260,0"</f>
        <v>260,0</v>
      </c>
      <c r="L63" s="15" t="str">
        <f>"151,3980"</f>
        <v>151,3980</v>
      </c>
      <c r="M63" s="12" t="s">
        <v>317</v>
      </c>
    </row>
    <row r="64" spans="1:13">
      <c r="A64" s="37" t="s">
        <v>39</v>
      </c>
      <c r="B64" s="20" t="s">
        <v>1108</v>
      </c>
      <c r="C64" s="14" t="s">
        <v>1109</v>
      </c>
      <c r="D64" s="14" t="s">
        <v>1110</v>
      </c>
      <c r="E64" s="14" t="str">
        <f>"0,5781"</f>
        <v>0,5781</v>
      </c>
      <c r="F64" s="14" t="s">
        <v>43</v>
      </c>
      <c r="G64" s="22" t="s">
        <v>152</v>
      </c>
      <c r="H64" s="22" t="s">
        <v>132</v>
      </c>
      <c r="I64" s="22" t="s">
        <v>144</v>
      </c>
      <c r="J64" s="17"/>
      <c r="K64" s="17" t="str">
        <f>"200,0"</f>
        <v>200,0</v>
      </c>
      <c r="L64" s="17" t="str">
        <f>"130,8818"</f>
        <v>130,8818</v>
      </c>
      <c r="M64" s="14" t="s">
        <v>1111</v>
      </c>
    </row>
    <row r="65" spans="1:13">
      <c r="B65" s="6" t="s">
        <v>40</v>
      </c>
    </row>
    <row r="66" spans="1:13" ht="16">
      <c r="A66" s="86" t="s">
        <v>244</v>
      </c>
      <c r="B66" s="86"/>
      <c r="C66" s="86"/>
      <c r="D66" s="86"/>
      <c r="E66" s="86"/>
      <c r="F66" s="86"/>
      <c r="G66" s="86"/>
      <c r="H66" s="86"/>
      <c r="I66" s="86"/>
      <c r="J66" s="86"/>
    </row>
    <row r="67" spans="1:13">
      <c r="A67" s="35" t="s">
        <v>39</v>
      </c>
      <c r="B67" s="18" t="s">
        <v>580</v>
      </c>
      <c r="C67" s="12" t="s">
        <v>581</v>
      </c>
      <c r="D67" s="12" t="s">
        <v>582</v>
      </c>
      <c r="E67" s="12" t="str">
        <f>"0,5607"</f>
        <v>0,5607</v>
      </c>
      <c r="F67" s="12" t="s">
        <v>72</v>
      </c>
      <c r="G67" s="21" t="s">
        <v>204</v>
      </c>
      <c r="H67" s="23" t="s">
        <v>583</v>
      </c>
      <c r="I67" s="15"/>
      <c r="J67" s="15"/>
      <c r="K67" s="15" t="str">
        <f>"285,0"</f>
        <v>285,0</v>
      </c>
      <c r="L67" s="15" t="str">
        <f>"159,7995"</f>
        <v>159,7995</v>
      </c>
      <c r="M67" s="12" t="s">
        <v>1188</v>
      </c>
    </row>
    <row r="68" spans="1:13">
      <c r="A68" s="36" t="s">
        <v>117</v>
      </c>
      <c r="B68" s="19" t="s">
        <v>1112</v>
      </c>
      <c r="C68" s="13" t="s">
        <v>1113</v>
      </c>
      <c r="D68" s="13" t="s">
        <v>962</v>
      </c>
      <c r="E68" s="13" t="str">
        <f>"0,5657"</f>
        <v>0,5657</v>
      </c>
      <c r="F68" s="13" t="s">
        <v>958</v>
      </c>
      <c r="G68" s="24" t="s">
        <v>150</v>
      </c>
      <c r="H68" s="25" t="s">
        <v>129</v>
      </c>
      <c r="I68" s="25" t="s">
        <v>129</v>
      </c>
      <c r="J68" s="16"/>
      <c r="K68" s="16" t="str">
        <f>"275,0"</f>
        <v>275,0</v>
      </c>
      <c r="L68" s="16" t="str">
        <f>"155,5675"</f>
        <v>155,5675</v>
      </c>
      <c r="M68" s="13" t="s">
        <v>1188</v>
      </c>
    </row>
    <row r="69" spans="1:13">
      <c r="A69" s="37" t="s">
        <v>39</v>
      </c>
      <c r="B69" s="20" t="s">
        <v>1112</v>
      </c>
      <c r="C69" s="14" t="s">
        <v>1114</v>
      </c>
      <c r="D69" s="14" t="s">
        <v>962</v>
      </c>
      <c r="E69" s="14" t="str">
        <f>"0,5657"</f>
        <v>0,5657</v>
      </c>
      <c r="F69" s="14" t="s">
        <v>958</v>
      </c>
      <c r="G69" s="22" t="s">
        <v>150</v>
      </c>
      <c r="H69" s="26" t="s">
        <v>129</v>
      </c>
      <c r="I69" s="26" t="s">
        <v>129</v>
      </c>
      <c r="J69" s="17"/>
      <c r="K69" s="17" t="str">
        <f>"275,0"</f>
        <v>275,0</v>
      </c>
      <c r="L69" s="17" t="str">
        <f>"167,7018"</f>
        <v>167,7018</v>
      </c>
      <c r="M69" s="14" t="s">
        <v>1188</v>
      </c>
    </row>
    <row r="70" spans="1:13">
      <c r="B70" s="6" t="s">
        <v>40</v>
      </c>
    </row>
    <row r="73" spans="1:13" ht="18">
      <c r="B73" s="33" t="s">
        <v>27</v>
      </c>
      <c r="C73" s="33"/>
    </row>
    <row r="74" spans="1:13" ht="16">
      <c r="B74" s="28" t="s">
        <v>28</v>
      </c>
      <c r="C74" s="28"/>
    </row>
    <row r="75" spans="1:13" ht="14">
      <c r="B75" s="34"/>
      <c r="C75" s="34" t="s">
        <v>29</v>
      </c>
    </row>
    <row r="76" spans="1:13" ht="14">
      <c r="B76" s="5" t="s">
        <v>30</v>
      </c>
      <c r="C76" s="5" t="s">
        <v>31</v>
      </c>
      <c r="D76" s="5" t="s">
        <v>1189</v>
      </c>
      <c r="E76" s="5" t="s">
        <v>38</v>
      </c>
      <c r="F76" s="5" t="s">
        <v>253</v>
      </c>
    </row>
    <row r="77" spans="1:13">
      <c r="B77" s="3" t="s">
        <v>279</v>
      </c>
      <c r="C77" s="6" t="s">
        <v>29</v>
      </c>
      <c r="D77" s="7" t="s">
        <v>37</v>
      </c>
      <c r="E77" s="7" t="s">
        <v>165</v>
      </c>
      <c r="F77" s="7" t="s">
        <v>1115</v>
      </c>
    </row>
    <row r="78" spans="1:13">
      <c r="B78" s="3" t="s">
        <v>516</v>
      </c>
      <c r="C78" s="6" t="s">
        <v>29</v>
      </c>
      <c r="D78" s="7" t="s">
        <v>33</v>
      </c>
      <c r="E78" s="7" t="s">
        <v>134</v>
      </c>
      <c r="F78" s="7" t="s">
        <v>1116</v>
      </c>
    </row>
    <row r="79" spans="1:13">
      <c r="B79" s="3" t="s">
        <v>1092</v>
      </c>
      <c r="C79" s="6" t="s">
        <v>29</v>
      </c>
      <c r="D79" s="7" t="s">
        <v>33</v>
      </c>
      <c r="E79" s="7" t="s">
        <v>133</v>
      </c>
      <c r="F79" s="7" t="s">
        <v>1117</v>
      </c>
    </row>
    <row r="80" spans="1:13">
      <c r="B80" s="3"/>
    </row>
    <row r="81" spans="2:6" ht="14">
      <c r="B81" s="34"/>
      <c r="C81" s="34" t="s">
        <v>35</v>
      </c>
    </row>
    <row r="82" spans="2:6" ht="14">
      <c r="B82" s="5" t="s">
        <v>30</v>
      </c>
      <c r="C82" s="5" t="s">
        <v>31</v>
      </c>
      <c r="D82" s="5" t="s">
        <v>1189</v>
      </c>
      <c r="E82" s="5" t="s">
        <v>38</v>
      </c>
      <c r="F82" s="5" t="s">
        <v>253</v>
      </c>
    </row>
    <row r="83" spans="2:6">
      <c r="B83" s="3" t="s">
        <v>159</v>
      </c>
      <c r="C83" s="6" t="s">
        <v>261</v>
      </c>
      <c r="D83" s="7" t="s">
        <v>33</v>
      </c>
      <c r="E83" s="7" t="s">
        <v>134</v>
      </c>
      <c r="F83" s="7" t="s">
        <v>1118</v>
      </c>
    </row>
    <row r="84" spans="2:6">
      <c r="B84" s="3" t="s">
        <v>563</v>
      </c>
      <c r="C84" s="6" t="s">
        <v>597</v>
      </c>
      <c r="D84" s="7" t="s">
        <v>34</v>
      </c>
      <c r="E84" s="7" t="s">
        <v>340</v>
      </c>
      <c r="F84" s="7" t="s">
        <v>1119</v>
      </c>
    </row>
    <row r="85" spans="2:6">
      <c r="B85" s="3" t="s">
        <v>1095</v>
      </c>
      <c r="C85" s="6" t="s">
        <v>261</v>
      </c>
      <c r="D85" s="7" t="s">
        <v>33</v>
      </c>
      <c r="E85" s="7" t="s">
        <v>144</v>
      </c>
      <c r="F85" s="7" t="s">
        <v>1120</v>
      </c>
    </row>
    <row r="86" spans="2:6">
      <c r="B86" s="6" t="s">
        <v>40</v>
      </c>
    </row>
  </sheetData>
  <mergeCells count="25">
    <mergeCell ref="A66:J66"/>
    <mergeCell ref="B3:B4"/>
    <mergeCell ref="A29:J29"/>
    <mergeCell ref="A36:J36"/>
    <mergeCell ref="A45:J45"/>
    <mergeCell ref="A51:J51"/>
    <mergeCell ref="A58:J58"/>
    <mergeCell ref="A62:J62"/>
    <mergeCell ref="A8:J8"/>
    <mergeCell ref="A11:J11"/>
    <mergeCell ref="A15:J15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2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3.3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1" width="10.5" style="39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s="1" customFormat="1" ht="12.75" customHeight="1">
      <c r="A3" s="96" t="s">
        <v>41</v>
      </c>
      <c r="B3" s="98" t="s">
        <v>0</v>
      </c>
      <c r="C3" s="97" t="s">
        <v>5</v>
      </c>
      <c r="D3" s="97" t="s">
        <v>6</v>
      </c>
      <c r="E3" s="98" t="s">
        <v>121</v>
      </c>
      <c r="F3" s="98" t="s">
        <v>7</v>
      </c>
      <c r="G3" s="98" t="s">
        <v>124</v>
      </c>
      <c r="H3" s="98"/>
      <c r="I3" s="98"/>
      <c r="J3" s="98"/>
      <c r="K3" s="100" t="s">
        <v>38</v>
      </c>
      <c r="L3" s="98" t="s">
        <v>3</v>
      </c>
      <c r="M3" s="9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8"/>
      <c r="L4" s="84"/>
      <c r="M4" s="90"/>
    </row>
    <row r="5" spans="1:13" ht="16">
      <c r="A5" s="86" t="s">
        <v>326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1012</v>
      </c>
      <c r="C6" s="4" t="s">
        <v>1013</v>
      </c>
      <c r="D6" s="4" t="s">
        <v>1014</v>
      </c>
      <c r="E6" s="4" t="str">
        <f>"1,4936"</f>
        <v>1,4936</v>
      </c>
      <c r="F6" s="4" t="s">
        <v>1015</v>
      </c>
      <c r="G6" s="9" t="s">
        <v>269</v>
      </c>
      <c r="H6" s="9" t="s">
        <v>60</v>
      </c>
      <c r="I6" s="9" t="s">
        <v>18</v>
      </c>
      <c r="J6" s="8"/>
      <c r="K6" s="43" t="str">
        <f>"75,0"</f>
        <v>75,0</v>
      </c>
      <c r="L6" s="8" t="str">
        <f>"112,0200"</f>
        <v>112,0200</v>
      </c>
      <c r="M6" s="4" t="s">
        <v>704</v>
      </c>
    </row>
    <row r="7" spans="1:13">
      <c r="B7" s="6" t="s">
        <v>40</v>
      </c>
    </row>
    <row r="8" spans="1:13" ht="16">
      <c r="A8" s="86" t="s">
        <v>272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39</v>
      </c>
      <c r="B9" s="11" t="s">
        <v>331</v>
      </c>
      <c r="C9" s="4" t="s">
        <v>332</v>
      </c>
      <c r="D9" s="4" t="s">
        <v>333</v>
      </c>
      <c r="E9" s="4" t="str">
        <f>"1,1916"</f>
        <v>1,1916</v>
      </c>
      <c r="F9" s="4" t="s">
        <v>334</v>
      </c>
      <c r="G9" s="9" t="s">
        <v>336</v>
      </c>
      <c r="H9" s="10" t="s">
        <v>283</v>
      </c>
      <c r="I9" s="9" t="s">
        <v>283</v>
      </c>
      <c r="J9" s="8"/>
      <c r="K9" s="43" t="str">
        <f>"185,0"</f>
        <v>185,0</v>
      </c>
      <c r="L9" s="8" t="str">
        <f>"220,4460"</f>
        <v>220,4460</v>
      </c>
      <c r="M9" s="4" t="s">
        <v>330</v>
      </c>
    </row>
    <row r="10" spans="1:13">
      <c r="B10" s="6" t="s">
        <v>40</v>
      </c>
    </row>
    <row r="11" spans="1:13" ht="16">
      <c r="A11" s="86" t="s">
        <v>458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3">
      <c r="A12" s="38" t="s">
        <v>39</v>
      </c>
      <c r="B12" s="11" t="s">
        <v>662</v>
      </c>
      <c r="C12" s="4" t="s">
        <v>663</v>
      </c>
      <c r="D12" s="4" t="s">
        <v>664</v>
      </c>
      <c r="E12" s="4" t="str">
        <f>"1,0374"</f>
        <v>1,0374</v>
      </c>
      <c r="F12" s="4" t="s">
        <v>665</v>
      </c>
      <c r="G12" s="9" t="s">
        <v>17</v>
      </c>
      <c r="H12" s="9" t="s">
        <v>277</v>
      </c>
      <c r="I12" s="9" t="s">
        <v>278</v>
      </c>
      <c r="J12" s="8"/>
      <c r="K12" s="43" t="str">
        <f>"115,0"</f>
        <v>115,0</v>
      </c>
      <c r="L12" s="8" t="str">
        <f>"132,9013"</f>
        <v>132,9013</v>
      </c>
      <c r="M12" s="4" t="s">
        <v>1188</v>
      </c>
    </row>
    <row r="13" spans="1:13">
      <c r="B13" s="6" t="s">
        <v>40</v>
      </c>
    </row>
    <row r="14" spans="1:13" ht="16">
      <c r="A14" s="86" t="s">
        <v>15</v>
      </c>
      <c r="B14" s="86"/>
      <c r="C14" s="86"/>
      <c r="D14" s="86"/>
      <c r="E14" s="86"/>
      <c r="F14" s="86"/>
      <c r="G14" s="86"/>
      <c r="H14" s="86"/>
      <c r="I14" s="86"/>
      <c r="J14" s="86"/>
    </row>
    <row r="15" spans="1:13">
      <c r="A15" s="38" t="s">
        <v>39</v>
      </c>
      <c r="B15" s="11" t="s">
        <v>355</v>
      </c>
      <c r="C15" s="4" t="s">
        <v>356</v>
      </c>
      <c r="D15" s="4" t="s">
        <v>73</v>
      </c>
      <c r="E15" s="4" t="str">
        <f>"0,9290"</f>
        <v>0,9290</v>
      </c>
      <c r="F15" s="4" t="s">
        <v>72</v>
      </c>
      <c r="G15" s="9" t="s">
        <v>131</v>
      </c>
      <c r="H15" s="9" t="s">
        <v>535</v>
      </c>
      <c r="I15" s="9" t="s">
        <v>670</v>
      </c>
      <c r="J15" s="8"/>
      <c r="K15" s="43" t="str">
        <f>"197,5"</f>
        <v>197,5</v>
      </c>
      <c r="L15" s="8" t="str">
        <f>"183,4775"</f>
        <v>183,4775</v>
      </c>
      <c r="M15" s="4" t="s">
        <v>330</v>
      </c>
    </row>
    <row r="16" spans="1:13">
      <c r="B16" s="6" t="s">
        <v>40</v>
      </c>
    </row>
    <row r="17" spans="1:13" ht="16">
      <c r="A17" s="86" t="s">
        <v>8</v>
      </c>
      <c r="B17" s="86"/>
      <c r="C17" s="86"/>
      <c r="D17" s="86"/>
      <c r="E17" s="86"/>
      <c r="F17" s="86"/>
      <c r="G17" s="86"/>
      <c r="H17" s="86"/>
      <c r="I17" s="86"/>
      <c r="J17" s="86"/>
    </row>
    <row r="18" spans="1:13">
      <c r="A18" s="35" t="s">
        <v>39</v>
      </c>
      <c r="B18" s="18" t="s">
        <v>137</v>
      </c>
      <c r="C18" s="12" t="s">
        <v>138</v>
      </c>
      <c r="D18" s="12" t="s">
        <v>139</v>
      </c>
      <c r="E18" s="12" t="str">
        <f>"0,7179"</f>
        <v>0,7179</v>
      </c>
      <c r="F18" s="12" t="s">
        <v>140</v>
      </c>
      <c r="G18" s="23" t="s">
        <v>144</v>
      </c>
      <c r="H18" s="21" t="s">
        <v>144</v>
      </c>
      <c r="I18" s="21" t="s">
        <v>145</v>
      </c>
      <c r="J18" s="15"/>
      <c r="K18" s="40" t="str">
        <f>"220,0"</f>
        <v>220,0</v>
      </c>
      <c r="L18" s="15" t="str">
        <f>"157,9380"</f>
        <v>157,9380</v>
      </c>
      <c r="M18" s="12" t="s">
        <v>1188</v>
      </c>
    </row>
    <row r="19" spans="1:13">
      <c r="A19" s="36" t="s">
        <v>117</v>
      </c>
      <c r="B19" s="19" t="s">
        <v>1016</v>
      </c>
      <c r="C19" s="13" t="s">
        <v>1017</v>
      </c>
      <c r="D19" s="13" t="s">
        <v>1018</v>
      </c>
      <c r="E19" s="13" t="str">
        <f>"0,7315"</f>
        <v>0,7315</v>
      </c>
      <c r="F19" s="13" t="s">
        <v>110</v>
      </c>
      <c r="G19" s="24" t="s">
        <v>131</v>
      </c>
      <c r="H19" s="24" t="s">
        <v>144</v>
      </c>
      <c r="I19" s="25" t="s">
        <v>145</v>
      </c>
      <c r="J19" s="16"/>
      <c r="K19" s="41" t="str">
        <f>"200,0"</f>
        <v>200,0</v>
      </c>
      <c r="L19" s="16" t="str">
        <f>"146,3000"</f>
        <v>146,3000</v>
      </c>
      <c r="M19" s="13" t="s">
        <v>1188</v>
      </c>
    </row>
    <row r="20" spans="1:13">
      <c r="A20" s="37" t="s">
        <v>39</v>
      </c>
      <c r="B20" s="20" t="s">
        <v>9</v>
      </c>
      <c r="C20" s="14" t="s">
        <v>359</v>
      </c>
      <c r="D20" s="14" t="s">
        <v>11</v>
      </c>
      <c r="E20" s="14" t="str">
        <f>"0,7578"</f>
        <v>0,7578</v>
      </c>
      <c r="F20" s="14" t="s">
        <v>12</v>
      </c>
      <c r="G20" s="22" t="s">
        <v>107</v>
      </c>
      <c r="H20" s="22" t="s">
        <v>205</v>
      </c>
      <c r="I20" s="22" t="s">
        <v>353</v>
      </c>
      <c r="J20" s="17"/>
      <c r="K20" s="42" t="str">
        <f>"165,0"</f>
        <v>165,0</v>
      </c>
      <c r="L20" s="17" t="str">
        <f>"176,3022"</f>
        <v>176,3022</v>
      </c>
      <c r="M20" s="14" t="s">
        <v>1188</v>
      </c>
    </row>
    <row r="21" spans="1:13">
      <c r="B21" s="6" t="s">
        <v>40</v>
      </c>
    </row>
    <row r="22" spans="1:13" ht="16">
      <c r="A22" s="86" t="s">
        <v>15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3">
      <c r="A23" s="35" t="s">
        <v>39</v>
      </c>
      <c r="B23" s="18" t="s">
        <v>1019</v>
      </c>
      <c r="C23" s="12" t="s">
        <v>1020</v>
      </c>
      <c r="D23" s="12" t="s">
        <v>1021</v>
      </c>
      <c r="E23" s="12" t="str">
        <f>"0,6699"</f>
        <v>0,6699</v>
      </c>
      <c r="F23" s="12" t="s">
        <v>1022</v>
      </c>
      <c r="G23" s="21" t="s">
        <v>191</v>
      </c>
      <c r="H23" s="23" t="s">
        <v>585</v>
      </c>
      <c r="I23" s="23" t="s">
        <v>585</v>
      </c>
      <c r="J23" s="15"/>
      <c r="K23" s="40" t="str">
        <f>"365,0"</f>
        <v>365,0</v>
      </c>
      <c r="L23" s="15" t="str">
        <f>"244,5135"</f>
        <v>244,5135</v>
      </c>
      <c r="M23" s="12" t="s">
        <v>1023</v>
      </c>
    </row>
    <row r="24" spans="1:13">
      <c r="A24" s="36" t="s">
        <v>117</v>
      </c>
      <c r="B24" s="19" t="s">
        <v>1024</v>
      </c>
      <c r="C24" s="13" t="s">
        <v>1025</v>
      </c>
      <c r="D24" s="13" t="s">
        <v>1026</v>
      </c>
      <c r="E24" s="13" t="str">
        <f>"0,6876"</f>
        <v>0,6876</v>
      </c>
      <c r="F24" s="13" t="s">
        <v>1027</v>
      </c>
      <c r="G24" s="24" t="s">
        <v>144</v>
      </c>
      <c r="H24" s="25" t="s">
        <v>163</v>
      </c>
      <c r="I24" s="25" t="s">
        <v>163</v>
      </c>
      <c r="J24" s="16"/>
      <c r="K24" s="41" t="str">
        <f>"200,0"</f>
        <v>200,0</v>
      </c>
      <c r="L24" s="16" t="str">
        <f>"137,5200"</f>
        <v>137,5200</v>
      </c>
      <c r="M24" s="13" t="s">
        <v>1188</v>
      </c>
    </row>
    <row r="25" spans="1:13">
      <c r="A25" s="37" t="s">
        <v>39</v>
      </c>
      <c r="B25" s="20" t="s">
        <v>1028</v>
      </c>
      <c r="C25" s="14" t="s">
        <v>1029</v>
      </c>
      <c r="D25" s="14" t="s">
        <v>148</v>
      </c>
      <c r="E25" s="14" t="str">
        <f>"0,6790"</f>
        <v>0,6790</v>
      </c>
      <c r="F25" s="14" t="s">
        <v>1030</v>
      </c>
      <c r="G25" s="22" t="s">
        <v>132</v>
      </c>
      <c r="H25" s="26" t="s">
        <v>144</v>
      </c>
      <c r="I25" s="26" t="s">
        <v>144</v>
      </c>
      <c r="J25" s="17"/>
      <c r="K25" s="42" t="str">
        <f>"190,0"</f>
        <v>190,0</v>
      </c>
      <c r="L25" s="17" t="str">
        <f>"146,0393"</f>
        <v>146,0393</v>
      </c>
      <c r="M25" s="14" t="s">
        <v>1031</v>
      </c>
    </row>
    <row r="26" spans="1:13">
      <c r="B26" s="6" t="s">
        <v>40</v>
      </c>
    </row>
    <row r="27" spans="1:13" ht="16">
      <c r="A27" s="86" t="s">
        <v>53</v>
      </c>
      <c r="B27" s="86"/>
      <c r="C27" s="86"/>
      <c r="D27" s="86"/>
      <c r="E27" s="86"/>
      <c r="F27" s="86"/>
      <c r="G27" s="86"/>
      <c r="H27" s="86"/>
      <c r="I27" s="86"/>
      <c r="J27" s="86"/>
    </row>
    <row r="28" spans="1:13">
      <c r="A28" s="35" t="s">
        <v>39</v>
      </c>
      <c r="B28" s="18" t="s">
        <v>1032</v>
      </c>
      <c r="C28" s="12" t="s">
        <v>1033</v>
      </c>
      <c r="D28" s="12" t="s">
        <v>547</v>
      </c>
      <c r="E28" s="12" t="str">
        <f>"0,6410"</f>
        <v>0,6410</v>
      </c>
      <c r="F28" s="12" t="s">
        <v>1034</v>
      </c>
      <c r="G28" s="21" t="s">
        <v>583</v>
      </c>
      <c r="H28" s="23" t="s">
        <v>1035</v>
      </c>
      <c r="I28" s="23" t="s">
        <v>1035</v>
      </c>
      <c r="J28" s="15"/>
      <c r="K28" s="40" t="str">
        <f>"302,5"</f>
        <v>302,5</v>
      </c>
      <c r="L28" s="15" t="str">
        <f>"193,9025"</f>
        <v>193,9025</v>
      </c>
      <c r="M28" s="12" t="s">
        <v>1230</v>
      </c>
    </row>
    <row r="29" spans="1:13">
      <c r="A29" s="36" t="s">
        <v>117</v>
      </c>
      <c r="B29" s="19" t="s">
        <v>1036</v>
      </c>
      <c r="C29" s="13" t="s">
        <v>1037</v>
      </c>
      <c r="D29" s="13" t="s">
        <v>1038</v>
      </c>
      <c r="E29" s="13" t="str">
        <f>"0,6483"</f>
        <v>0,6483</v>
      </c>
      <c r="F29" s="13" t="s">
        <v>93</v>
      </c>
      <c r="G29" s="24" t="s">
        <v>135</v>
      </c>
      <c r="H29" s="24" t="s">
        <v>574</v>
      </c>
      <c r="I29" s="25" t="s">
        <v>583</v>
      </c>
      <c r="J29" s="16"/>
      <c r="K29" s="41" t="str">
        <f>"292,5"</f>
        <v>292,5</v>
      </c>
      <c r="L29" s="16" t="str">
        <f>"189,6277"</f>
        <v>189,6277</v>
      </c>
      <c r="M29" s="13" t="s">
        <v>1188</v>
      </c>
    </row>
    <row r="30" spans="1:13">
      <c r="A30" s="36" t="s">
        <v>263</v>
      </c>
      <c r="B30" s="19" t="s">
        <v>618</v>
      </c>
      <c r="C30" s="13" t="s">
        <v>619</v>
      </c>
      <c r="D30" s="13" t="s">
        <v>74</v>
      </c>
      <c r="E30" s="13" t="str">
        <f>"0,6384"</f>
        <v>0,6384</v>
      </c>
      <c r="F30" s="13" t="s">
        <v>620</v>
      </c>
      <c r="G30" s="24" t="s">
        <v>216</v>
      </c>
      <c r="H30" s="25" t="s">
        <v>186</v>
      </c>
      <c r="I30" s="25" t="s">
        <v>186</v>
      </c>
      <c r="J30" s="16"/>
      <c r="K30" s="41" t="str">
        <f>"280,0"</f>
        <v>280,0</v>
      </c>
      <c r="L30" s="16" t="str">
        <f>"178,7520"</f>
        <v>178,7520</v>
      </c>
      <c r="M30" s="13" t="s">
        <v>1211</v>
      </c>
    </row>
    <row r="31" spans="1:13">
      <c r="A31" s="36" t="s">
        <v>45</v>
      </c>
      <c r="B31" s="19" t="s">
        <v>1039</v>
      </c>
      <c r="C31" s="13" t="s">
        <v>1040</v>
      </c>
      <c r="D31" s="13" t="s">
        <v>1041</v>
      </c>
      <c r="E31" s="13" t="str">
        <f>"0,6642"</f>
        <v>0,6642</v>
      </c>
      <c r="F31" s="13" t="s">
        <v>1042</v>
      </c>
      <c r="G31" s="25" t="s">
        <v>210</v>
      </c>
      <c r="H31" s="25" t="s">
        <v>249</v>
      </c>
      <c r="I31" s="25" t="s">
        <v>249</v>
      </c>
      <c r="J31" s="16"/>
      <c r="K31" s="41">
        <v>0</v>
      </c>
      <c r="L31" s="16" t="str">
        <f>"0,0000"</f>
        <v>0,0000</v>
      </c>
      <c r="M31" s="13" t="s">
        <v>1211</v>
      </c>
    </row>
    <row r="32" spans="1:13">
      <c r="A32" s="37" t="s">
        <v>39</v>
      </c>
      <c r="B32" s="20" t="s">
        <v>1036</v>
      </c>
      <c r="C32" s="14" t="s">
        <v>1043</v>
      </c>
      <c r="D32" s="14" t="s">
        <v>1038</v>
      </c>
      <c r="E32" s="14" t="str">
        <f>"0,6483"</f>
        <v>0,6483</v>
      </c>
      <c r="F32" s="14" t="s">
        <v>93</v>
      </c>
      <c r="G32" s="22" t="s">
        <v>135</v>
      </c>
      <c r="H32" s="22" t="s">
        <v>574</v>
      </c>
      <c r="I32" s="26" t="s">
        <v>583</v>
      </c>
      <c r="J32" s="17"/>
      <c r="K32" s="42" t="str">
        <f>"292,5"</f>
        <v>292,5</v>
      </c>
      <c r="L32" s="17" t="str">
        <f>"218,0719"</f>
        <v>218,0719</v>
      </c>
      <c r="M32" s="14" t="s">
        <v>1188</v>
      </c>
    </row>
    <row r="33" spans="1:13">
      <c r="B33" s="6" t="s">
        <v>40</v>
      </c>
    </row>
    <row r="34" spans="1:13" ht="16">
      <c r="A34" s="86" t="s">
        <v>20</v>
      </c>
      <c r="B34" s="86"/>
      <c r="C34" s="86"/>
      <c r="D34" s="86"/>
      <c r="E34" s="86"/>
      <c r="F34" s="86"/>
      <c r="G34" s="86"/>
      <c r="H34" s="86"/>
      <c r="I34" s="86"/>
      <c r="J34" s="86"/>
    </row>
    <row r="35" spans="1:13">
      <c r="A35" s="35" t="s">
        <v>39</v>
      </c>
      <c r="B35" s="18" t="s">
        <v>206</v>
      </c>
      <c r="C35" s="12" t="s">
        <v>207</v>
      </c>
      <c r="D35" s="12" t="s">
        <v>208</v>
      </c>
      <c r="E35" s="12" t="str">
        <f>"0,6121"</f>
        <v>0,6121</v>
      </c>
      <c r="F35" s="12" t="s">
        <v>209</v>
      </c>
      <c r="G35" s="23" t="s">
        <v>210</v>
      </c>
      <c r="H35" s="23" t="s">
        <v>210</v>
      </c>
      <c r="I35" s="21" t="s">
        <v>190</v>
      </c>
      <c r="J35" s="15"/>
      <c r="K35" s="40" t="str">
        <f>"350,0"</f>
        <v>350,0</v>
      </c>
      <c r="L35" s="15" t="str">
        <f>"214,2350"</f>
        <v>214,2350</v>
      </c>
      <c r="M35" s="12" t="s">
        <v>211</v>
      </c>
    </row>
    <row r="36" spans="1:13">
      <c r="A36" s="36" t="s">
        <v>117</v>
      </c>
      <c r="B36" s="19" t="s">
        <v>1044</v>
      </c>
      <c r="C36" s="13" t="s">
        <v>1045</v>
      </c>
      <c r="D36" s="13" t="s">
        <v>915</v>
      </c>
      <c r="E36" s="13" t="str">
        <f>"0,6103"</f>
        <v>0,6103</v>
      </c>
      <c r="F36" s="13" t="s">
        <v>1046</v>
      </c>
      <c r="G36" s="24" t="s">
        <v>216</v>
      </c>
      <c r="H36" s="24" t="s">
        <v>130</v>
      </c>
      <c r="I36" s="24" t="s">
        <v>1035</v>
      </c>
      <c r="J36" s="16"/>
      <c r="K36" s="41" t="str">
        <f>"312,5"</f>
        <v>312,5</v>
      </c>
      <c r="L36" s="16" t="str">
        <f>"190,7188"</f>
        <v>190,7188</v>
      </c>
      <c r="M36" s="13" t="s">
        <v>1047</v>
      </c>
    </row>
    <row r="37" spans="1:13">
      <c r="A37" s="36" t="s">
        <v>263</v>
      </c>
      <c r="B37" s="19" t="s">
        <v>212</v>
      </c>
      <c r="C37" s="13" t="s">
        <v>213</v>
      </c>
      <c r="D37" s="13" t="s">
        <v>214</v>
      </c>
      <c r="E37" s="13" t="str">
        <f>"0,6106"</f>
        <v>0,6106</v>
      </c>
      <c r="F37" s="13" t="s">
        <v>215</v>
      </c>
      <c r="G37" s="24" t="s">
        <v>130</v>
      </c>
      <c r="H37" s="16"/>
      <c r="I37" s="16"/>
      <c r="J37" s="16"/>
      <c r="K37" s="41" t="str">
        <f>"300,0"</f>
        <v>300,0</v>
      </c>
      <c r="L37" s="16" t="str">
        <f>"183,1800"</f>
        <v>183,1800</v>
      </c>
      <c r="M37" s="13" t="s">
        <v>1214</v>
      </c>
    </row>
    <row r="38" spans="1:13">
      <c r="A38" s="36" t="s">
        <v>45</v>
      </c>
      <c r="B38" s="19" t="s">
        <v>1048</v>
      </c>
      <c r="C38" s="13" t="s">
        <v>1049</v>
      </c>
      <c r="D38" s="13" t="s">
        <v>1050</v>
      </c>
      <c r="E38" s="13" t="str">
        <f>"0,6139"</f>
        <v>0,6139</v>
      </c>
      <c r="F38" s="13" t="s">
        <v>43</v>
      </c>
      <c r="G38" s="25" t="s">
        <v>191</v>
      </c>
      <c r="H38" s="25" t="s">
        <v>191</v>
      </c>
      <c r="I38" s="25" t="s">
        <v>241</v>
      </c>
      <c r="J38" s="16"/>
      <c r="K38" s="41">
        <v>0</v>
      </c>
      <c r="L38" s="16" t="str">
        <f>"0,0000"</f>
        <v>0,0000</v>
      </c>
      <c r="M38" s="13" t="s">
        <v>1188</v>
      </c>
    </row>
    <row r="39" spans="1:13">
      <c r="A39" s="36" t="s">
        <v>39</v>
      </c>
      <c r="B39" s="19" t="s">
        <v>1051</v>
      </c>
      <c r="C39" s="13" t="s">
        <v>1052</v>
      </c>
      <c r="D39" s="13" t="s">
        <v>562</v>
      </c>
      <c r="E39" s="13" t="str">
        <f>"0,6134"</f>
        <v>0,6134</v>
      </c>
      <c r="F39" s="13" t="s">
        <v>43</v>
      </c>
      <c r="G39" s="24" t="s">
        <v>63</v>
      </c>
      <c r="H39" s="24" t="s">
        <v>205</v>
      </c>
      <c r="I39" s="24" t="s">
        <v>336</v>
      </c>
      <c r="J39" s="16"/>
      <c r="K39" s="41" t="str">
        <f>"172,5"</f>
        <v>172,5</v>
      </c>
      <c r="L39" s="16" t="str">
        <f>"108,7742"</f>
        <v>108,7742</v>
      </c>
      <c r="M39" s="13" t="s">
        <v>1188</v>
      </c>
    </row>
    <row r="40" spans="1:13">
      <c r="A40" s="37" t="s">
        <v>39</v>
      </c>
      <c r="B40" s="20" t="s">
        <v>1044</v>
      </c>
      <c r="C40" s="14" t="s">
        <v>1053</v>
      </c>
      <c r="D40" s="14" t="s">
        <v>915</v>
      </c>
      <c r="E40" s="14" t="str">
        <f>"0,6103"</f>
        <v>0,6103</v>
      </c>
      <c r="F40" s="14" t="s">
        <v>1046</v>
      </c>
      <c r="G40" s="22" t="s">
        <v>216</v>
      </c>
      <c r="H40" s="22" t="s">
        <v>130</v>
      </c>
      <c r="I40" s="22" t="s">
        <v>1035</v>
      </c>
      <c r="J40" s="17"/>
      <c r="K40" s="42" t="str">
        <f>"312,5"</f>
        <v>312,5</v>
      </c>
      <c r="L40" s="17" t="str">
        <f>"226,3832"</f>
        <v>226,3832</v>
      </c>
      <c r="M40" s="14" t="s">
        <v>1047</v>
      </c>
    </row>
    <row r="41" spans="1:13">
      <c r="B41" s="6" t="s">
        <v>40</v>
      </c>
    </row>
    <row r="42" spans="1:13" ht="16">
      <c r="A42" s="86" t="s">
        <v>82</v>
      </c>
      <c r="B42" s="86"/>
      <c r="C42" s="86"/>
      <c r="D42" s="86"/>
      <c r="E42" s="86"/>
      <c r="F42" s="86"/>
      <c r="G42" s="86"/>
      <c r="H42" s="86"/>
      <c r="I42" s="86"/>
      <c r="J42" s="86"/>
    </row>
    <row r="43" spans="1:13">
      <c r="A43" s="35" t="s">
        <v>39</v>
      </c>
      <c r="B43" s="18" t="s">
        <v>397</v>
      </c>
      <c r="C43" s="12" t="s">
        <v>398</v>
      </c>
      <c r="D43" s="12" t="s">
        <v>399</v>
      </c>
      <c r="E43" s="12" t="str">
        <f>"0,5907"</f>
        <v>0,5907</v>
      </c>
      <c r="F43" s="12" t="s">
        <v>43</v>
      </c>
      <c r="G43" s="21" t="s">
        <v>150</v>
      </c>
      <c r="H43" s="21" t="s">
        <v>216</v>
      </c>
      <c r="I43" s="23" t="s">
        <v>186</v>
      </c>
      <c r="J43" s="15"/>
      <c r="K43" s="40" t="str">
        <f>"280,0"</f>
        <v>280,0</v>
      </c>
      <c r="L43" s="15" t="str">
        <f>"165,3960"</f>
        <v>165,3960</v>
      </c>
      <c r="M43" s="12" t="s">
        <v>400</v>
      </c>
    </row>
    <row r="44" spans="1:13">
      <c r="A44" s="37" t="s">
        <v>39</v>
      </c>
      <c r="B44" s="20" t="s">
        <v>1054</v>
      </c>
      <c r="C44" s="14" t="s">
        <v>806</v>
      </c>
      <c r="D44" s="14" t="s">
        <v>312</v>
      </c>
      <c r="E44" s="14" t="str">
        <f>"0,5937"</f>
        <v>0,5937</v>
      </c>
      <c r="F44" s="14" t="s">
        <v>624</v>
      </c>
      <c r="G44" s="22" t="s">
        <v>216</v>
      </c>
      <c r="H44" s="22" t="s">
        <v>130</v>
      </c>
      <c r="I44" s="17"/>
      <c r="J44" s="17"/>
      <c r="K44" s="42" t="str">
        <f>"300,0"</f>
        <v>300,0</v>
      </c>
      <c r="L44" s="17" t="str">
        <f>"179,0005"</f>
        <v>179,0005</v>
      </c>
      <c r="M44" s="14" t="s">
        <v>758</v>
      </c>
    </row>
    <row r="45" spans="1:13">
      <c r="B45" s="6" t="s">
        <v>40</v>
      </c>
    </row>
    <row r="46" spans="1:13" ht="16">
      <c r="A46" s="86" t="s">
        <v>118</v>
      </c>
      <c r="B46" s="86"/>
      <c r="C46" s="86"/>
      <c r="D46" s="86"/>
      <c r="E46" s="86"/>
      <c r="F46" s="86"/>
      <c r="G46" s="86"/>
      <c r="H46" s="86"/>
      <c r="I46" s="86"/>
      <c r="J46" s="86"/>
    </row>
    <row r="47" spans="1:13">
      <c r="A47" s="38" t="s">
        <v>39</v>
      </c>
      <c r="B47" s="11" t="s">
        <v>1055</v>
      </c>
      <c r="C47" s="4" t="s">
        <v>1056</v>
      </c>
      <c r="D47" s="4" t="s">
        <v>238</v>
      </c>
      <c r="E47" s="4" t="str">
        <f>"0,5722"</f>
        <v>0,5722</v>
      </c>
      <c r="F47" s="4" t="s">
        <v>688</v>
      </c>
      <c r="G47" s="9" t="s">
        <v>135</v>
      </c>
      <c r="H47" s="9" t="s">
        <v>216</v>
      </c>
      <c r="I47" s="9" t="s">
        <v>129</v>
      </c>
      <c r="J47" s="8"/>
      <c r="K47" s="43" t="str">
        <f>"290,0"</f>
        <v>290,0</v>
      </c>
      <c r="L47" s="8" t="str">
        <f>"181,8680"</f>
        <v>181,8680</v>
      </c>
      <c r="M47" s="4" t="s">
        <v>1188</v>
      </c>
    </row>
    <row r="48" spans="1:13">
      <c r="B48" s="6" t="s">
        <v>40</v>
      </c>
    </row>
    <row r="49" spans="1:13" ht="16">
      <c r="A49" s="86" t="s">
        <v>244</v>
      </c>
      <c r="B49" s="86"/>
      <c r="C49" s="86"/>
      <c r="D49" s="86"/>
      <c r="E49" s="86"/>
      <c r="F49" s="86"/>
      <c r="G49" s="86"/>
      <c r="H49" s="86"/>
      <c r="I49" s="86"/>
      <c r="J49" s="86"/>
    </row>
    <row r="50" spans="1:13">
      <c r="A50" s="35" t="s">
        <v>39</v>
      </c>
      <c r="B50" s="18" t="s">
        <v>245</v>
      </c>
      <c r="C50" s="12" t="s">
        <v>246</v>
      </c>
      <c r="D50" s="12" t="s">
        <v>247</v>
      </c>
      <c r="E50" s="12" t="str">
        <f>"0,5624"</f>
        <v>0,5624</v>
      </c>
      <c r="F50" s="12" t="s">
        <v>248</v>
      </c>
      <c r="G50" s="21" t="s">
        <v>190</v>
      </c>
      <c r="H50" s="21" t="s">
        <v>249</v>
      </c>
      <c r="I50" s="23" t="s">
        <v>250</v>
      </c>
      <c r="J50" s="15"/>
      <c r="K50" s="40" t="str">
        <f>"370,0"</f>
        <v>370,0</v>
      </c>
      <c r="L50" s="15" t="str">
        <f>"208,0880"</f>
        <v>208,0880</v>
      </c>
      <c r="M50" s="12" t="s">
        <v>252</v>
      </c>
    </row>
    <row r="51" spans="1:13">
      <c r="A51" s="37" t="s">
        <v>117</v>
      </c>
      <c r="B51" s="20" t="s">
        <v>1057</v>
      </c>
      <c r="C51" s="14" t="s">
        <v>894</v>
      </c>
      <c r="D51" s="14" t="s">
        <v>1058</v>
      </c>
      <c r="E51" s="14" t="str">
        <f>"0,5605"</f>
        <v>0,5605</v>
      </c>
      <c r="F51" s="14" t="s">
        <v>1059</v>
      </c>
      <c r="G51" s="22" t="s">
        <v>150</v>
      </c>
      <c r="H51" s="22" t="s">
        <v>129</v>
      </c>
      <c r="I51" s="26" t="s">
        <v>625</v>
      </c>
      <c r="J51" s="17"/>
      <c r="K51" s="42" t="str">
        <f>"290,0"</f>
        <v>290,0</v>
      </c>
      <c r="L51" s="17" t="str">
        <f>"162,5450"</f>
        <v>162,5450</v>
      </c>
      <c r="M51" s="14" t="s">
        <v>1060</v>
      </c>
    </row>
    <row r="52" spans="1:13">
      <c r="B52" s="6" t="s">
        <v>40</v>
      </c>
    </row>
    <row r="55" spans="1:13" ht="18">
      <c r="B55" s="33" t="s">
        <v>27</v>
      </c>
      <c r="C55" s="33"/>
    </row>
    <row r="56" spans="1:13" ht="16">
      <c r="B56" s="28" t="s">
        <v>28</v>
      </c>
      <c r="C56" s="28"/>
    </row>
    <row r="57" spans="1:13" ht="14">
      <c r="B57" s="34"/>
      <c r="C57" s="34" t="s">
        <v>29</v>
      </c>
    </row>
    <row r="58" spans="1:13" ht="14">
      <c r="B58" s="5" t="s">
        <v>30</v>
      </c>
      <c r="C58" s="5" t="s">
        <v>31</v>
      </c>
      <c r="D58" s="5" t="s">
        <v>1189</v>
      </c>
      <c r="E58" s="5" t="s">
        <v>38</v>
      </c>
      <c r="F58" s="5" t="s">
        <v>253</v>
      </c>
    </row>
    <row r="59" spans="1:13">
      <c r="B59" s="3" t="s">
        <v>1019</v>
      </c>
      <c r="C59" s="6" t="s">
        <v>29</v>
      </c>
      <c r="D59" s="7" t="s">
        <v>33</v>
      </c>
      <c r="E59" s="7" t="s">
        <v>191</v>
      </c>
      <c r="F59" s="7" t="s">
        <v>1061</v>
      </c>
    </row>
    <row r="60" spans="1:13">
      <c r="B60" s="3" t="s">
        <v>206</v>
      </c>
      <c r="C60" s="6" t="s">
        <v>29</v>
      </c>
      <c r="D60" s="7" t="s">
        <v>34</v>
      </c>
      <c r="E60" s="7" t="s">
        <v>190</v>
      </c>
      <c r="F60" s="7" t="s">
        <v>1062</v>
      </c>
    </row>
    <row r="61" spans="1:13">
      <c r="B61" s="3" t="s">
        <v>245</v>
      </c>
      <c r="C61" s="6" t="s">
        <v>29</v>
      </c>
      <c r="D61" s="7" t="s">
        <v>256</v>
      </c>
      <c r="E61" s="7" t="s">
        <v>249</v>
      </c>
      <c r="F61" s="7" t="s">
        <v>1063</v>
      </c>
    </row>
    <row r="62" spans="1:13">
      <c r="B62" s="6" t="s">
        <v>40</v>
      </c>
    </row>
  </sheetData>
  <mergeCells count="22">
    <mergeCell ref="A34:J34"/>
    <mergeCell ref="A42:J42"/>
    <mergeCell ref="A46:J46"/>
    <mergeCell ref="A49:J49"/>
    <mergeCell ref="B3:B4"/>
    <mergeCell ref="A8:J8"/>
    <mergeCell ref="A11:J11"/>
    <mergeCell ref="A14:J14"/>
    <mergeCell ref="A17:J17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7.33203125" style="6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17.3320312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1207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124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8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1082</v>
      </c>
      <c r="C6" s="4" t="s">
        <v>1083</v>
      </c>
      <c r="D6" s="4" t="s">
        <v>358</v>
      </c>
      <c r="E6" s="4" t="str">
        <f>"0,7126"</f>
        <v>0,7126</v>
      </c>
      <c r="F6" s="4" t="s">
        <v>1084</v>
      </c>
      <c r="G6" s="9" t="s">
        <v>164</v>
      </c>
      <c r="H6" s="9" t="s">
        <v>165</v>
      </c>
      <c r="I6" s="10" t="s">
        <v>200</v>
      </c>
      <c r="J6" s="8"/>
      <c r="K6" s="8" t="str">
        <f>"235,0"</f>
        <v>235,0</v>
      </c>
      <c r="L6" s="8" t="str">
        <f>"167,4610"</f>
        <v>167,4610</v>
      </c>
      <c r="M6" s="4" t="s">
        <v>1188</v>
      </c>
    </row>
    <row r="7" spans="1:13">
      <c r="B7" s="6" t="s">
        <v>40</v>
      </c>
    </row>
    <row r="8" spans="1:13" ht="16">
      <c r="A8" s="86" t="s">
        <v>15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39</v>
      </c>
      <c r="B9" s="11" t="s">
        <v>1121</v>
      </c>
      <c r="C9" s="4" t="s">
        <v>1122</v>
      </c>
      <c r="D9" s="4" t="s">
        <v>1123</v>
      </c>
      <c r="E9" s="4" t="str">
        <f>"0,6860"</f>
        <v>0,6860</v>
      </c>
      <c r="F9" s="4" t="s">
        <v>489</v>
      </c>
      <c r="G9" s="10" t="s">
        <v>172</v>
      </c>
      <c r="H9" s="9" t="s">
        <v>173</v>
      </c>
      <c r="I9" s="10" t="s">
        <v>405</v>
      </c>
      <c r="J9" s="8"/>
      <c r="K9" s="8" t="str">
        <f>"255,0"</f>
        <v>255,0</v>
      </c>
      <c r="L9" s="8" t="str">
        <f>"174,9300"</f>
        <v>174,9300</v>
      </c>
      <c r="M9" s="4" t="s">
        <v>1188</v>
      </c>
    </row>
    <row r="10" spans="1:13">
      <c r="B10" s="6" t="s">
        <v>40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7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3.6640625" style="6" bestFit="1" customWidth="1"/>
    <col min="3" max="3" width="29" style="3" bestFit="1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1" width="10.5" style="39" bestFit="1" customWidth="1"/>
    <col min="12" max="12" width="7.5" style="2" bestFit="1" customWidth="1"/>
    <col min="13" max="13" width="23.5" style="3" bestFit="1" customWidth="1"/>
    <col min="14" max="16384" width="9.1640625" style="3"/>
  </cols>
  <sheetData>
    <row r="1" spans="1:13" s="2" customFormat="1" ht="29" customHeight="1">
      <c r="A1" s="74" t="s">
        <v>1208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1136</v>
      </c>
      <c r="H3" s="85"/>
      <c r="I3" s="85"/>
      <c r="J3" s="85"/>
      <c r="K3" s="87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8"/>
      <c r="L4" s="84"/>
      <c r="M4" s="90"/>
    </row>
    <row r="5" spans="1:13" ht="16">
      <c r="A5" s="86" t="s">
        <v>89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90</v>
      </c>
      <c r="C6" s="4" t="s">
        <v>91</v>
      </c>
      <c r="D6" s="4" t="s">
        <v>92</v>
      </c>
      <c r="E6" s="4" t="str">
        <f>"1,1282"</f>
        <v>1,1282</v>
      </c>
      <c r="F6" s="4" t="s">
        <v>93</v>
      </c>
      <c r="G6" s="9" t="s">
        <v>24</v>
      </c>
      <c r="H6" s="10" t="s">
        <v>14</v>
      </c>
      <c r="I6" s="10" t="s">
        <v>14</v>
      </c>
      <c r="J6" s="8"/>
      <c r="K6" s="43" t="str">
        <f>"30,0"</f>
        <v>30,0</v>
      </c>
      <c r="L6" s="8" t="str">
        <f>"33,8460"</f>
        <v>33,8460</v>
      </c>
      <c r="M6" s="4" t="s">
        <v>95</v>
      </c>
    </row>
    <row r="7" spans="1:13">
      <c r="B7" s="6" t="s">
        <v>40</v>
      </c>
    </row>
    <row r="8" spans="1:13" ht="16">
      <c r="A8" s="86" t="s">
        <v>1137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5" t="s">
        <v>39</v>
      </c>
      <c r="B9" s="18" t="s">
        <v>1138</v>
      </c>
      <c r="C9" s="12" t="s">
        <v>1218</v>
      </c>
      <c r="D9" s="12" t="s">
        <v>1139</v>
      </c>
      <c r="E9" s="12" t="str">
        <f>"0,7236"</f>
        <v>0,7236</v>
      </c>
      <c r="F9" s="12" t="s">
        <v>1140</v>
      </c>
      <c r="G9" s="21" t="s">
        <v>13</v>
      </c>
      <c r="H9" s="23" t="s">
        <v>485</v>
      </c>
      <c r="I9" s="23" t="s">
        <v>485</v>
      </c>
      <c r="J9" s="15"/>
      <c r="K9" s="40" t="str">
        <f>"32,5"</f>
        <v>32,5</v>
      </c>
      <c r="L9" s="15" t="str">
        <f>"23,5186"</f>
        <v>23,5186</v>
      </c>
      <c r="M9" s="12" t="s">
        <v>1141</v>
      </c>
    </row>
    <row r="10" spans="1:13">
      <c r="A10" s="37" t="s">
        <v>39</v>
      </c>
      <c r="B10" s="20" t="s">
        <v>1138</v>
      </c>
      <c r="C10" s="14" t="s">
        <v>1142</v>
      </c>
      <c r="D10" s="14" t="s">
        <v>1139</v>
      </c>
      <c r="E10" s="14" t="str">
        <f>"0,7236"</f>
        <v>0,7236</v>
      </c>
      <c r="F10" s="14" t="s">
        <v>1140</v>
      </c>
      <c r="G10" s="22" t="s">
        <v>13</v>
      </c>
      <c r="H10" s="26" t="s">
        <v>485</v>
      </c>
      <c r="I10" s="26" t="s">
        <v>485</v>
      </c>
      <c r="J10" s="17"/>
      <c r="K10" s="42" t="str">
        <f>"32,5"</f>
        <v>32,5</v>
      </c>
      <c r="L10" s="17" t="str">
        <f>"23,5186"</f>
        <v>23,5186</v>
      </c>
      <c r="M10" s="14" t="s">
        <v>1141</v>
      </c>
    </row>
    <row r="11" spans="1:13">
      <c r="B11" s="6" t="s">
        <v>40</v>
      </c>
    </row>
    <row r="12" spans="1:13" ht="16">
      <c r="A12" s="86" t="s">
        <v>46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3">
      <c r="A13" s="38" t="s">
        <v>45</v>
      </c>
      <c r="B13" s="11" t="s">
        <v>837</v>
      </c>
      <c r="C13" s="4" t="s">
        <v>1219</v>
      </c>
      <c r="D13" s="4" t="s">
        <v>1143</v>
      </c>
      <c r="E13" s="4" t="str">
        <f>"0,8383"</f>
        <v>0,8383</v>
      </c>
      <c r="F13" s="4" t="s">
        <v>128</v>
      </c>
      <c r="G13" s="10" t="s">
        <v>25</v>
      </c>
      <c r="H13" s="8"/>
      <c r="I13" s="8"/>
      <c r="J13" s="8"/>
      <c r="K13" s="43">
        <v>0</v>
      </c>
      <c r="L13" s="8" t="str">
        <f>"0,0000"</f>
        <v>0,0000</v>
      </c>
      <c r="M13" s="4" t="s">
        <v>136</v>
      </c>
    </row>
    <row r="14" spans="1:13">
      <c r="B14" s="6" t="s">
        <v>40</v>
      </c>
    </row>
    <row r="15" spans="1:13" ht="16">
      <c r="A15" s="86" t="s">
        <v>458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3">
      <c r="A16" s="35" t="s">
        <v>39</v>
      </c>
      <c r="B16" s="18" t="s">
        <v>1144</v>
      </c>
      <c r="C16" s="12" t="s">
        <v>1220</v>
      </c>
      <c r="D16" s="12" t="s">
        <v>1145</v>
      </c>
      <c r="E16" s="12" t="str">
        <f>"0,7743"</f>
        <v>0,7743</v>
      </c>
      <c r="F16" s="12" t="s">
        <v>1146</v>
      </c>
      <c r="G16" s="23" t="s">
        <v>25</v>
      </c>
      <c r="H16" s="21" t="s">
        <v>25</v>
      </c>
      <c r="I16" s="23" t="s">
        <v>26</v>
      </c>
      <c r="J16" s="15"/>
      <c r="K16" s="40" t="str">
        <f>"40,0"</f>
        <v>40,0</v>
      </c>
      <c r="L16" s="15" t="str">
        <f>"30,9720"</f>
        <v>30,9720</v>
      </c>
      <c r="M16" s="12" t="s">
        <v>1147</v>
      </c>
    </row>
    <row r="17" spans="1:13">
      <c r="A17" s="36" t="s">
        <v>39</v>
      </c>
      <c r="B17" s="19" t="s">
        <v>68</v>
      </c>
      <c r="C17" s="13" t="s">
        <v>69</v>
      </c>
      <c r="D17" s="13" t="s">
        <v>70</v>
      </c>
      <c r="E17" s="13" t="str">
        <f>"0,7484"</f>
        <v>0,7484</v>
      </c>
      <c r="F17" s="13" t="s">
        <v>71</v>
      </c>
      <c r="G17" s="24" t="s">
        <v>98</v>
      </c>
      <c r="H17" s="25" t="s">
        <v>26</v>
      </c>
      <c r="I17" s="25" t="s">
        <v>26</v>
      </c>
      <c r="J17" s="16"/>
      <c r="K17" s="41" t="str">
        <f>"50,0"</f>
        <v>50,0</v>
      </c>
      <c r="L17" s="16" t="str">
        <f>"37,4200"</f>
        <v>37,4200</v>
      </c>
      <c r="M17" s="13" t="s">
        <v>1188</v>
      </c>
    </row>
    <row r="18" spans="1:13">
      <c r="A18" s="37" t="s">
        <v>39</v>
      </c>
      <c r="B18" s="20" t="s">
        <v>68</v>
      </c>
      <c r="C18" s="14" t="s">
        <v>1221</v>
      </c>
      <c r="D18" s="14" t="s">
        <v>70</v>
      </c>
      <c r="E18" s="14" t="str">
        <f>"0,7484"</f>
        <v>0,7484</v>
      </c>
      <c r="F18" s="14" t="s">
        <v>71</v>
      </c>
      <c r="G18" s="22" t="s">
        <v>98</v>
      </c>
      <c r="H18" s="26" t="s">
        <v>26</v>
      </c>
      <c r="I18" s="26" t="s">
        <v>26</v>
      </c>
      <c r="J18" s="17"/>
      <c r="K18" s="42" t="str">
        <f>"50,0"</f>
        <v>50,0</v>
      </c>
      <c r="L18" s="17" t="str">
        <f>"44,3053"</f>
        <v>44,3053</v>
      </c>
      <c r="M18" s="14" t="s">
        <v>1188</v>
      </c>
    </row>
    <row r="19" spans="1:13">
      <c r="B19" s="6" t="s">
        <v>40</v>
      </c>
    </row>
    <row r="20" spans="1:13" ht="16">
      <c r="A20" s="86" t="s">
        <v>8</v>
      </c>
      <c r="B20" s="86"/>
      <c r="C20" s="86"/>
      <c r="D20" s="86"/>
      <c r="E20" s="86"/>
      <c r="F20" s="86"/>
      <c r="G20" s="86"/>
      <c r="H20" s="86"/>
      <c r="I20" s="86"/>
      <c r="J20" s="86"/>
    </row>
    <row r="21" spans="1:13">
      <c r="A21" s="35" t="s">
        <v>39</v>
      </c>
      <c r="B21" s="18" t="s">
        <v>1148</v>
      </c>
      <c r="C21" s="12" t="s">
        <v>1222</v>
      </c>
      <c r="D21" s="12" t="s">
        <v>358</v>
      </c>
      <c r="E21" s="12" t="str">
        <f>"0,6885"</f>
        <v>0,6885</v>
      </c>
      <c r="F21" s="12" t="s">
        <v>43</v>
      </c>
      <c r="G21" s="21" t="s">
        <v>98</v>
      </c>
      <c r="H21" s="21" t="s">
        <v>26</v>
      </c>
      <c r="I21" s="23" t="s">
        <v>58</v>
      </c>
      <c r="J21" s="15"/>
      <c r="K21" s="40" t="str">
        <f>"55,0"</f>
        <v>55,0</v>
      </c>
      <c r="L21" s="15" t="str">
        <f>"37,8702"</f>
        <v>37,8702</v>
      </c>
      <c r="M21" s="12" t="s">
        <v>1188</v>
      </c>
    </row>
    <row r="22" spans="1:13">
      <c r="A22" s="36" t="s">
        <v>39</v>
      </c>
      <c r="B22" s="19" t="s">
        <v>1080</v>
      </c>
      <c r="C22" s="13" t="s">
        <v>1081</v>
      </c>
      <c r="D22" s="13" t="s">
        <v>44</v>
      </c>
      <c r="E22" s="13" t="str">
        <f>"0,6975"</f>
        <v>0,6975</v>
      </c>
      <c r="F22" s="13" t="s">
        <v>476</v>
      </c>
      <c r="G22" s="24" t="s">
        <v>449</v>
      </c>
      <c r="H22" s="24" t="s">
        <v>59</v>
      </c>
      <c r="I22" s="25" t="s">
        <v>18</v>
      </c>
      <c r="J22" s="16"/>
      <c r="K22" s="41" t="str">
        <f>"72,5"</f>
        <v>72,5</v>
      </c>
      <c r="L22" s="16" t="str">
        <f>"50,5724"</f>
        <v>50,5724</v>
      </c>
      <c r="M22" s="13" t="s">
        <v>995</v>
      </c>
    </row>
    <row r="23" spans="1:13">
      <c r="A23" s="36" t="s">
        <v>117</v>
      </c>
      <c r="B23" s="19" t="s">
        <v>1149</v>
      </c>
      <c r="C23" s="13" t="s">
        <v>1150</v>
      </c>
      <c r="D23" s="13" t="s">
        <v>1151</v>
      </c>
      <c r="E23" s="13" t="str">
        <f>"0,7164"</f>
        <v>0,7164</v>
      </c>
      <c r="F23" s="13" t="s">
        <v>410</v>
      </c>
      <c r="G23" s="24" t="s">
        <v>98</v>
      </c>
      <c r="H23" s="24" t="s">
        <v>1152</v>
      </c>
      <c r="I23" s="24" t="s">
        <v>58</v>
      </c>
      <c r="J23" s="16"/>
      <c r="K23" s="41" t="str">
        <f>"60,0"</f>
        <v>60,0</v>
      </c>
      <c r="L23" s="16" t="str">
        <f>"42,9870"</f>
        <v>42,9870</v>
      </c>
      <c r="M23" s="13" t="s">
        <v>1188</v>
      </c>
    </row>
    <row r="24" spans="1:13">
      <c r="A24" s="36" t="s">
        <v>263</v>
      </c>
      <c r="B24" s="19" t="s">
        <v>99</v>
      </c>
      <c r="C24" s="13" t="s">
        <v>100</v>
      </c>
      <c r="D24" s="13" t="s">
        <v>101</v>
      </c>
      <c r="E24" s="13" t="str">
        <f>"0,7012"</f>
        <v>0,7012</v>
      </c>
      <c r="F24" s="13" t="s">
        <v>102</v>
      </c>
      <c r="G24" s="24" t="s">
        <v>26</v>
      </c>
      <c r="H24" s="25" t="s">
        <v>58</v>
      </c>
      <c r="I24" s="24" t="s">
        <v>58</v>
      </c>
      <c r="J24" s="16"/>
      <c r="K24" s="41" t="str">
        <f>"60,0"</f>
        <v>60,0</v>
      </c>
      <c r="L24" s="16" t="str">
        <f>"42,0690"</f>
        <v>42,0690</v>
      </c>
      <c r="M24" s="13" t="s">
        <v>103</v>
      </c>
    </row>
    <row r="25" spans="1:13">
      <c r="A25" s="36" t="s">
        <v>598</v>
      </c>
      <c r="B25" s="19" t="s">
        <v>1153</v>
      </c>
      <c r="C25" s="13" t="s">
        <v>1154</v>
      </c>
      <c r="D25" s="13" t="s">
        <v>42</v>
      </c>
      <c r="E25" s="13" t="str">
        <f>"0,7140"</f>
        <v>0,7140</v>
      </c>
      <c r="F25" s="13" t="s">
        <v>468</v>
      </c>
      <c r="G25" s="24" t="s">
        <v>98</v>
      </c>
      <c r="H25" s="24" t="s">
        <v>26</v>
      </c>
      <c r="I25" s="25" t="s">
        <v>58</v>
      </c>
      <c r="J25" s="16"/>
      <c r="K25" s="41" t="str">
        <f>"55,0"</f>
        <v>55,0</v>
      </c>
      <c r="L25" s="16" t="str">
        <f>"39,2727"</f>
        <v>39,2727</v>
      </c>
      <c r="M25" s="13" t="s">
        <v>1155</v>
      </c>
    </row>
    <row r="26" spans="1:13">
      <c r="A26" s="36" t="s">
        <v>790</v>
      </c>
      <c r="B26" s="19" t="s">
        <v>1156</v>
      </c>
      <c r="C26" s="13" t="s">
        <v>1157</v>
      </c>
      <c r="D26" s="13" t="s">
        <v>1158</v>
      </c>
      <c r="E26" s="13" t="str">
        <f>"0,7027"</f>
        <v>0,7027</v>
      </c>
      <c r="F26" s="13" t="s">
        <v>377</v>
      </c>
      <c r="G26" s="24" t="s">
        <v>25</v>
      </c>
      <c r="H26" s="24" t="s">
        <v>98</v>
      </c>
      <c r="I26" s="25" t="s">
        <v>58</v>
      </c>
      <c r="J26" s="16"/>
      <c r="K26" s="41" t="str">
        <f>"50,0"</f>
        <v>50,0</v>
      </c>
      <c r="L26" s="16" t="str">
        <f>"35,1325"</f>
        <v>35,1325</v>
      </c>
      <c r="M26" s="13" t="s">
        <v>1188</v>
      </c>
    </row>
    <row r="27" spans="1:13">
      <c r="A27" s="36" t="s">
        <v>39</v>
      </c>
      <c r="B27" s="19" t="s">
        <v>1159</v>
      </c>
      <c r="C27" s="13" t="s">
        <v>1223</v>
      </c>
      <c r="D27" s="13" t="s">
        <v>1160</v>
      </c>
      <c r="E27" s="13" t="str">
        <f>"0,6889"</f>
        <v>0,6889</v>
      </c>
      <c r="F27" s="13" t="s">
        <v>438</v>
      </c>
      <c r="G27" s="24" t="s">
        <v>58</v>
      </c>
      <c r="H27" s="24" t="s">
        <v>481</v>
      </c>
      <c r="I27" s="24" t="s">
        <v>60</v>
      </c>
      <c r="J27" s="16"/>
      <c r="K27" s="41" t="str">
        <f>"65,0"</f>
        <v>65,0</v>
      </c>
      <c r="L27" s="16" t="str">
        <f>"47,2396"</f>
        <v>47,2396</v>
      </c>
      <c r="M27" s="13" t="s">
        <v>1161</v>
      </c>
    </row>
    <row r="28" spans="1:13">
      <c r="A28" s="37" t="s">
        <v>39</v>
      </c>
      <c r="B28" s="20" t="s">
        <v>9</v>
      </c>
      <c r="C28" s="14" t="s">
        <v>10</v>
      </c>
      <c r="D28" s="14" t="s">
        <v>1162</v>
      </c>
      <c r="E28" s="14" t="str">
        <f>"0,7297"</f>
        <v>0,7297</v>
      </c>
      <c r="F28" s="14" t="s">
        <v>12</v>
      </c>
      <c r="G28" s="22" t="s">
        <v>268</v>
      </c>
      <c r="H28" s="22" t="s">
        <v>270</v>
      </c>
      <c r="I28" s="17"/>
      <c r="J28" s="17"/>
      <c r="K28" s="42" t="str">
        <f>"47,5"</f>
        <v>47,5</v>
      </c>
      <c r="L28" s="17" t="str">
        <f>"47,3433"</f>
        <v>47,3433</v>
      </c>
      <c r="M28" s="14" t="s">
        <v>1188</v>
      </c>
    </row>
    <row r="29" spans="1:13">
      <c r="B29" s="6" t="s">
        <v>40</v>
      </c>
    </row>
    <row r="30" spans="1:13" ht="16">
      <c r="A30" s="86" t="s">
        <v>15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13">
      <c r="A31" s="35" t="s">
        <v>39</v>
      </c>
      <c r="B31" s="18" t="s">
        <v>1163</v>
      </c>
      <c r="C31" s="12" t="s">
        <v>1164</v>
      </c>
      <c r="D31" s="12" t="s">
        <v>1165</v>
      </c>
      <c r="E31" s="12" t="str">
        <f>"0,6537"</f>
        <v>0,6537</v>
      </c>
      <c r="F31" s="12" t="s">
        <v>76</v>
      </c>
      <c r="G31" s="21" t="s">
        <v>96</v>
      </c>
      <c r="H31" s="23" t="s">
        <v>51</v>
      </c>
      <c r="I31" s="23" t="s">
        <v>51</v>
      </c>
      <c r="J31" s="15"/>
      <c r="K31" s="40" t="str">
        <f>"90,0"</f>
        <v>90,0</v>
      </c>
      <c r="L31" s="15" t="str">
        <f>"58,8353"</f>
        <v>58,8353</v>
      </c>
      <c r="M31" s="12" t="s">
        <v>1188</v>
      </c>
    </row>
    <row r="32" spans="1:13">
      <c r="A32" s="36" t="s">
        <v>39</v>
      </c>
      <c r="B32" s="19" t="s">
        <v>1028</v>
      </c>
      <c r="C32" s="13" t="s">
        <v>1029</v>
      </c>
      <c r="D32" s="13" t="s">
        <v>75</v>
      </c>
      <c r="E32" s="13" t="str">
        <f>"0,6471"</f>
        <v>0,6471</v>
      </c>
      <c r="F32" s="13" t="s">
        <v>1030</v>
      </c>
      <c r="G32" s="24" t="s">
        <v>26</v>
      </c>
      <c r="H32" s="25" t="s">
        <v>480</v>
      </c>
      <c r="I32" s="24" t="s">
        <v>480</v>
      </c>
      <c r="J32" s="16"/>
      <c r="K32" s="41" t="str">
        <f>"57,5"</f>
        <v>57,5</v>
      </c>
      <c r="L32" s="16" t="str">
        <f>"41,4160"</f>
        <v>41,4160</v>
      </c>
      <c r="M32" s="13" t="s">
        <v>1031</v>
      </c>
    </row>
    <row r="33" spans="1:13">
      <c r="A33" s="37" t="s">
        <v>39</v>
      </c>
      <c r="B33" s="20" t="s">
        <v>1166</v>
      </c>
      <c r="C33" s="14" t="s">
        <v>1224</v>
      </c>
      <c r="D33" s="14" t="s">
        <v>1167</v>
      </c>
      <c r="E33" s="14" t="str">
        <f>"0,6832"</f>
        <v>0,6832</v>
      </c>
      <c r="F33" s="14" t="s">
        <v>1168</v>
      </c>
      <c r="G33" s="22" t="s">
        <v>14</v>
      </c>
      <c r="H33" s="22" t="s">
        <v>25</v>
      </c>
      <c r="I33" s="26" t="s">
        <v>269</v>
      </c>
      <c r="J33" s="17"/>
      <c r="K33" s="42" t="str">
        <f>"40,0"</f>
        <v>40,0</v>
      </c>
      <c r="L33" s="17" t="str">
        <f>"34,0507"</f>
        <v>34,0507</v>
      </c>
      <c r="M33" s="14" t="s">
        <v>1169</v>
      </c>
    </row>
    <row r="34" spans="1:13">
      <c r="B34" s="6" t="s">
        <v>40</v>
      </c>
    </row>
    <row r="35" spans="1:13" ht="16">
      <c r="A35" s="86" t="s">
        <v>53</v>
      </c>
      <c r="B35" s="86"/>
      <c r="C35" s="86"/>
      <c r="D35" s="86"/>
      <c r="E35" s="86"/>
      <c r="F35" s="86"/>
      <c r="G35" s="86"/>
      <c r="H35" s="86"/>
      <c r="I35" s="86"/>
      <c r="J35" s="86"/>
    </row>
    <row r="36" spans="1:13">
      <c r="A36" s="35" t="s">
        <v>39</v>
      </c>
      <c r="B36" s="18" t="s">
        <v>1170</v>
      </c>
      <c r="C36" s="12" t="s">
        <v>1225</v>
      </c>
      <c r="D36" s="12" t="s">
        <v>707</v>
      </c>
      <c r="E36" s="12" t="str">
        <f>"0,6157"</f>
        <v>0,6157</v>
      </c>
      <c r="F36" s="12" t="s">
        <v>16</v>
      </c>
      <c r="G36" s="21" t="s">
        <v>59</v>
      </c>
      <c r="H36" s="21" t="s">
        <v>1171</v>
      </c>
      <c r="I36" s="21" t="s">
        <v>113</v>
      </c>
      <c r="J36" s="15"/>
      <c r="K36" s="40" t="str">
        <f>"77,5"</f>
        <v>77,5</v>
      </c>
      <c r="L36" s="15" t="str">
        <f>"50,9615"</f>
        <v>50,9615</v>
      </c>
      <c r="M36" s="12" t="s">
        <v>1211</v>
      </c>
    </row>
    <row r="37" spans="1:13">
      <c r="A37" s="37" t="s">
        <v>117</v>
      </c>
      <c r="B37" s="20" t="s">
        <v>290</v>
      </c>
      <c r="C37" s="14" t="s">
        <v>296</v>
      </c>
      <c r="D37" s="14" t="s">
        <v>1172</v>
      </c>
      <c r="E37" s="14" t="str">
        <f>"0,6191"</f>
        <v>0,6191</v>
      </c>
      <c r="F37" s="14" t="s">
        <v>293</v>
      </c>
      <c r="G37" s="26" t="s">
        <v>26</v>
      </c>
      <c r="H37" s="22" t="s">
        <v>58</v>
      </c>
      <c r="I37" s="26" t="s">
        <v>60</v>
      </c>
      <c r="J37" s="17"/>
      <c r="K37" s="42" t="str">
        <f>"60,0"</f>
        <v>60,0</v>
      </c>
      <c r="L37" s="17" t="str">
        <f>"37,1430"</f>
        <v>37,1430</v>
      </c>
      <c r="M37" s="14" t="s">
        <v>295</v>
      </c>
    </row>
    <row r="38" spans="1:13">
      <c r="B38" s="6" t="s">
        <v>40</v>
      </c>
    </row>
    <row r="39" spans="1:13" ht="16">
      <c r="A39" s="86" t="s">
        <v>20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3">
      <c r="A40" s="35" t="s">
        <v>39</v>
      </c>
      <c r="B40" s="18" t="s">
        <v>78</v>
      </c>
      <c r="C40" s="12" t="s">
        <v>79</v>
      </c>
      <c r="D40" s="12" t="s">
        <v>80</v>
      </c>
      <c r="E40" s="12" t="str">
        <f>"0,6055"</f>
        <v>0,6055</v>
      </c>
      <c r="F40" s="12" t="s">
        <v>43</v>
      </c>
      <c r="G40" s="23" t="s">
        <v>60</v>
      </c>
      <c r="H40" s="21" t="s">
        <v>60</v>
      </c>
      <c r="I40" s="21" t="s">
        <v>17</v>
      </c>
      <c r="J40" s="15"/>
      <c r="K40" s="40" t="str">
        <f>"70,0"</f>
        <v>70,0</v>
      </c>
      <c r="L40" s="15" t="str">
        <f>"42,3885"</f>
        <v>42,3885</v>
      </c>
      <c r="M40" s="12" t="s">
        <v>81</v>
      </c>
    </row>
    <row r="41" spans="1:13">
      <c r="A41" s="36" t="s">
        <v>117</v>
      </c>
      <c r="B41" s="19" t="s">
        <v>1125</v>
      </c>
      <c r="C41" s="13" t="s">
        <v>1126</v>
      </c>
      <c r="D41" s="13" t="s">
        <v>1127</v>
      </c>
      <c r="E41" s="13" t="str">
        <f>"0,6075"</f>
        <v>0,6075</v>
      </c>
      <c r="F41" s="13" t="s">
        <v>457</v>
      </c>
      <c r="G41" s="24" t="s">
        <v>481</v>
      </c>
      <c r="H41" s="25" t="s">
        <v>449</v>
      </c>
      <c r="I41" s="25" t="s">
        <v>17</v>
      </c>
      <c r="J41" s="16"/>
      <c r="K41" s="41" t="str">
        <f>"62,5"</f>
        <v>62,5</v>
      </c>
      <c r="L41" s="16" t="str">
        <f>"37,9688"</f>
        <v>37,9688</v>
      </c>
      <c r="M41" s="13" t="s">
        <v>1188</v>
      </c>
    </row>
    <row r="42" spans="1:13">
      <c r="A42" s="37" t="s">
        <v>39</v>
      </c>
      <c r="B42" s="20" t="s">
        <v>1173</v>
      </c>
      <c r="C42" s="14" t="s">
        <v>1226</v>
      </c>
      <c r="D42" s="14" t="s">
        <v>1174</v>
      </c>
      <c r="E42" s="14" t="str">
        <f>"0,6108"</f>
        <v>0,6108</v>
      </c>
      <c r="F42" s="14" t="s">
        <v>43</v>
      </c>
      <c r="G42" s="22" t="s">
        <v>60</v>
      </c>
      <c r="H42" s="26" t="s">
        <v>18</v>
      </c>
      <c r="I42" s="26" t="s">
        <v>1175</v>
      </c>
      <c r="J42" s="17"/>
      <c r="K42" s="42" t="str">
        <f>"65,0"</f>
        <v>65,0</v>
      </c>
      <c r="L42" s="17" t="str">
        <f>"40,4927"</f>
        <v>40,4927</v>
      </c>
      <c r="M42" s="14" t="s">
        <v>1188</v>
      </c>
    </row>
    <row r="43" spans="1:13">
      <c r="B43" s="6" t="s">
        <v>40</v>
      </c>
    </row>
    <row r="44" spans="1:13" ht="16">
      <c r="A44" s="86" t="s">
        <v>82</v>
      </c>
      <c r="B44" s="86"/>
      <c r="C44" s="86"/>
      <c r="D44" s="86"/>
      <c r="E44" s="86"/>
      <c r="F44" s="86"/>
      <c r="G44" s="86"/>
      <c r="H44" s="86"/>
      <c r="I44" s="86"/>
      <c r="J44" s="86"/>
    </row>
    <row r="45" spans="1:13">
      <c r="A45" s="38" t="s">
        <v>39</v>
      </c>
      <c r="B45" s="11" t="s">
        <v>47</v>
      </c>
      <c r="C45" s="4" t="s">
        <v>48</v>
      </c>
      <c r="D45" s="4" t="s">
        <v>49</v>
      </c>
      <c r="E45" s="4" t="str">
        <f>"0,5663"</f>
        <v>0,5663</v>
      </c>
      <c r="F45" s="4" t="s">
        <v>50</v>
      </c>
      <c r="G45" s="9" t="s">
        <v>17</v>
      </c>
      <c r="H45" s="10" t="s">
        <v>18</v>
      </c>
      <c r="I45" s="10" t="s">
        <v>18</v>
      </c>
      <c r="J45" s="8"/>
      <c r="K45" s="43" t="str">
        <f>"70,0"</f>
        <v>70,0</v>
      </c>
      <c r="L45" s="8" t="str">
        <f>"39,6410"</f>
        <v>39,6410</v>
      </c>
      <c r="M45" s="4" t="s">
        <v>1188</v>
      </c>
    </row>
    <row r="46" spans="1:13">
      <c r="B46" s="6" t="s">
        <v>40</v>
      </c>
    </row>
    <row r="47" spans="1:13" ht="16">
      <c r="A47" s="86" t="s">
        <v>118</v>
      </c>
      <c r="B47" s="86"/>
      <c r="C47" s="86"/>
      <c r="D47" s="86"/>
      <c r="E47" s="86"/>
      <c r="F47" s="86"/>
      <c r="G47" s="86"/>
      <c r="H47" s="86"/>
      <c r="I47" s="86"/>
      <c r="J47" s="86"/>
    </row>
    <row r="48" spans="1:13">
      <c r="A48" s="35" t="s">
        <v>39</v>
      </c>
      <c r="B48" s="18" t="s">
        <v>645</v>
      </c>
      <c r="C48" s="12" t="s">
        <v>1227</v>
      </c>
      <c r="D48" s="12" t="s">
        <v>647</v>
      </c>
      <c r="E48" s="12" t="str">
        <f>"0,5490"</f>
        <v>0,5490</v>
      </c>
      <c r="F48" s="12" t="s">
        <v>638</v>
      </c>
      <c r="G48" s="21" t="s">
        <v>119</v>
      </c>
      <c r="H48" s="21" t="s">
        <v>55</v>
      </c>
      <c r="I48" s="23" t="s">
        <v>116</v>
      </c>
      <c r="J48" s="15"/>
      <c r="K48" s="40" t="str">
        <f>"102,5"</f>
        <v>102,5</v>
      </c>
      <c r="L48" s="15" t="str">
        <f>"56,2776"</f>
        <v>56,2776</v>
      </c>
      <c r="M48" s="12" t="s">
        <v>1188</v>
      </c>
    </row>
    <row r="49" spans="1:13">
      <c r="A49" s="36" t="s">
        <v>39</v>
      </c>
      <c r="B49" s="19" t="s">
        <v>645</v>
      </c>
      <c r="C49" s="13" t="s">
        <v>648</v>
      </c>
      <c r="D49" s="13" t="s">
        <v>647</v>
      </c>
      <c r="E49" s="13" t="str">
        <f>"0,5490"</f>
        <v>0,5490</v>
      </c>
      <c r="F49" s="13" t="s">
        <v>638</v>
      </c>
      <c r="G49" s="24" t="s">
        <v>119</v>
      </c>
      <c r="H49" s="24" t="s">
        <v>55</v>
      </c>
      <c r="I49" s="25" t="s">
        <v>116</v>
      </c>
      <c r="J49" s="16"/>
      <c r="K49" s="41" t="str">
        <f>"102,5"</f>
        <v>102,5</v>
      </c>
      <c r="L49" s="16" t="str">
        <f>"56,2776"</f>
        <v>56,2776</v>
      </c>
      <c r="M49" s="13" t="s">
        <v>1188</v>
      </c>
    </row>
    <row r="50" spans="1:13">
      <c r="A50" s="37" t="s">
        <v>117</v>
      </c>
      <c r="B50" s="20" t="s">
        <v>1176</v>
      </c>
      <c r="C50" s="14" t="s">
        <v>1177</v>
      </c>
      <c r="D50" s="14" t="s">
        <v>1124</v>
      </c>
      <c r="E50" s="14" t="str">
        <f>"0,5499"</f>
        <v>0,5499</v>
      </c>
      <c r="F50" s="14" t="s">
        <v>1178</v>
      </c>
      <c r="G50" s="22" t="s">
        <v>119</v>
      </c>
      <c r="H50" s="26" t="s">
        <v>1128</v>
      </c>
      <c r="I50" s="26" t="s">
        <v>1128</v>
      </c>
      <c r="J50" s="17"/>
      <c r="K50" s="42" t="str">
        <f>"100,0"</f>
        <v>100,0</v>
      </c>
      <c r="L50" s="17" t="str">
        <f>"54,9900"</f>
        <v>54,9900</v>
      </c>
      <c r="M50" s="14" t="s">
        <v>1188</v>
      </c>
    </row>
    <row r="51" spans="1:13">
      <c r="B51" s="6" t="s">
        <v>40</v>
      </c>
    </row>
    <row r="52" spans="1:13">
      <c r="B52" s="6" t="s">
        <v>40</v>
      </c>
    </row>
    <row r="53" spans="1:13">
      <c r="B53" s="6" t="s">
        <v>40</v>
      </c>
    </row>
    <row r="54" spans="1:13" ht="18">
      <c r="B54" s="33" t="s">
        <v>27</v>
      </c>
      <c r="C54" s="33"/>
    </row>
    <row r="55" spans="1:13" ht="16">
      <c r="B55" s="28" t="s">
        <v>28</v>
      </c>
      <c r="C55" s="28"/>
    </row>
    <row r="56" spans="1:13" ht="14">
      <c r="B56" s="34"/>
      <c r="C56" s="34" t="s">
        <v>29</v>
      </c>
    </row>
    <row r="57" spans="1:13" ht="14">
      <c r="B57" s="5" t="s">
        <v>30</v>
      </c>
      <c r="C57" s="5" t="s">
        <v>31</v>
      </c>
      <c r="D57" s="5" t="s">
        <v>1189</v>
      </c>
      <c r="E57" s="5" t="s">
        <v>38</v>
      </c>
      <c r="F57" s="5" t="s">
        <v>87</v>
      </c>
    </row>
    <row r="58" spans="1:13">
      <c r="B58" s="3" t="s">
        <v>1163</v>
      </c>
      <c r="C58" s="6" t="s">
        <v>29</v>
      </c>
      <c r="D58" s="7" t="s">
        <v>33</v>
      </c>
      <c r="E58" s="7" t="s">
        <v>96</v>
      </c>
      <c r="F58" s="7" t="s">
        <v>1180</v>
      </c>
    </row>
    <row r="59" spans="1:13">
      <c r="B59" s="3" t="s">
        <v>645</v>
      </c>
      <c r="C59" s="6" t="s">
        <v>29</v>
      </c>
      <c r="D59" s="7" t="s">
        <v>120</v>
      </c>
      <c r="E59" s="7" t="s">
        <v>55</v>
      </c>
      <c r="F59" s="7" t="s">
        <v>1179</v>
      </c>
    </row>
    <row r="60" spans="1:13">
      <c r="B60" s="3" t="s">
        <v>1176</v>
      </c>
      <c r="C60" s="6" t="s">
        <v>29</v>
      </c>
      <c r="D60" s="7" t="s">
        <v>120</v>
      </c>
      <c r="E60" s="7" t="s">
        <v>119</v>
      </c>
      <c r="F60" s="7" t="s">
        <v>1181</v>
      </c>
    </row>
    <row r="61" spans="1:13">
      <c r="B61" s="3"/>
    </row>
    <row r="62" spans="1:13" ht="14">
      <c r="B62" s="34"/>
      <c r="C62" s="34" t="s">
        <v>35</v>
      </c>
    </row>
    <row r="63" spans="1:13" ht="14">
      <c r="B63" s="5" t="s">
        <v>30</v>
      </c>
      <c r="C63" s="5" t="s">
        <v>31</v>
      </c>
      <c r="D63" s="5" t="s">
        <v>1189</v>
      </c>
      <c r="E63" s="5" t="s">
        <v>38</v>
      </c>
      <c r="F63" s="5" t="s">
        <v>87</v>
      </c>
    </row>
    <row r="64" spans="1:13">
      <c r="B64" s="3" t="s">
        <v>1170</v>
      </c>
      <c r="C64" s="6" t="s">
        <v>262</v>
      </c>
      <c r="D64" s="7" t="s">
        <v>64</v>
      </c>
      <c r="E64" s="7" t="s">
        <v>113</v>
      </c>
      <c r="F64" s="7" t="s">
        <v>1182</v>
      </c>
    </row>
    <row r="65" spans="2:6">
      <c r="B65" s="3" t="s">
        <v>9</v>
      </c>
      <c r="C65" s="6" t="s">
        <v>36</v>
      </c>
      <c r="D65" s="7" t="s">
        <v>37</v>
      </c>
      <c r="E65" s="7" t="s">
        <v>270</v>
      </c>
      <c r="F65" s="7" t="s">
        <v>1183</v>
      </c>
    </row>
    <row r="66" spans="2:6">
      <c r="B66" s="3" t="s">
        <v>1159</v>
      </c>
      <c r="C66" s="6" t="s">
        <v>262</v>
      </c>
      <c r="D66" s="7" t="s">
        <v>37</v>
      </c>
      <c r="E66" s="7" t="s">
        <v>60</v>
      </c>
      <c r="F66" s="7" t="s">
        <v>1184</v>
      </c>
    </row>
    <row r="67" spans="2:6">
      <c r="B67" s="6" t="s">
        <v>40</v>
      </c>
    </row>
  </sheetData>
  <mergeCells count="21">
    <mergeCell ref="A39:J39"/>
    <mergeCell ref="A44:J44"/>
    <mergeCell ref="A47:J47"/>
    <mergeCell ref="B3:B4"/>
    <mergeCell ref="A8:J8"/>
    <mergeCell ref="A12:J12"/>
    <mergeCell ref="A15:J15"/>
    <mergeCell ref="A20:J20"/>
    <mergeCell ref="A30:J30"/>
    <mergeCell ref="A35:J3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4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18.6640625" style="6" bestFit="1" customWidth="1"/>
    <col min="3" max="3" width="27.83203125" style="3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7" width="5.5" style="2" customWidth="1"/>
    <col min="18" max="18" width="4.83203125" style="2" customWidth="1"/>
    <col min="19" max="19" width="7.83203125" style="39" bestFit="1" customWidth="1"/>
    <col min="20" max="20" width="8.5" style="2" bestFit="1" customWidth="1"/>
    <col min="21" max="21" width="18.6640625" style="3" bestFit="1" customWidth="1"/>
    <col min="22" max="16384" width="9.1640625" style="3"/>
  </cols>
  <sheetData>
    <row r="1" spans="1:21" s="2" customFormat="1" ht="29" customHeight="1">
      <c r="A1" s="74" t="s">
        <v>1193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</row>
    <row r="2" spans="1:21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122</v>
      </c>
      <c r="H3" s="85"/>
      <c r="I3" s="85"/>
      <c r="J3" s="85"/>
      <c r="K3" s="85" t="s">
        <v>123</v>
      </c>
      <c r="L3" s="85"/>
      <c r="M3" s="85"/>
      <c r="N3" s="85"/>
      <c r="O3" s="85" t="s">
        <v>124</v>
      </c>
      <c r="P3" s="85"/>
      <c r="Q3" s="85"/>
      <c r="R3" s="85"/>
      <c r="S3" s="87" t="s">
        <v>1</v>
      </c>
      <c r="T3" s="85" t="s">
        <v>3</v>
      </c>
      <c r="U3" s="89" t="s">
        <v>2</v>
      </c>
    </row>
    <row r="4" spans="1:21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27">
        <v>1</v>
      </c>
      <c r="L4" s="27">
        <v>2</v>
      </c>
      <c r="M4" s="27">
        <v>3</v>
      </c>
      <c r="N4" s="27" t="s">
        <v>4</v>
      </c>
      <c r="O4" s="27">
        <v>1</v>
      </c>
      <c r="P4" s="27">
        <v>2</v>
      </c>
      <c r="Q4" s="27">
        <v>3</v>
      </c>
      <c r="R4" s="27" t="s">
        <v>4</v>
      </c>
      <c r="S4" s="88"/>
      <c r="T4" s="84"/>
      <c r="U4" s="90"/>
    </row>
    <row r="5" spans="1:21" ht="16">
      <c r="A5" s="86" t="s">
        <v>326</v>
      </c>
      <c r="B5" s="86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>
      <c r="A6" s="38" t="s">
        <v>39</v>
      </c>
      <c r="B6" s="11" t="s">
        <v>327</v>
      </c>
      <c r="C6" s="4" t="s">
        <v>328</v>
      </c>
      <c r="D6" s="4" t="s">
        <v>329</v>
      </c>
      <c r="E6" s="72">
        <v>1.3285</v>
      </c>
      <c r="F6" s="4" t="s">
        <v>72</v>
      </c>
      <c r="G6" s="9" t="s">
        <v>51</v>
      </c>
      <c r="H6" s="10" t="s">
        <v>276</v>
      </c>
      <c r="I6" s="10" t="s">
        <v>276</v>
      </c>
      <c r="J6" s="8"/>
      <c r="K6" s="9" t="s">
        <v>268</v>
      </c>
      <c r="L6" s="10" t="s">
        <v>269</v>
      </c>
      <c r="M6" s="9" t="s">
        <v>269</v>
      </c>
      <c r="N6" s="8"/>
      <c r="O6" s="9" t="s">
        <v>277</v>
      </c>
      <c r="P6" s="9" t="s">
        <v>57</v>
      </c>
      <c r="Q6" s="10" t="s">
        <v>314</v>
      </c>
      <c r="R6" s="8"/>
      <c r="S6" s="43" t="str">
        <f>"255,0"</f>
        <v>255,0</v>
      </c>
      <c r="T6" s="73">
        <f>S6*E6</f>
        <v>338.76749999999998</v>
      </c>
      <c r="U6" s="4" t="s">
        <v>330</v>
      </c>
    </row>
    <row r="7" spans="1:21">
      <c r="B7" s="6" t="s">
        <v>40</v>
      </c>
    </row>
    <row r="8" spans="1:21" ht="16">
      <c r="A8" s="86" t="s">
        <v>272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1">
      <c r="A9" s="38" t="s">
        <v>39</v>
      </c>
      <c r="B9" s="11" t="s">
        <v>331</v>
      </c>
      <c r="C9" s="4" t="s">
        <v>332</v>
      </c>
      <c r="D9" s="4" t="s">
        <v>333</v>
      </c>
      <c r="E9" s="4" t="str">
        <f>"1,1916"</f>
        <v>1,1916</v>
      </c>
      <c r="F9" s="4" t="s">
        <v>334</v>
      </c>
      <c r="G9" s="10" t="s">
        <v>142</v>
      </c>
      <c r="H9" s="9" t="s">
        <v>335</v>
      </c>
      <c r="I9" s="9" t="s">
        <v>143</v>
      </c>
      <c r="J9" s="8"/>
      <c r="K9" s="9" t="s">
        <v>17</v>
      </c>
      <c r="L9" s="10" t="s">
        <v>18</v>
      </c>
      <c r="M9" s="9" t="s">
        <v>18</v>
      </c>
      <c r="N9" s="8"/>
      <c r="O9" s="9" t="s">
        <v>336</v>
      </c>
      <c r="P9" s="10" t="s">
        <v>283</v>
      </c>
      <c r="Q9" s="9" t="s">
        <v>283</v>
      </c>
      <c r="R9" s="8"/>
      <c r="S9" s="43" t="str">
        <f>"405,0"</f>
        <v>405,0</v>
      </c>
      <c r="T9" s="8" t="str">
        <f>"482,5980"</f>
        <v>482,5980</v>
      </c>
      <c r="U9" s="4" t="s">
        <v>330</v>
      </c>
    </row>
    <row r="10" spans="1:21">
      <c r="B10" s="6" t="s">
        <v>40</v>
      </c>
    </row>
    <row r="11" spans="1:21" ht="16">
      <c r="A11" s="86" t="s">
        <v>46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21">
      <c r="A12" s="35" t="s">
        <v>39</v>
      </c>
      <c r="B12" s="18" t="s">
        <v>337</v>
      </c>
      <c r="C12" s="12" t="s">
        <v>338</v>
      </c>
      <c r="D12" s="12" t="s">
        <v>339</v>
      </c>
      <c r="E12" s="12" t="str">
        <f>"1,1149"</f>
        <v>1,1149</v>
      </c>
      <c r="F12" s="12" t="s">
        <v>72</v>
      </c>
      <c r="G12" s="23" t="s">
        <v>180</v>
      </c>
      <c r="H12" s="21" t="s">
        <v>180</v>
      </c>
      <c r="I12" s="21" t="s">
        <v>62</v>
      </c>
      <c r="J12" s="15"/>
      <c r="K12" s="21" t="s">
        <v>94</v>
      </c>
      <c r="L12" s="21" t="s">
        <v>96</v>
      </c>
      <c r="M12" s="23" t="s">
        <v>51</v>
      </c>
      <c r="N12" s="15"/>
      <c r="O12" s="21" t="s">
        <v>302</v>
      </c>
      <c r="P12" s="23" t="s">
        <v>340</v>
      </c>
      <c r="Q12" s="23" t="s">
        <v>340</v>
      </c>
      <c r="R12" s="15"/>
      <c r="S12" s="40" t="str">
        <f>"390,0"</f>
        <v>390,0</v>
      </c>
      <c r="T12" s="15" t="str">
        <f>"434,8110"</f>
        <v>434,8110</v>
      </c>
      <c r="U12" s="12" t="s">
        <v>330</v>
      </c>
    </row>
    <row r="13" spans="1:21">
      <c r="A13" s="36" t="s">
        <v>117</v>
      </c>
      <c r="B13" s="19" t="s">
        <v>341</v>
      </c>
      <c r="C13" s="13" t="s">
        <v>342</v>
      </c>
      <c r="D13" s="13" t="s">
        <v>339</v>
      </c>
      <c r="E13" s="13" t="str">
        <f>"1,1149"</f>
        <v>1,1149</v>
      </c>
      <c r="F13" s="13" t="s">
        <v>343</v>
      </c>
      <c r="G13" s="24" t="s">
        <v>179</v>
      </c>
      <c r="H13" s="24" t="s">
        <v>61</v>
      </c>
      <c r="I13" s="25" t="s">
        <v>180</v>
      </c>
      <c r="J13" s="16"/>
      <c r="K13" s="24" t="s">
        <v>59</v>
      </c>
      <c r="L13" s="24" t="s">
        <v>19</v>
      </c>
      <c r="M13" s="25" t="s">
        <v>344</v>
      </c>
      <c r="N13" s="16"/>
      <c r="O13" s="24" t="s">
        <v>294</v>
      </c>
      <c r="P13" s="24" t="s">
        <v>180</v>
      </c>
      <c r="Q13" s="24" t="s">
        <v>106</v>
      </c>
      <c r="R13" s="16"/>
      <c r="S13" s="41" t="str">
        <f>"350,0"</f>
        <v>350,0</v>
      </c>
      <c r="T13" s="16" t="str">
        <f>"390,2150"</f>
        <v>390,2150</v>
      </c>
      <c r="U13" s="13" t="s">
        <v>345</v>
      </c>
    </row>
    <row r="14" spans="1:21">
      <c r="A14" s="37" t="s">
        <v>263</v>
      </c>
      <c r="B14" s="20" t="s">
        <v>346</v>
      </c>
      <c r="C14" s="14" t="s">
        <v>347</v>
      </c>
      <c r="D14" s="14" t="s">
        <v>348</v>
      </c>
      <c r="E14" s="14" t="str">
        <f>"1,1163"</f>
        <v>1,1163</v>
      </c>
      <c r="F14" s="14" t="s">
        <v>72</v>
      </c>
      <c r="G14" s="22" t="s">
        <v>113</v>
      </c>
      <c r="H14" s="22" t="s">
        <v>344</v>
      </c>
      <c r="I14" s="22" t="s">
        <v>51</v>
      </c>
      <c r="J14" s="17"/>
      <c r="K14" s="22" t="s">
        <v>25</v>
      </c>
      <c r="L14" s="22" t="s">
        <v>269</v>
      </c>
      <c r="M14" s="26" t="s">
        <v>98</v>
      </c>
      <c r="N14" s="17"/>
      <c r="O14" s="22" t="s">
        <v>19</v>
      </c>
      <c r="P14" s="22" t="s">
        <v>96</v>
      </c>
      <c r="Q14" s="22" t="s">
        <v>119</v>
      </c>
      <c r="R14" s="17"/>
      <c r="S14" s="42" t="str">
        <f>"237,5"</f>
        <v>237,5</v>
      </c>
      <c r="T14" s="17" t="str">
        <f>"265,1212"</f>
        <v>265,1212</v>
      </c>
      <c r="U14" s="14" t="s">
        <v>349</v>
      </c>
    </row>
    <row r="15" spans="1:21">
      <c r="B15" s="6" t="s">
        <v>40</v>
      </c>
    </row>
    <row r="16" spans="1:21" ht="16">
      <c r="A16" s="86" t="s">
        <v>15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21">
      <c r="A17" s="35" t="s">
        <v>39</v>
      </c>
      <c r="B17" s="18" t="s">
        <v>350</v>
      </c>
      <c r="C17" s="12" t="s">
        <v>351</v>
      </c>
      <c r="D17" s="12" t="s">
        <v>352</v>
      </c>
      <c r="E17" s="12" t="str">
        <f>"0,9215"</f>
        <v>0,9215</v>
      </c>
      <c r="F17" s="12" t="s">
        <v>43</v>
      </c>
      <c r="G17" s="21" t="s">
        <v>205</v>
      </c>
      <c r="H17" s="23" t="s">
        <v>152</v>
      </c>
      <c r="I17" s="23" t="s">
        <v>152</v>
      </c>
      <c r="J17" s="15"/>
      <c r="K17" s="21" t="s">
        <v>52</v>
      </c>
      <c r="L17" s="21" t="s">
        <v>119</v>
      </c>
      <c r="M17" s="23" t="s">
        <v>116</v>
      </c>
      <c r="N17" s="15"/>
      <c r="O17" s="21" t="s">
        <v>353</v>
      </c>
      <c r="P17" s="21" t="s">
        <v>152</v>
      </c>
      <c r="Q17" s="15"/>
      <c r="R17" s="15"/>
      <c r="S17" s="40" t="str">
        <f>"430,0"</f>
        <v>430,0</v>
      </c>
      <c r="T17" s="15" t="str">
        <f>"396,2450"</f>
        <v>396,2450</v>
      </c>
      <c r="U17" s="12" t="s">
        <v>354</v>
      </c>
    </row>
    <row r="18" spans="1:21">
      <c r="A18" s="36" t="s">
        <v>39</v>
      </c>
      <c r="B18" s="19" t="s">
        <v>355</v>
      </c>
      <c r="C18" s="13" t="s">
        <v>356</v>
      </c>
      <c r="D18" s="13" t="s">
        <v>73</v>
      </c>
      <c r="E18" s="13" t="str">
        <f>"0,9290"</f>
        <v>0,9290</v>
      </c>
      <c r="F18" s="13" t="s">
        <v>72</v>
      </c>
      <c r="G18" s="24" t="s">
        <v>63</v>
      </c>
      <c r="H18" s="24" t="s">
        <v>205</v>
      </c>
      <c r="I18" s="24" t="s">
        <v>353</v>
      </c>
      <c r="J18" s="16"/>
      <c r="K18" s="24" t="s">
        <v>284</v>
      </c>
      <c r="L18" s="24" t="s">
        <v>278</v>
      </c>
      <c r="M18" s="24" t="s">
        <v>57</v>
      </c>
      <c r="N18" s="16"/>
      <c r="O18" s="24" t="s">
        <v>131</v>
      </c>
      <c r="P18" s="24" t="s">
        <v>132</v>
      </c>
      <c r="Q18" s="25" t="s">
        <v>144</v>
      </c>
      <c r="R18" s="16"/>
      <c r="S18" s="41" t="str">
        <f>"472,5"</f>
        <v>472,5</v>
      </c>
      <c r="T18" s="16" t="str">
        <f>"438,9525"</f>
        <v>438,9525</v>
      </c>
      <c r="U18" s="13" t="s">
        <v>330</v>
      </c>
    </row>
    <row r="19" spans="1:21">
      <c r="A19" s="37" t="s">
        <v>117</v>
      </c>
      <c r="B19" s="20" t="s">
        <v>350</v>
      </c>
      <c r="C19" s="14" t="s">
        <v>357</v>
      </c>
      <c r="D19" s="14" t="s">
        <v>352</v>
      </c>
      <c r="E19" s="14" t="str">
        <f>"0,9215"</f>
        <v>0,9215</v>
      </c>
      <c r="F19" s="14" t="s">
        <v>43</v>
      </c>
      <c r="G19" s="22" t="s">
        <v>205</v>
      </c>
      <c r="H19" s="26" t="s">
        <v>152</v>
      </c>
      <c r="I19" s="26" t="s">
        <v>152</v>
      </c>
      <c r="J19" s="17"/>
      <c r="K19" s="22" t="s">
        <v>52</v>
      </c>
      <c r="L19" s="22" t="s">
        <v>119</v>
      </c>
      <c r="M19" s="26" t="s">
        <v>116</v>
      </c>
      <c r="N19" s="17"/>
      <c r="O19" s="22" t="s">
        <v>353</v>
      </c>
      <c r="P19" s="22" t="s">
        <v>152</v>
      </c>
      <c r="Q19" s="17"/>
      <c r="R19" s="17"/>
      <c r="S19" s="42" t="str">
        <f>"430,0"</f>
        <v>430,0</v>
      </c>
      <c r="T19" s="17" t="str">
        <f>"396,2450"</f>
        <v>396,2450</v>
      </c>
      <c r="U19" s="14" t="s">
        <v>354</v>
      </c>
    </row>
    <row r="20" spans="1:21">
      <c r="B20" s="6" t="s">
        <v>40</v>
      </c>
    </row>
    <row r="21" spans="1:21" ht="16">
      <c r="A21" s="86" t="s">
        <v>8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21">
      <c r="A22" s="38" t="s">
        <v>39</v>
      </c>
      <c r="B22" s="11" t="s">
        <v>9</v>
      </c>
      <c r="C22" s="4" t="s">
        <v>359</v>
      </c>
      <c r="D22" s="4" t="s">
        <v>11</v>
      </c>
      <c r="E22" s="4" t="str">
        <f>"0,7578"</f>
        <v>0,7578</v>
      </c>
      <c r="F22" s="4" t="s">
        <v>12</v>
      </c>
      <c r="G22" s="9" t="s">
        <v>278</v>
      </c>
      <c r="H22" s="9" t="s">
        <v>179</v>
      </c>
      <c r="I22" s="9" t="s">
        <v>360</v>
      </c>
      <c r="J22" s="8"/>
      <c r="K22" s="10" t="s">
        <v>19</v>
      </c>
      <c r="L22" s="9" t="s">
        <v>19</v>
      </c>
      <c r="M22" s="10" t="s">
        <v>361</v>
      </c>
      <c r="N22" s="8"/>
      <c r="O22" s="9" t="s">
        <v>107</v>
      </c>
      <c r="P22" s="9" t="s">
        <v>205</v>
      </c>
      <c r="Q22" s="9" t="s">
        <v>353</v>
      </c>
      <c r="R22" s="8"/>
      <c r="S22" s="43" t="str">
        <f>"375,5"</f>
        <v>375,5</v>
      </c>
      <c r="T22" s="8" t="str">
        <f>"401,2210"</f>
        <v>401,2210</v>
      </c>
      <c r="U22" s="4" t="s">
        <v>1188</v>
      </c>
    </row>
    <row r="23" spans="1:21">
      <c r="B23" s="6" t="s">
        <v>40</v>
      </c>
    </row>
    <row r="24" spans="1:21" ht="16">
      <c r="A24" s="86" t="s">
        <v>53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1:21">
      <c r="A25" s="35" t="s">
        <v>39</v>
      </c>
      <c r="B25" s="18" t="s">
        <v>362</v>
      </c>
      <c r="C25" s="12" t="s">
        <v>363</v>
      </c>
      <c r="D25" s="12" t="s">
        <v>364</v>
      </c>
      <c r="E25" s="12" t="str">
        <f>"0,6436"</f>
        <v>0,6436</v>
      </c>
      <c r="F25" s="12" t="s">
        <v>43</v>
      </c>
      <c r="G25" s="21" t="s">
        <v>165</v>
      </c>
      <c r="H25" s="21" t="s">
        <v>323</v>
      </c>
      <c r="I25" s="23" t="s">
        <v>134</v>
      </c>
      <c r="J25" s="15"/>
      <c r="K25" s="21" t="s">
        <v>107</v>
      </c>
      <c r="L25" s="21" t="s">
        <v>365</v>
      </c>
      <c r="M25" s="21" t="s">
        <v>152</v>
      </c>
      <c r="N25" s="15"/>
      <c r="O25" s="21" t="s">
        <v>172</v>
      </c>
      <c r="P25" s="21" t="s">
        <v>200</v>
      </c>
      <c r="Q25" s="21" t="s">
        <v>158</v>
      </c>
      <c r="R25" s="15"/>
      <c r="S25" s="40" t="str">
        <f>"672,5"</f>
        <v>672,5</v>
      </c>
      <c r="T25" s="15" t="str">
        <f>"432,8210"</f>
        <v>432,8210</v>
      </c>
      <c r="U25" s="12" t="s">
        <v>1188</v>
      </c>
    </row>
    <row r="26" spans="1:21">
      <c r="A26" s="37" t="s">
        <v>117</v>
      </c>
      <c r="B26" s="20" t="s">
        <v>366</v>
      </c>
      <c r="C26" s="14" t="s">
        <v>367</v>
      </c>
      <c r="D26" s="14" t="s">
        <v>74</v>
      </c>
      <c r="E26" s="14" t="str">
        <f>"0,6384"</f>
        <v>0,6384</v>
      </c>
      <c r="F26" s="14" t="s">
        <v>368</v>
      </c>
      <c r="G26" s="22" t="s">
        <v>145</v>
      </c>
      <c r="H26" s="22" t="s">
        <v>171</v>
      </c>
      <c r="I26" s="22" t="s">
        <v>133</v>
      </c>
      <c r="J26" s="17"/>
      <c r="K26" s="22" t="s">
        <v>205</v>
      </c>
      <c r="L26" s="22" t="s">
        <v>152</v>
      </c>
      <c r="M26" s="22" t="s">
        <v>369</v>
      </c>
      <c r="N26" s="17"/>
      <c r="O26" s="22" t="s">
        <v>145</v>
      </c>
      <c r="P26" s="22" t="s">
        <v>316</v>
      </c>
      <c r="Q26" s="22" t="s">
        <v>323</v>
      </c>
      <c r="R26" s="17"/>
      <c r="S26" s="42" t="str">
        <f>"657,5"</f>
        <v>657,5</v>
      </c>
      <c r="T26" s="17" t="str">
        <f>"419,7480"</f>
        <v>419,7480</v>
      </c>
      <c r="U26" s="14" t="s">
        <v>370</v>
      </c>
    </row>
    <row r="27" spans="1:21">
      <c r="B27" s="6" t="s">
        <v>40</v>
      </c>
    </row>
    <row r="28" spans="1:21" ht="16">
      <c r="A28" s="86" t="s">
        <v>20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21">
      <c r="A29" s="35" t="s">
        <v>39</v>
      </c>
      <c r="B29" s="18" t="s">
        <v>371</v>
      </c>
      <c r="C29" s="12" t="s">
        <v>372</v>
      </c>
      <c r="D29" s="12" t="s">
        <v>373</v>
      </c>
      <c r="E29" s="12" t="str">
        <f>"0,6123"</f>
        <v>0,6123</v>
      </c>
      <c r="F29" s="12" t="s">
        <v>43</v>
      </c>
      <c r="G29" s="21" t="s">
        <v>145</v>
      </c>
      <c r="H29" s="21" t="s">
        <v>133</v>
      </c>
      <c r="I29" s="21" t="s">
        <v>158</v>
      </c>
      <c r="J29" s="15"/>
      <c r="K29" s="21" t="s">
        <v>152</v>
      </c>
      <c r="L29" s="21" t="s">
        <v>283</v>
      </c>
      <c r="M29" s="21" t="s">
        <v>144</v>
      </c>
      <c r="N29" s="15"/>
      <c r="O29" s="21" t="s">
        <v>133</v>
      </c>
      <c r="P29" s="21" t="s">
        <v>158</v>
      </c>
      <c r="Q29" s="21" t="s">
        <v>216</v>
      </c>
      <c r="R29" s="15"/>
      <c r="S29" s="40" t="str">
        <f>"740,0"</f>
        <v>740,0</v>
      </c>
      <c r="T29" s="15" t="str">
        <f>"453,1020"</f>
        <v>453,1020</v>
      </c>
      <c r="U29" s="12" t="s">
        <v>1209</v>
      </c>
    </row>
    <row r="30" spans="1:21">
      <c r="A30" s="36" t="s">
        <v>117</v>
      </c>
      <c r="B30" s="19" t="s">
        <v>374</v>
      </c>
      <c r="C30" s="13" t="s">
        <v>375</v>
      </c>
      <c r="D30" s="13" t="s">
        <v>376</v>
      </c>
      <c r="E30" s="13" t="str">
        <f>"0,6370"</f>
        <v>0,6370</v>
      </c>
      <c r="F30" s="13" t="s">
        <v>377</v>
      </c>
      <c r="G30" s="24" t="s">
        <v>132</v>
      </c>
      <c r="H30" s="25" t="s">
        <v>144</v>
      </c>
      <c r="I30" s="25" t="s">
        <v>144</v>
      </c>
      <c r="J30" s="16"/>
      <c r="K30" s="24" t="s">
        <v>180</v>
      </c>
      <c r="L30" s="24" t="s">
        <v>106</v>
      </c>
      <c r="M30" s="25" t="s">
        <v>63</v>
      </c>
      <c r="N30" s="16"/>
      <c r="O30" s="24" t="s">
        <v>171</v>
      </c>
      <c r="P30" s="24" t="s">
        <v>133</v>
      </c>
      <c r="Q30" s="25" t="s">
        <v>172</v>
      </c>
      <c r="R30" s="16"/>
      <c r="S30" s="41" t="str">
        <f>"570,0"</f>
        <v>570,0</v>
      </c>
      <c r="T30" s="16" t="str">
        <f>"363,0900"</f>
        <v>363,0900</v>
      </c>
      <c r="U30" s="13" t="s">
        <v>1188</v>
      </c>
    </row>
    <row r="31" spans="1:21">
      <c r="A31" s="37" t="s">
        <v>45</v>
      </c>
      <c r="B31" s="20" t="s">
        <v>378</v>
      </c>
      <c r="C31" s="14" t="s">
        <v>379</v>
      </c>
      <c r="D31" s="14" t="s">
        <v>380</v>
      </c>
      <c r="E31" s="14" t="str">
        <f>"0,6174"</f>
        <v>0,6174</v>
      </c>
      <c r="F31" s="14" t="s">
        <v>43</v>
      </c>
      <c r="G31" s="22" t="s">
        <v>164</v>
      </c>
      <c r="H31" s="22" t="s">
        <v>381</v>
      </c>
      <c r="I31" s="26" t="s">
        <v>382</v>
      </c>
      <c r="J31" s="17"/>
      <c r="K31" s="26"/>
      <c r="L31" s="17"/>
      <c r="M31" s="17"/>
      <c r="N31" s="17"/>
      <c r="O31" s="26"/>
      <c r="P31" s="17"/>
      <c r="Q31" s="17"/>
      <c r="R31" s="17"/>
      <c r="S31" s="42">
        <v>0</v>
      </c>
      <c r="T31" s="17" t="str">
        <f>"0,0000"</f>
        <v>0,0000</v>
      </c>
      <c r="U31" s="14" t="s">
        <v>383</v>
      </c>
    </row>
    <row r="32" spans="1:21">
      <c r="B32" s="6" t="s">
        <v>40</v>
      </c>
    </row>
    <row r="33" spans="1:21" ht="16">
      <c r="A33" s="86" t="s">
        <v>82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1:21">
      <c r="A34" s="35" t="s">
        <v>39</v>
      </c>
      <c r="B34" s="18" t="s">
        <v>384</v>
      </c>
      <c r="C34" s="12" t="s">
        <v>385</v>
      </c>
      <c r="D34" s="12" t="s">
        <v>84</v>
      </c>
      <c r="E34" s="12" t="str">
        <f>"0,5898"</f>
        <v>0,5898</v>
      </c>
      <c r="F34" s="12" t="s">
        <v>43</v>
      </c>
      <c r="G34" s="21" t="s">
        <v>133</v>
      </c>
      <c r="H34" s="23" t="s">
        <v>173</v>
      </c>
      <c r="I34" s="21" t="s">
        <v>173</v>
      </c>
      <c r="J34" s="15"/>
      <c r="K34" s="21" t="s">
        <v>107</v>
      </c>
      <c r="L34" s="21" t="s">
        <v>365</v>
      </c>
      <c r="M34" s="21" t="s">
        <v>152</v>
      </c>
      <c r="N34" s="15"/>
      <c r="O34" s="21" t="s">
        <v>135</v>
      </c>
      <c r="P34" s="21" t="s">
        <v>204</v>
      </c>
      <c r="Q34" s="23" t="s">
        <v>130</v>
      </c>
      <c r="R34" s="15"/>
      <c r="S34" s="40" t="str">
        <f>"710,0"</f>
        <v>710,0</v>
      </c>
      <c r="T34" s="15" t="str">
        <f>"418,7580"</f>
        <v>418,7580</v>
      </c>
      <c r="U34" s="12" t="s">
        <v>1188</v>
      </c>
    </row>
    <row r="35" spans="1:21">
      <c r="A35" s="36" t="s">
        <v>117</v>
      </c>
      <c r="B35" s="19" t="s">
        <v>386</v>
      </c>
      <c r="C35" s="13" t="s">
        <v>387</v>
      </c>
      <c r="D35" s="13" t="s">
        <v>388</v>
      </c>
      <c r="E35" s="13" t="str">
        <f>"0,6046"</f>
        <v>0,6046</v>
      </c>
      <c r="F35" s="13" t="s">
        <v>389</v>
      </c>
      <c r="G35" s="24" t="s">
        <v>171</v>
      </c>
      <c r="H35" s="25" t="s">
        <v>133</v>
      </c>
      <c r="I35" s="25" t="s">
        <v>134</v>
      </c>
      <c r="J35" s="16"/>
      <c r="K35" s="24" t="s">
        <v>106</v>
      </c>
      <c r="L35" s="24" t="s">
        <v>63</v>
      </c>
      <c r="M35" s="25" t="s">
        <v>205</v>
      </c>
      <c r="N35" s="16"/>
      <c r="O35" s="25" t="s">
        <v>171</v>
      </c>
      <c r="P35" s="24" t="s">
        <v>171</v>
      </c>
      <c r="Q35" s="24" t="s">
        <v>134</v>
      </c>
      <c r="R35" s="16"/>
      <c r="S35" s="41" t="str">
        <f>"630,0"</f>
        <v>630,0</v>
      </c>
      <c r="T35" s="16" t="str">
        <f>"380,8980"</f>
        <v>380,8980</v>
      </c>
      <c r="U35" s="13" t="s">
        <v>1188</v>
      </c>
    </row>
    <row r="36" spans="1:21">
      <c r="A36" s="36" t="s">
        <v>263</v>
      </c>
      <c r="B36" s="19" t="s">
        <v>390</v>
      </c>
      <c r="C36" s="13" t="s">
        <v>391</v>
      </c>
      <c r="D36" s="13" t="s">
        <v>67</v>
      </c>
      <c r="E36" s="13" t="str">
        <f>"0,5885"</f>
        <v>0,5885</v>
      </c>
      <c r="F36" s="13" t="s">
        <v>43</v>
      </c>
      <c r="G36" s="24" t="s">
        <v>369</v>
      </c>
      <c r="H36" s="24" t="s">
        <v>132</v>
      </c>
      <c r="I36" s="24" t="s">
        <v>141</v>
      </c>
      <c r="J36" s="16"/>
      <c r="K36" s="24" t="s">
        <v>52</v>
      </c>
      <c r="L36" s="24" t="s">
        <v>116</v>
      </c>
      <c r="M36" s="24" t="s">
        <v>278</v>
      </c>
      <c r="N36" s="16"/>
      <c r="O36" s="24" t="s">
        <v>132</v>
      </c>
      <c r="P36" s="25" t="s">
        <v>141</v>
      </c>
      <c r="Q36" s="24" t="s">
        <v>141</v>
      </c>
      <c r="R36" s="16"/>
      <c r="S36" s="41" t="str">
        <f>"525,0"</f>
        <v>525,0</v>
      </c>
      <c r="T36" s="16" t="str">
        <f>"308,9625"</f>
        <v>308,9625</v>
      </c>
      <c r="U36" s="13" t="s">
        <v>392</v>
      </c>
    </row>
    <row r="37" spans="1:21">
      <c r="A37" s="36" t="s">
        <v>39</v>
      </c>
      <c r="B37" s="19" t="s">
        <v>393</v>
      </c>
      <c r="C37" s="13" t="s">
        <v>394</v>
      </c>
      <c r="D37" s="13" t="s">
        <v>312</v>
      </c>
      <c r="E37" s="13" t="str">
        <f>"0,5937"</f>
        <v>0,5937</v>
      </c>
      <c r="F37" s="13" t="s">
        <v>395</v>
      </c>
      <c r="G37" s="24" t="s">
        <v>216</v>
      </c>
      <c r="H37" s="24" t="s">
        <v>130</v>
      </c>
      <c r="I37" s="24" t="s">
        <v>187</v>
      </c>
      <c r="J37" s="16"/>
      <c r="K37" s="24" t="s">
        <v>131</v>
      </c>
      <c r="L37" s="24" t="s">
        <v>283</v>
      </c>
      <c r="M37" s="24" t="s">
        <v>132</v>
      </c>
      <c r="N37" s="16"/>
      <c r="O37" s="24" t="s">
        <v>135</v>
      </c>
      <c r="P37" s="24" t="s">
        <v>204</v>
      </c>
      <c r="Q37" s="24" t="s">
        <v>129</v>
      </c>
      <c r="R37" s="16"/>
      <c r="S37" s="41" t="str">
        <f>"790,0"</f>
        <v>790,0</v>
      </c>
      <c r="T37" s="16" t="str">
        <f>"469,0230"</f>
        <v>469,0230</v>
      </c>
      <c r="U37" s="13" t="s">
        <v>396</v>
      </c>
    </row>
    <row r="38" spans="1:21">
      <c r="A38" s="36" t="s">
        <v>117</v>
      </c>
      <c r="B38" s="19" t="s">
        <v>397</v>
      </c>
      <c r="C38" s="13" t="s">
        <v>398</v>
      </c>
      <c r="D38" s="13" t="s">
        <v>399</v>
      </c>
      <c r="E38" s="13" t="str">
        <f>"0,5907"</f>
        <v>0,5907</v>
      </c>
      <c r="F38" s="13" t="s">
        <v>43</v>
      </c>
      <c r="G38" s="24" t="s">
        <v>204</v>
      </c>
      <c r="H38" s="25" t="s">
        <v>186</v>
      </c>
      <c r="I38" s="25" t="s">
        <v>186</v>
      </c>
      <c r="J38" s="16"/>
      <c r="K38" s="24" t="s">
        <v>144</v>
      </c>
      <c r="L38" s="24" t="s">
        <v>141</v>
      </c>
      <c r="M38" s="24" t="s">
        <v>65</v>
      </c>
      <c r="N38" s="16"/>
      <c r="O38" s="24" t="s">
        <v>150</v>
      </c>
      <c r="P38" s="24" t="s">
        <v>216</v>
      </c>
      <c r="Q38" s="25" t="s">
        <v>186</v>
      </c>
      <c r="R38" s="16"/>
      <c r="S38" s="41" t="str">
        <f>"772,5"</f>
        <v>772,5</v>
      </c>
      <c r="T38" s="16" t="str">
        <f>"456,3157"</f>
        <v>456,3157</v>
      </c>
      <c r="U38" s="13" t="s">
        <v>400</v>
      </c>
    </row>
    <row r="39" spans="1:21">
      <c r="A39" s="37" t="s">
        <v>263</v>
      </c>
      <c r="B39" s="20" t="s">
        <v>401</v>
      </c>
      <c r="C39" s="14" t="s">
        <v>402</v>
      </c>
      <c r="D39" s="14" t="s">
        <v>403</v>
      </c>
      <c r="E39" s="14" t="str">
        <f>"0,5887"</f>
        <v>0,5887</v>
      </c>
      <c r="F39" s="14" t="s">
        <v>43</v>
      </c>
      <c r="G39" s="22" t="s">
        <v>171</v>
      </c>
      <c r="H39" s="22" t="s">
        <v>133</v>
      </c>
      <c r="I39" s="26" t="s">
        <v>134</v>
      </c>
      <c r="J39" s="17"/>
      <c r="K39" s="22" t="s">
        <v>131</v>
      </c>
      <c r="L39" s="22" t="s">
        <v>404</v>
      </c>
      <c r="M39" s="22" t="s">
        <v>132</v>
      </c>
      <c r="N39" s="17"/>
      <c r="O39" s="22" t="s">
        <v>158</v>
      </c>
      <c r="P39" s="22" t="s">
        <v>405</v>
      </c>
      <c r="Q39" s="26" t="s">
        <v>204</v>
      </c>
      <c r="R39" s="17"/>
      <c r="S39" s="42" t="str">
        <f>"702,5"</f>
        <v>702,5</v>
      </c>
      <c r="T39" s="17" t="str">
        <f>"413,5617"</f>
        <v>413,5617</v>
      </c>
      <c r="U39" s="14" t="s">
        <v>406</v>
      </c>
    </row>
    <row r="40" spans="1:21">
      <c r="B40" s="6" t="s">
        <v>40</v>
      </c>
    </row>
    <row r="41" spans="1:21" ht="16">
      <c r="A41" s="86" t="s">
        <v>118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21">
      <c r="A42" s="35" t="s">
        <v>39</v>
      </c>
      <c r="B42" s="18" t="s">
        <v>407</v>
      </c>
      <c r="C42" s="12" t="s">
        <v>408</v>
      </c>
      <c r="D42" s="12" t="s">
        <v>409</v>
      </c>
      <c r="E42" s="12" t="str">
        <f>"0,5803"</f>
        <v>0,5803</v>
      </c>
      <c r="F42" s="12" t="s">
        <v>410</v>
      </c>
      <c r="G42" s="21" t="s">
        <v>131</v>
      </c>
      <c r="H42" s="23" t="s">
        <v>144</v>
      </c>
      <c r="I42" s="21" t="s">
        <v>144</v>
      </c>
      <c r="J42" s="15"/>
      <c r="K42" s="21" t="s">
        <v>63</v>
      </c>
      <c r="L42" s="23" t="s">
        <v>205</v>
      </c>
      <c r="M42" s="23" t="s">
        <v>205</v>
      </c>
      <c r="N42" s="15"/>
      <c r="O42" s="21" t="s">
        <v>144</v>
      </c>
      <c r="P42" s="21" t="s">
        <v>145</v>
      </c>
      <c r="Q42" s="23" t="s">
        <v>171</v>
      </c>
      <c r="R42" s="15"/>
      <c r="S42" s="40" t="str">
        <f>"570,0"</f>
        <v>570,0</v>
      </c>
      <c r="T42" s="15" t="str">
        <f>"330,7710"</f>
        <v>330,7710</v>
      </c>
      <c r="U42" s="12" t="s">
        <v>1210</v>
      </c>
    </row>
    <row r="43" spans="1:21">
      <c r="A43" s="37" t="s">
        <v>39</v>
      </c>
      <c r="B43" s="20" t="s">
        <v>411</v>
      </c>
      <c r="C43" s="14" t="s">
        <v>412</v>
      </c>
      <c r="D43" s="14" t="s">
        <v>413</v>
      </c>
      <c r="E43" s="14" t="str">
        <f>"0,5852"</f>
        <v>0,5852</v>
      </c>
      <c r="F43" s="14" t="s">
        <v>414</v>
      </c>
      <c r="G43" s="26" t="s">
        <v>129</v>
      </c>
      <c r="H43" s="22" t="s">
        <v>129</v>
      </c>
      <c r="I43" s="17"/>
      <c r="J43" s="17"/>
      <c r="K43" s="22" t="s">
        <v>131</v>
      </c>
      <c r="L43" s="26" t="s">
        <v>132</v>
      </c>
      <c r="M43" s="17"/>
      <c r="N43" s="17"/>
      <c r="O43" s="22" t="s">
        <v>129</v>
      </c>
      <c r="P43" s="26" t="s">
        <v>187</v>
      </c>
      <c r="Q43" s="26" t="s">
        <v>187</v>
      </c>
      <c r="R43" s="17"/>
      <c r="S43" s="42" t="str">
        <f>"760,0"</f>
        <v>760,0</v>
      </c>
      <c r="T43" s="17" t="str">
        <f>"444,7520"</f>
        <v>444,7520</v>
      </c>
      <c r="U43" s="14" t="s">
        <v>1211</v>
      </c>
    </row>
    <row r="44" spans="1:21">
      <c r="B44" s="6" t="s">
        <v>40</v>
      </c>
    </row>
    <row r="45" spans="1:21" ht="16">
      <c r="A45" s="86" t="s">
        <v>244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21">
      <c r="A46" s="38" t="s">
        <v>39</v>
      </c>
      <c r="B46" s="11" t="s">
        <v>415</v>
      </c>
      <c r="C46" s="4" t="s">
        <v>416</v>
      </c>
      <c r="D46" s="4" t="s">
        <v>417</v>
      </c>
      <c r="E46" s="4" t="str">
        <f>"0,5698"</f>
        <v>0,5698</v>
      </c>
      <c r="F46" s="4" t="s">
        <v>418</v>
      </c>
      <c r="G46" s="9" t="s">
        <v>188</v>
      </c>
      <c r="H46" s="9" t="s">
        <v>210</v>
      </c>
      <c r="I46" s="10" t="s">
        <v>190</v>
      </c>
      <c r="J46" s="8"/>
      <c r="K46" s="9" t="s">
        <v>181</v>
      </c>
      <c r="L46" s="10" t="s">
        <v>145</v>
      </c>
      <c r="M46" s="9" t="s">
        <v>145</v>
      </c>
      <c r="N46" s="8"/>
      <c r="O46" s="9" t="s">
        <v>130</v>
      </c>
      <c r="P46" s="9" t="s">
        <v>419</v>
      </c>
      <c r="Q46" s="8"/>
      <c r="R46" s="8"/>
      <c r="S46" s="43" t="str">
        <f>"885,0"</f>
        <v>885,0</v>
      </c>
      <c r="T46" s="8" t="str">
        <f>"504,2730"</f>
        <v>504,2730</v>
      </c>
      <c r="U46" s="4" t="s">
        <v>1188</v>
      </c>
    </row>
    <row r="47" spans="1:21">
      <c r="B47" s="6" t="s">
        <v>40</v>
      </c>
    </row>
    <row r="50" spans="2:6" ht="18">
      <c r="B50" s="33" t="s">
        <v>27</v>
      </c>
      <c r="C50" s="33"/>
    </row>
    <row r="51" spans="2:6" ht="16">
      <c r="B51" s="28" t="s">
        <v>86</v>
      </c>
      <c r="C51" s="28"/>
    </row>
    <row r="52" spans="2:6" ht="14">
      <c r="B52" s="34"/>
      <c r="C52" s="34" t="s">
        <v>29</v>
      </c>
    </row>
    <row r="53" spans="2:6" ht="14">
      <c r="B53" s="5" t="s">
        <v>30</v>
      </c>
      <c r="C53" s="5" t="s">
        <v>31</v>
      </c>
      <c r="D53" s="5" t="s">
        <v>1189</v>
      </c>
      <c r="E53" s="5" t="s">
        <v>32</v>
      </c>
      <c r="F53" s="5" t="s">
        <v>253</v>
      </c>
    </row>
    <row r="54" spans="2:6">
      <c r="B54" s="3" t="s">
        <v>331</v>
      </c>
      <c r="C54" s="6" t="s">
        <v>29</v>
      </c>
      <c r="D54" s="7" t="s">
        <v>325</v>
      </c>
      <c r="E54" s="7" t="s">
        <v>420</v>
      </c>
      <c r="F54" s="7" t="s">
        <v>421</v>
      </c>
    </row>
    <row r="55" spans="2:6">
      <c r="B55" s="3" t="s">
        <v>355</v>
      </c>
      <c r="C55" s="6" t="s">
        <v>29</v>
      </c>
      <c r="D55" s="7" t="s">
        <v>33</v>
      </c>
      <c r="E55" s="7" t="s">
        <v>422</v>
      </c>
      <c r="F55" s="7" t="s">
        <v>423</v>
      </c>
    </row>
    <row r="56" spans="2:6">
      <c r="B56" s="3" t="s">
        <v>337</v>
      </c>
      <c r="C56" s="6" t="s">
        <v>29</v>
      </c>
      <c r="D56" s="7" t="s">
        <v>109</v>
      </c>
      <c r="E56" s="7" t="s">
        <v>250</v>
      </c>
      <c r="F56" s="7" t="s">
        <v>424</v>
      </c>
    </row>
    <row r="57" spans="2:6">
      <c r="B57" s="3"/>
    </row>
    <row r="58" spans="2:6" ht="16">
      <c r="B58" s="28" t="s">
        <v>28</v>
      </c>
      <c r="C58" s="28"/>
    </row>
    <row r="59" spans="2:6" ht="14">
      <c r="B59" s="34"/>
      <c r="C59" s="34" t="s">
        <v>29</v>
      </c>
    </row>
    <row r="60" spans="2:6" ht="14">
      <c r="B60" s="5" t="s">
        <v>30</v>
      </c>
      <c r="C60" s="5" t="s">
        <v>31</v>
      </c>
      <c r="D60" s="5" t="s">
        <v>1189</v>
      </c>
      <c r="E60" s="5" t="s">
        <v>32</v>
      </c>
      <c r="F60" s="5" t="s">
        <v>253</v>
      </c>
    </row>
    <row r="61" spans="2:6">
      <c r="B61" s="3" t="s">
        <v>415</v>
      </c>
      <c r="C61" s="6" t="s">
        <v>29</v>
      </c>
      <c r="D61" s="7" t="s">
        <v>256</v>
      </c>
      <c r="E61" s="7" t="s">
        <v>425</v>
      </c>
      <c r="F61" s="7" t="s">
        <v>426</v>
      </c>
    </row>
    <row r="62" spans="2:6">
      <c r="B62" s="3" t="s">
        <v>393</v>
      </c>
      <c r="C62" s="6" t="s">
        <v>29</v>
      </c>
      <c r="D62" s="7" t="s">
        <v>88</v>
      </c>
      <c r="E62" s="7" t="s">
        <v>427</v>
      </c>
      <c r="F62" s="7" t="s">
        <v>428</v>
      </c>
    </row>
    <row r="63" spans="2:6">
      <c r="B63" s="3" t="s">
        <v>397</v>
      </c>
      <c r="C63" s="6" t="s">
        <v>29</v>
      </c>
      <c r="D63" s="7" t="s">
        <v>88</v>
      </c>
      <c r="E63" s="7" t="s">
        <v>429</v>
      </c>
      <c r="F63" s="7" t="s">
        <v>430</v>
      </c>
    </row>
    <row r="64" spans="2:6">
      <c r="B64" s="6" t="s">
        <v>40</v>
      </c>
    </row>
  </sheetData>
  <mergeCells count="23">
    <mergeCell ref="A33:R33"/>
    <mergeCell ref="A41:R41"/>
    <mergeCell ref="A45:R45"/>
    <mergeCell ref="B3:B4"/>
    <mergeCell ref="A8:R8"/>
    <mergeCell ref="A11:R11"/>
    <mergeCell ref="A16:R16"/>
    <mergeCell ref="A21:R21"/>
    <mergeCell ref="A24:R24"/>
    <mergeCell ref="A28:R28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28"/>
  <sheetViews>
    <sheetView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20.1640625" style="6" bestFit="1" customWidth="1"/>
    <col min="3" max="3" width="27.83203125" style="3" customWidth="1"/>
    <col min="4" max="4" width="21.5" style="3" bestFit="1" customWidth="1"/>
    <col min="5" max="5" width="10.5" style="3" bestFit="1" customWidth="1"/>
    <col min="6" max="6" width="15.5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7" width="5.5" style="2" customWidth="1"/>
    <col min="18" max="18" width="4.83203125" style="2" customWidth="1"/>
    <col min="19" max="19" width="7.83203125" style="39" bestFit="1" customWidth="1"/>
    <col min="20" max="20" width="8.5" style="2" bestFit="1" customWidth="1"/>
    <col min="21" max="21" width="15.5" style="3" bestFit="1" customWidth="1"/>
    <col min="22" max="16384" width="9.1640625" style="3"/>
  </cols>
  <sheetData>
    <row r="1" spans="1:21" s="2" customFormat="1" ht="29" customHeight="1">
      <c r="A1" s="74" t="s">
        <v>1194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</row>
    <row r="2" spans="1:21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122</v>
      </c>
      <c r="H3" s="85"/>
      <c r="I3" s="85"/>
      <c r="J3" s="85"/>
      <c r="K3" s="85" t="s">
        <v>123</v>
      </c>
      <c r="L3" s="85"/>
      <c r="M3" s="85"/>
      <c r="N3" s="85"/>
      <c r="O3" s="85" t="s">
        <v>124</v>
      </c>
      <c r="P3" s="85"/>
      <c r="Q3" s="85"/>
      <c r="R3" s="85"/>
      <c r="S3" s="87" t="s">
        <v>1</v>
      </c>
      <c r="T3" s="85" t="s">
        <v>3</v>
      </c>
      <c r="U3" s="89" t="s">
        <v>2</v>
      </c>
    </row>
    <row r="4" spans="1:21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27">
        <v>1</v>
      </c>
      <c r="L4" s="27">
        <v>2</v>
      </c>
      <c r="M4" s="27">
        <v>3</v>
      </c>
      <c r="N4" s="27" t="s">
        <v>4</v>
      </c>
      <c r="O4" s="27">
        <v>1</v>
      </c>
      <c r="P4" s="27">
        <v>2</v>
      </c>
      <c r="Q4" s="27">
        <v>3</v>
      </c>
      <c r="R4" s="27" t="s">
        <v>4</v>
      </c>
      <c r="S4" s="88"/>
      <c r="T4" s="84"/>
      <c r="U4" s="90"/>
    </row>
    <row r="5" spans="1:21" ht="16">
      <c r="A5" s="86" t="s">
        <v>89</v>
      </c>
      <c r="B5" s="86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>
      <c r="A6" s="38" t="s">
        <v>39</v>
      </c>
      <c r="B6" s="11" t="s">
        <v>264</v>
      </c>
      <c r="C6" s="4" t="s">
        <v>265</v>
      </c>
      <c r="D6" s="4" t="s">
        <v>266</v>
      </c>
      <c r="E6" s="4" t="str">
        <f>"1,2522"</f>
        <v>1,2522</v>
      </c>
      <c r="F6" s="4" t="s">
        <v>267</v>
      </c>
      <c r="G6" s="10" t="s">
        <v>18</v>
      </c>
      <c r="H6" s="9" t="s">
        <v>18</v>
      </c>
      <c r="I6" s="9" t="s">
        <v>114</v>
      </c>
      <c r="J6" s="8"/>
      <c r="K6" s="9" t="s">
        <v>268</v>
      </c>
      <c r="L6" s="9" t="s">
        <v>269</v>
      </c>
      <c r="M6" s="10" t="s">
        <v>270</v>
      </c>
      <c r="N6" s="8"/>
      <c r="O6" s="9" t="s">
        <v>113</v>
      </c>
      <c r="P6" s="9" t="s">
        <v>114</v>
      </c>
      <c r="Q6" s="9" t="s">
        <v>94</v>
      </c>
      <c r="R6" s="8"/>
      <c r="S6" s="43" t="str">
        <f>"215,0"</f>
        <v>215,0</v>
      </c>
      <c r="T6" s="8" t="str">
        <f>"269,2230"</f>
        <v>269,2230</v>
      </c>
      <c r="U6" s="4" t="s">
        <v>271</v>
      </c>
    </row>
    <row r="7" spans="1:21">
      <c r="B7" s="6" t="s">
        <v>40</v>
      </c>
    </row>
    <row r="8" spans="1:21" ht="16">
      <c r="A8" s="86" t="s">
        <v>272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1">
      <c r="A9" s="38" t="s">
        <v>39</v>
      </c>
      <c r="B9" s="11" t="s">
        <v>273</v>
      </c>
      <c r="C9" s="4" t="s">
        <v>274</v>
      </c>
      <c r="D9" s="4" t="s">
        <v>275</v>
      </c>
      <c r="E9" s="4" t="str">
        <f>"1,1933"</f>
        <v>1,1933</v>
      </c>
      <c r="F9" s="4" t="s">
        <v>231</v>
      </c>
      <c r="G9" s="9" t="s">
        <v>96</v>
      </c>
      <c r="H9" s="9" t="s">
        <v>276</v>
      </c>
      <c r="I9" s="9" t="s">
        <v>116</v>
      </c>
      <c r="J9" s="8"/>
      <c r="K9" s="9" t="s">
        <v>26</v>
      </c>
      <c r="L9" s="10" t="s">
        <v>58</v>
      </c>
      <c r="M9" s="10" t="s">
        <v>58</v>
      </c>
      <c r="N9" s="8"/>
      <c r="O9" s="10" t="s">
        <v>119</v>
      </c>
      <c r="P9" s="9" t="s">
        <v>277</v>
      </c>
      <c r="Q9" s="10" t="s">
        <v>278</v>
      </c>
      <c r="R9" s="8"/>
      <c r="S9" s="43" t="str">
        <f>"270,0"</f>
        <v>270,0</v>
      </c>
      <c r="T9" s="8" t="str">
        <f>"322,1910"</f>
        <v>322,1910</v>
      </c>
      <c r="U9" s="4" t="s">
        <v>1212</v>
      </c>
    </row>
    <row r="10" spans="1:21">
      <c r="B10" s="6" t="s">
        <v>40</v>
      </c>
    </row>
    <row r="11" spans="1:21" ht="16">
      <c r="A11" s="86" t="s">
        <v>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21">
      <c r="A12" s="38" t="s">
        <v>39</v>
      </c>
      <c r="B12" s="11" t="s">
        <v>279</v>
      </c>
      <c r="C12" s="4" t="s">
        <v>280</v>
      </c>
      <c r="D12" s="4" t="s">
        <v>281</v>
      </c>
      <c r="E12" s="4" t="str">
        <f>"0,7337"</f>
        <v>0,7337</v>
      </c>
      <c r="F12" s="4" t="s">
        <v>282</v>
      </c>
      <c r="G12" s="9" t="s">
        <v>283</v>
      </c>
      <c r="H12" s="9" t="s">
        <v>189</v>
      </c>
      <c r="I12" s="10" t="s">
        <v>181</v>
      </c>
      <c r="J12" s="8"/>
      <c r="K12" s="9" t="s">
        <v>119</v>
      </c>
      <c r="L12" s="9" t="s">
        <v>284</v>
      </c>
      <c r="M12" s="9" t="s">
        <v>56</v>
      </c>
      <c r="N12" s="8"/>
      <c r="O12" s="9" t="s">
        <v>181</v>
      </c>
      <c r="P12" s="9" t="s">
        <v>164</v>
      </c>
      <c r="Q12" s="10" t="s">
        <v>133</v>
      </c>
      <c r="R12" s="8"/>
      <c r="S12" s="43" t="str">
        <f>"532,5"</f>
        <v>532,5</v>
      </c>
      <c r="T12" s="8" t="str">
        <f>"390,6952"</f>
        <v>390,6952</v>
      </c>
      <c r="U12" s="4" t="s">
        <v>1188</v>
      </c>
    </row>
    <row r="13" spans="1:21">
      <c r="B13" s="6" t="s">
        <v>40</v>
      </c>
    </row>
    <row r="14" spans="1:21" ht="16">
      <c r="A14" s="86" t="s">
        <v>53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21">
      <c r="A15" s="35" t="s">
        <v>39</v>
      </c>
      <c r="B15" s="18" t="s">
        <v>285</v>
      </c>
      <c r="C15" s="12" t="s">
        <v>286</v>
      </c>
      <c r="D15" s="12" t="s">
        <v>287</v>
      </c>
      <c r="E15" s="12" t="str">
        <f>"0,6455"</f>
        <v>0,6455</v>
      </c>
      <c r="F15" s="12" t="s">
        <v>288</v>
      </c>
      <c r="G15" s="23" t="s">
        <v>132</v>
      </c>
      <c r="H15" s="21" t="s">
        <v>132</v>
      </c>
      <c r="I15" s="23" t="s">
        <v>144</v>
      </c>
      <c r="J15" s="15"/>
      <c r="K15" s="21" t="s">
        <v>119</v>
      </c>
      <c r="L15" s="21" t="s">
        <v>116</v>
      </c>
      <c r="M15" s="21" t="s">
        <v>284</v>
      </c>
      <c r="N15" s="15"/>
      <c r="O15" s="21" t="s">
        <v>205</v>
      </c>
      <c r="P15" s="21" t="s">
        <v>131</v>
      </c>
      <c r="Q15" s="23" t="s">
        <v>144</v>
      </c>
      <c r="R15" s="15"/>
      <c r="S15" s="40" t="str">
        <f>"477,5"</f>
        <v>477,5</v>
      </c>
      <c r="T15" s="15" t="str">
        <f>"308,2263"</f>
        <v>308,2263</v>
      </c>
      <c r="U15" s="12" t="s">
        <v>289</v>
      </c>
    </row>
    <row r="16" spans="1:21">
      <c r="A16" s="36" t="s">
        <v>45</v>
      </c>
      <c r="B16" s="19" t="s">
        <v>290</v>
      </c>
      <c r="C16" s="13" t="s">
        <v>291</v>
      </c>
      <c r="D16" s="13" t="s">
        <v>292</v>
      </c>
      <c r="E16" s="13" t="str">
        <f>"0,6479"</f>
        <v>0,6479</v>
      </c>
      <c r="F16" s="13" t="s">
        <v>293</v>
      </c>
      <c r="G16" s="25" t="s">
        <v>131</v>
      </c>
      <c r="H16" s="25" t="s">
        <v>131</v>
      </c>
      <c r="I16" s="25" t="s">
        <v>131</v>
      </c>
      <c r="J16" s="16"/>
      <c r="K16" s="25"/>
      <c r="L16" s="25"/>
      <c r="M16" s="16"/>
      <c r="N16" s="16"/>
      <c r="O16" s="25"/>
      <c r="P16" s="16"/>
      <c r="Q16" s="16"/>
      <c r="R16" s="16"/>
      <c r="S16" s="41">
        <v>0</v>
      </c>
      <c r="T16" s="16" t="str">
        <f>"0,0000"</f>
        <v>0,0000</v>
      </c>
      <c r="U16" s="13" t="s">
        <v>295</v>
      </c>
    </row>
    <row r="17" spans="1:21">
      <c r="A17" s="37" t="s">
        <v>45</v>
      </c>
      <c r="B17" s="20" t="s">
        <v>290</v>
      </c>
      <c r="C17" s="14" t="s">
        <v>296</v>
      </c>
      <c r="D17" s="14" t="s">
        <v>292</v>
      </c>
      <c r="E17" s="14" t="str">
        <f>"0,6479"</f>
        <v>0,6479</v>
      </c>
      <c r="F17" s="14" t="s">
        <v>293</v>
      </c>
      <c r="G17" s="26" t="s">
        <v>131</v>
      </c>
      <c r="H17" s="26" t="s">
        <v>131</v>
      </c>
      <c r="I17" s="26" t="s">
        <v>131</v>
      </c>
      <c r="J17" s="17"/>
      <c r="K17" s="26"/>
      <c r="L17" s="26"/>
      <c r="M17" s="17"/>
      <c r="N17" s="17"/>
      <c r="O17" s="26"/>
      <c r="P17" s="17"/>
      <c r="Q17" s="17"/>
      <c r="R17" s="17"/>
      <c r="S17" s="42">
        <v>0</v>
      </c>
      <c r="T17" s="17" t="str">
        <f>"0,0000"</f>
        <v>0,0000</v>
      </c>
      <c r="U17" s="14" t="s">
        <v>295</v>
      </c>
    </row>
    <row r="18" spans="1:21">
      <c r="B18" s="6" t="s">
        <v>40</v>
      </c>
    </row>
    <row r="19" spans="1:21" ht="16">
      <c r="A19" s="86" t="s">
        <v>20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21">
      <c r="A20" s="35" t="s">
        <v>39</v>
      </c>
      <c r="B20" s="18" t="s">
        <v>297</v>
      </c>
      <c r="C20" s="12" t="s">
        <v>298</v>
      </c>
      <c r="D20" s="12" t="s">
        <v>299</v>
      </c>
      <c r="E20" s="12" t="str">
        <f>"0,6200"</f>
        <v>0,6200</v>
      </c>
      <c r="F20" s="12" t="s">
        <v>300</v>
      </c>
      <c r="G20" s="21" t="s">
        <v>165</v>
      </c>
      <c r="H20" s="21" t="s">
        <v>134</v>
      </c>
      <c r="I20" s="23" t="s">
        <v>158</v>
      </c>
      <c r="J20" s="15"/>
      <c r="K20" s="21" t="s">
        <v>143</v>
      </c>
      <c r="L20" s="21" t="s">
        <v>301</v>
      </c>
      <c r="M20" s="21" t="s">
        <v>302</v>
      </c>
      <c r="N20" s="15"/>
      <c r="O20" s="23" t="s">
        <v>163</v>
      </c>
      <c r="P20" s="21" t="s">
        <v>163</v>
      </c>
      <c r="Q20" s="21" t="s">
        <v>171</v>
      </c>
      <c r="R20" s="15"/>
      <c r="S20" s="40" t="str">
        <f>"637,5"</f>
        <v>637,5</v>
      </c>
      <c r="T20" s="15" t="str">
        <f>"395,2500"</f>
        <v>395,2500</v>
      </c>
      <c r="U20" s="12" t="s">
        <v>303</v>
      </c>
    </row>
    <row r="21" spans="1:21">
      <c r="A21" s="37" t="s">
        <v>117</v>
      </c>
      <c r="B21" s="20" t="s">
        <v>304</v>
      </c>
      <c r="C21" s="14" t="s">
        <v>305</v>
      </c>
      <c r="D21" s="14" t="s">
        <v>306</v>
      </c>
      <c r="E21" s="14" t="str">
        <f>"0,6086"</f>
        <v>0,6086</v>
      </c>
      <c r="F21" s="14" t="s">
        <v>307</v>
      </c>
      <c r="G21" s="22" t="s">
        <v>141</v>
      </c>
      <c r="H21" s="26" t="s">
        <v>145</v>
      </c>
      <c r="I21" s="26" t="s">
        <v>308</v>
      </c>
      <c r="J21" s="17"/>
      <c r="K21" s="22" t="s">
        <v>63</v>
      </c>
      <c r="L21" s="26" t="s">
        <v>302</v>
      </c>
      <c r="M21" s="26" t="s">
        <v>302</v>
      </c>
      <c r="N21" s="17"/>
      <c r="O21" s="22" t="s">
        <v>189</v>
      </c>
      <c r="P21" s="26" t="s">
        <v>141</v>
      </c>
      <c r="Q21" s="22" t="s">
        <v>181</v>
      </c>
      <c r="R21" s="17"/>
      <c r="S21" s="42" t="str">
        <f>"565,0"</f>
        <v>565,0</v>
      </c>
      <c r="T21" s="17" t="str">
        <f>"343,8590"</f>
        <v>343,8590</v>
      </c>
      <c r="U21" s="14" t="s">
        <v>309</v>
      </c>
    </row>
    <row r="22" spans="1:21">
      <c r="B22" s="6" t="s">
        <v>40</v>
      </c>
    </row>
    <row r="23" spans="1:21" ht="16">
      <c r="A23" s="86" t="s">
        <v>82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21">
      <c r="A24" s="38" t="s">
        <v>39</v>
      </c>
      <c r="B24" s="11" t="s">
        <v>310</v>
      </c>
      <c r="C24" s="4" t="s">
        <v>311</v>
      </c>
      <c r="D24" s="4" t="s">
        <v>312</v>
      </c>
      <c r="E24" s="4" t="str">
        <f>"0,5937"</f>
        <v>0,5937</v>
      </c>
      <c r="F24" s="4" t="s">
        <v>313</v>
      </c>
      <c r="G24" s="9" t="s">
        <v>189</v>
      </c>
      <c r="H24" s="9" t="s">
        <v>141</v>
      </c>
      <c r="I24" s="9" t="s">
        <v>163</v>
      </c>
      <c r="J24" s="8"/>
      <c r="K24" s="9" t="s">
        <v>278</v>
      </c>
      <c r="L24" s="9" t="s">
        <v>314</v>
      </c>
      <c r="M24" s="9" t="s">
        <v>315</v>
      </c>
      <c r="N24" s="8"/>
      <c r="O24" s="9" t="s">
        <v>316</v>
      </c>
      <c r="P24" s="10" t="s">
        <v>172</v>
      </c>
      <c r="Q24" s="10" t="s">
        <v>134</v>
      </c>
      <c r="R24" s="8"/>
      <c r="S24" s="43" t="str">
        <f>"575,0"</f>
        <v>575,0</v>
      </c>
      <c r="T24" s="8" t="str">
        <f>"341,3775"</f>
        <v>341,3775</v>
      </c>
      <c r="U24" s="4" t="s">
        <v>317</v>
      </c>
    </row>
    <row r="25" spans="1:21">
      <c r="B25" s="6" t="s">
        <v>40</v>
      </c>
    </row>
    <row r="26" spans="1:21" ht="16">
      <c r="A26" s="86" t="s">
        <v>118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1:21">
      <c r="A27" s="38" t="s">
        <v>39</v>
      </c>
      <c r="B27" s="11" t="s">
        <v>318</v>
      </c>
      <c r="C27" s="4" t="s">
        <v>319</v>
      </c>
      <c r="D27" s="4" t="s">
        <v>320</v>
      </c>
      <c r="E27" s="4" t="str">
        <f>"0,5823"</f>
        <v>0,5823</v>
      </c>
      <c r="F27" s="4" t="s">
        <v>313</v>
      </c>
      <c r="G27" s="9" t="s">
        <v>141</v>
      </c>
      <c r="H27" s="9" t="s">
        <v>321</v>
      </c>
      <c r="I27" s="9" t="s">
        <v>164</v>
      </c>
      <c r="J27" s="8"/>
      <c r="K27" s="9" t="s">
        <v>322</v>
      </c>
      <c r="L27" s="10" t="s">
        <v>63</v>
      </c>
      <c r="M27" s="9" t="s">
        <v>301</v>
      </c>
      <c r="N27" s="8"/>
      <c r="O27" s="9" t="s">
        <v>323</v>
      </c>
      <c r="P27" s="9" t="s">
        <v>134</v>
      </c>
      <c r="Q27" s="9" t="s">
        <v>158</v>
      </c>
      <c r="R27" s="8"/>
      <c r="S27" s="43" t="str">
        <f>"637,5"</f>
        <v>637,5</v>
      </c>
      <c r="T27" s="8" t="str">
        <f>"371,2163"</f>
        <v>371,2163</v>
      </c>
      <c r="U27" s="4" t="s">
        <v>317</v>
      </c>
    </row>
    <row r="28" spans="1:21">
      <c r="B28" s="6" t="s">
        <v>40</v>
      </c>
    </row>
  </sheetData>
  <mergeCells count="20"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9:R19"/>
    <mergeCell ref="A23:R23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48"/>
  <sheetViews>
    <sheetView topLeftCell="A33" workbookViewId="0">
      <selection sqref="A1:U2"/>
    </sheetView>
  </sheetViews>
  <sheetFormatPr baseColWidth="10" defaultColWidth="9.1640625" defaultRowHeight="13"/>
  <cols>
    <col min="1" max="1" width="7.5" style="7" bestFit="1" customWidth="1"/>
    <col min="2" max="2" width="20.8320312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20.5" style="3" bestFit="1" customWidth="1"/>
    <col min="7" max="9" width="5.5" style="2" customWidth="1"/>
    <col min="10" max="10" width="4.83203125" style="2" customWidth="1"/>
    <col min="11" max="13" width="5.5" style="2" customWidth="1"/>
    <col min="14" max="14" width="4.83203125" style="2" customWidth="1"/>
    <col min="15" max="18" width="5.5" style="2" customWidth="1"/>
    <col min="19" max="19" width="7.83203125" style="39" bestFit="1" customWidth="1"/>
    <col min="20" max="20" width="8.5" style="2" bestFit="1" customWidth="1"/>
    <col min="21" max="21" width="17.33203125" style="3" bestFit="1" customWidth="1"/>
    <col min="22" max="16384" width="9.1640625" style="3"/>
  </cols>
  <sheetData>
    <row r="1" spans="1:21" s="2" customFormat="1" ht="29" customHeight="1">
      <c r="A1" s="74" t="s">
        <v>1195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</row>
    <row r="2" spans="1:21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122</v>
      </c>
      <c r="H3" s="85"/>
      <c r="I3" s="85"/>
      <c r="J3" s="85"/>
      <c r="K3" s="85" t="s">
        <v>123</v>
      </c>
      <c r="L3" s="85"/>
      <c r="M3" s="85"/>
      <c r="N3" s="85"/>
      <c r="O3" s="85" t="s">
        <v>124</v>
      </c>
      <c r="P3" s="85"/>
      <c r="Q3" s="85"/>
      <c r="R3" s="85"/>
      <c r="S3" s="87" t="s">
        <v>1</v>
      </c>
      <c r="T3" s="85" t="s">
        <v>3</v>
      </c>
      <c r="U3" s="89" t="s">
        <v>2</v>
      </c>
    </row>
    <row r="4" spans="1:21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27">
        <v>1</v>
      </c>
      <c r="L4" s="27">
        <v>2</v>
      </c>
      <c r="M4" s="27">
        <v>3</v>
      </c>
      <c r="N4" s="27" t="s">
        <v>4</v>
      </c>
      <c r="O4" s="27">
        <v>1</v>
      </c>
      <c r="P4" s="27">
        <v>2</v>
      </c>
      <c r="Q4" s="27">
        <v>3</v>
      </c>
      <c r="R4" s="27" t="s">
        <v>4</v>
      </c>
      <c r="S4" s="88"/>
      <c r="T4" s="84"/>
      <c r="U4" s="90"/>
    </row>
    <row r="5" spans="1:21" ht="16">
      <c r="A5" s="86" t="s">
        <v>8</v>
      </c>
      <c r="B5" s="86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>
      <c r="A6" s="35" t="s">
        <v>39</v>
      </c>
      <c r="B6" s="18" t="s">
        <v>125</v>
      </c>
      <c r="C6" s="12" t="s">
        <v>126</v>
      </c>
      <c r="D6" s="12" t="s">
        <v>127</v>
      </c>
      <c r="E6" s="12" t="str">
        <f>"0,7207"</f>
        <v>0,7207</v>
      </c>
      <c r="F6" s="12" t="s">
        <v>128</v>
      </c>
      <c r="G6" s="21" t="s">
        <v>129</v>
      </c>
      <c r="H6" s="23" t="s">
        <v>130</v>
      </c>
      <c r="I6" s="21" t="s">
        <v>130</v>
      </c>
      <c r="J6" s="15"/>
      <c r="K6" s="21" t="s">
        <v>131</v>
      </c>
      <c r="L6" s="23" t="s">
        <v>132</v>
      </c>
      <c r="M6" s="23" t="s">
        <v>132</v>
      </c>
      <c r="N6" s="15"/>
      <c r="O6" s="21" t="s">
        <v>133</v>
      </c>
      <c r="P6" s="21" t="s">
        <v>134</v>
      </c>
      <c r="Q6" s="23" t="s">
        <v>135</v>
      </c>
      <c r="R6" s="15"/>
      <c r="S6" s="40" t="str">
        <f>"730,0"</f>
        <v>730,0</v>
      </c>
      <c r="T6" s="15" t="str">
        <f>"526,1110"</f>
        <v>526,1110</v>
      </c>
      <c r="U6" s="12" t="s">
        <v>136</v>
      </c>
    </row>
    <row r="7" spans="1:21">
      <c r="A7" s="37" t="s">
        <v>117</v>
      </c>
      <c r="B7" s="20" t="s">
        <v>137</v>
      </c>
      <c r="C7" s="14" t="s">
        <v>138</v>
      </c>
      <c r="D7" s="14" t="s">
        <v>139</v>
      </c>
      <c r="E7" s="14" t="str">
        <f>"0,7179"</f>
        <v>0,7179</v>
      </c>
      <c r="F7" s="14" t="s">
        <v>140</v>
      </c>
      <c r="G7" s="22" t="s">
        <v>132</v>
      </c>
      <c r="H7" s="26" t="s">
        <v>141</v>
      </c>
      <c r="I7" s="26" t="s">
        <v>141</v>
      </c>
      <c r="J7" s="17"/>
      <c r="K7" s="22" t="s">
        <v>142</v>
      </c>
      <c r="L7" s="22" t="s">
        <v>106</v>
      </c>
      <c r="M7" s="26" t="s">
        <v>143</v>
      </c>
      <c r="N7" s="17"/>
      <c r="O7" s="26" t="s">
        <v>144</v>
      </c>
      <c r="P7" s="22" t="s">
        <v>144</v>
      </c>
      <c r="Q7" s="22" t="s">
        <v>145</v>
      </c>
      <c r="R7" s="17"/>
      <c r="S7" s="42" t="str">
        <f>"550,0"</f>
        <v>550,0</v>
      </c>
      <c r="T7" s="17" t="str">
        <f>"394,8450"</f>
        <v>394,8450</v>
      </c>
      <c r="U7" s="14" t="s">
        <v>1188</v>
      </c>
    </row>
    <row r="8" spans="1:21">
      <c r="B8" s="6" t="s">
        <v>40</v>
      </c>
    </row>
    <row r="9" spans="1:21" ht="16">
      <c r="A9" s="86" t="s">
        <v>15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21">
      <c r="A10" s="35" t="s">
        <v>39</v>
      </c>
      <c r="B10" s="18" t="s">
        <v>146</v>
      </c>
      <c r="C10" s="12" t="s">
        <v>147</v>
      </c>
      <c r="D10" s="12" t="s">
        <v>148</v>
      </c>
      <c r="E10" s="12" t="str">
        <f>"0,6790"</f>
        <v>0,6790</v>
      </c>
      <c r="F10" s="12" t="s">
        <v>149</v>
      </c>
      <c r="G10" s="23" t="s">
        <v>135</v>
      </c>
      <c r="H10" s="21" t="s">
        <v>150</v>
      </c>
      <c r="I10" s="23" t="s">
        <v>151</v>
      </c>
      <c r="J10" s="15"/>
      <c r="K10" s="21" t="s">
        <v>152</v>
      </c>
      <c r="L10" s="23" t="s">
        <v>153</v>
      </c>
      <c r="M10" s="23" t="s">
        <v>153</v>
      </c>
      <c r="N10" s="15"/>
      <c r="O10" s="21" t="s">
        <v>135</v>
      </c>
      <c r="P10" s="23" t="s">
        <v>129</v>
      </c>
      <c r="Q10" s="23" t="s">
        <v>129</v>
      </c>
      <c r="R10" s="15"/>
      <c r="S10" s="40" t="str">
        <f>"715,0"</f>
        <v>715,0</v>
      </c>
      <c r="T10" s="15" t="str">
        <f>"485,4850"</f>
        <v>485,4850</v>
      </c>
      <c r="U10" s="12" t="s">
        <v>154</v>
      </c>
    </row>
    <row r="11" spans="1:21">
      <c r="A11" s="36" t="s">
        <v>45</v>
      </c>
      <c r="B11" s="19" t="s">
        <v>155</v>
      </c>
      <c r="C11" s="13" t="s">
        <v>156</v>
      </c>
      <c r="D11" s="13" t="s">
        <v>157</v>
      </c>
      <c r="E11" s="13" t="str">
        <f>"0,6744"</f>
        <v>0,6744</v>
      </c>
      <c r="F11" s="13" t="s">
        <v>43</v>
      </c>
      <c r="G11" s="25" t="s">
        <v>158</v>
      </c>
      <c r="H11" s="16"/>
      <c r="I11" s="16"/>
      <c r="J11" s="16"/>
      <c r="K11" s="25"/>
      <c r="L11" s="16"/>
      <c r="M11" s="16"/>
      <c r="N11" s="16"/>
      <c r="O11" s="25"/>
      <c r="P11" s="16"/>
      <c r="Q11" s="16"/>
      <c r="R11" s="16"/>
      <c r="S11" s="41">
        <v>0</v>
      </c>
      <c r="T11" s="16" t="str">
        <f>"0,0000"</f>
        <v>0,0000</v>
      </c>
      <c r="U11" s="13" t="s">
        <v>1188</v>
      </c>
    </row>
    <row r="12" spans="1:21">
      <c r="A12" s="37" t="s">
        <v>39</v>
      </c>
      <c r="B12" s="20" t="s">
        <v>159</v>
      </c>
      <c r="C12" s="14" t="s">
        <v>160</v>
      </c>
      <c r="D12" s="14" t="s">
        <v>161</v>
      </c>
      <c r="E12" s="14" t="str">
        <f>"0,6704"</f>
        <v>0,6704</v>
      </c>
      <c r="F12" s="14" t="s">
        <v>162</v>
      </c>
      <c r="G12" s="26" t="s">
        <v>163</v>
      </c>
      <c r="H12" s="22" t="s">
        <v>163</v>
      </c>
      <c r="I12" s="22" t="s">
        <v>164</v>
      </c>
      <c r="J12" s="17"/>
      <c r="K12" s="22" t="s">
        <v>61</v>
      </c>
      <c r="L12" s="22" t="s">
        <v>106</v>
      </c>
      <c r="M12" s="26" t="s">
        <v>143</v>
      </c>
      <c r="N12" s="17"/>
      <c r="O12" s="22" t="s">
        <v>165</v>
      </c>
      <c r="P12" s="22" t="s">
        <v>134</v>
      </c>
      <c r="Q12" s="22" t="s">
        <v>158</v>
      </c>
      <c r="R12" s="26" t="s">
        <v>166</v>
      </c>
      <c r="S12" s="42" t="str">
        <f>"625,0"</f>
        <v>625,0</v>
      </c>
      <c r="T12" s="17" t="str">
        <f>"514,5320"</f>
        <v>514,5320</v>
      </c>
      <c r="U12" s="14" t="s">
        <v>1188</v>
      </c>
    </row>
    <row r="13" spans="1:21">
      <c r="B13" s="6" t="s">
        <v>40</v>
      </c>
    </row>
    <row r="14" spans="1:21" ht="16">
      <c r="A14" s="86" t="s">
        <v>53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21">
      <c r="A15" s="35" t="s">
        <v>39</v>
      </c>
      <c r="B15" s="18" t="s">
        <v>167</v>
      </c>
      <c r="C15" s="12" t="s">
        <v>168</v>
      </c>
      <c r="D15" s="12" t="s">
        <v>169</v>
      </c>
      <c r="E15" s="12" t="str">
        <f>"0,6440"</f>
        <v>0,6440</v>
      </c>
      <c r="F15" s="12" t="s">
        <v>170</v>
      </c>
      <c r="G15" s="21" t="s">
        <v>144</v>
      </c>
      <c r="H15" s="21" t="s">
        <v>145</v>
      </c>
      <c r="I15" s="21" t="s">
        <v>165</v>
      </c>
      <c r="J15" s="15"/>
      <c r="K15" s="21" t="s">
        <v>61</v>
      </c>
      <c r="L15" s="21" t="s">
        <v>106</v>
      </c>
      <c r="M15" s="21" t="s">
        <v>63</v>
      </c>
      <c r="N15" s="15"/>
      <c r="O15" s="21" t="s">
        <v>171</v>
      </c>
      <c r="P15" s="21" t="s">
        <v>172</v>
      </c>
      <c r="Q15" s="23" t="s">
        <v>173</v>
      </c>
      <c r="R15" s="15"/>
      <c r="S15" s="40" t="str">
        <f>"630,0"</f>
        <v>630,0</v>
      </c>
      <c r="T15" s="15" t="str">
        <f>"405,7200"</f>
        <v>405,7200</v>
      </c>
      <c r="U15" s="12" t="s">
        <v>174</v>
      </c>
    </row>
    <row r="16" spans="1:21">
      <c r="A16" s="36" t="s">
        <v>117</v>
      </c>
      <c r="B16" s="19" t="s">
        <v>175</v>
      </c>
      <c r="C16" s="13" t="s">
        <v>176</v>
      </c>
      <c r="D16" s="13" t="s">
        <v>177</v>
      </c>
      <c r="E16" s="13" t="str">
        <f>"0,6447"</f>
        <v>0,6447</v>
      </c>
      <c r="F16" s="13" t="s">
        <v>178</v>
      </c>
      <c r="G16" s="24" t="s">
        <v>144</v>
      </c>
      <c r="H16" s="24" t="s">
        <v>163</v>
      </c>
      <c r="I16" s="24" t="s">
        <v>164</v>
      </c>
      <c r="J16" s="16"/>
      <c r="K16" s="24" t="s">
        <v>179</v>
      </c>
      <c r="L16" s="24" t="s">
        <v>61</v>
      </c>
      <c r="M16" s="25" t="s">
        <v>180</v>
      </c>
      <c r="N16" s="16"/>
      <c r="O16" s="24" t="s">
        <v>181</v>
      </c>
      <c r="P16" s="24" t="s">
        <v>171</v>
      </c>
      <c r="Q16" s="25" t="s">
        <v>133</v>
      </c>
      <c r="R16" s="16"/>
      <c r="S16" s="41" t="str">
        <f>"585,0"</f>
        <v>585,0</v>
      </c>
      <c r="T16" s="16" t="str">
        <f>"377,1495"</f>
        <v>377,1495</v>
      </c>
      <c r="U16" s="13" t="s">
        <v>174</v>
      </c>
    </row>
    <row r="17" spans="1:21">
      <c r="A17" s="36" t="s">
        <v>39</v>
      </c>
      <c r="B17" s="19" t="s">
        <v>182</v>
      </c>
      <c r="C17" s="13" t="s">
        <v>183</v>
      </c>
      <c r="D17" s="13" t="s">
        <v>184</v>
      </c>
      <c r="E17" s="13" t="str">
        <f>"0,6395"</f>
        <v>0,6395</v>
      </c>
      <c r="F17" s="13" t="s">
        <v>185</v>
      </c>
      <c r="G17" s="24" t="s">
        <v>186</v>
      </c>
      <c r="H17" s="24" t="s">
        <v>187</v>
      </c>
      <c r="I17" s="25" t="s">
        <v>188</v>
      </c>
      <c r="J17" s="16"/>
      <c r="K17" s="24" t="s">
        <v>189</v>
      </c>
      <c r="L17" s="24" t="s">
        <v>141</v>
      </c>
      <c r="M17" s="24" t="s">
        <v>181</v>
      </c>
      <c r="N17" s="16"/>
      <c r="O17" s="24" t="s">
        <v>190</v>
      </c>
      <c r="P17" s="25" t="s">
        <v>191</v>
      </c>
      <c r="Q17" s="25" t="s">
        <v>192</v>
      </c>
      <c r="R17" s="16"/>
      <c r="S17" s="41" t="str">
        <f>"870,0"</f>
        <v>870,0</v>
      </c>
      <c r="T17" s="16" t="str">
        <f>"556,3650"</f>
        <v>556,3650</v>
      </c>
      <c r="U17" s="13" t="s">
        <v>243</v>
      </c>
    </row>
    <row r="18" spans="1:21">
      <c r="A18" s="36" t="s">
        <v>117</v>
      </c>
      <c r="B18" s="19" t="s">
        <v>193</v>
      </c>
      <c r="C18" s="13" t="s">
        <v>194</v>
      </c>
      <c r="D18" s="13" t="s">
        <v>195</v>
      </c>
      <c r="E18" s="13" t="str">
        <f>"0,6388"</f>
        <v>0,6388</v>
      </c>
      <c r="F18" s="13" t="s">
        <v>97</v>
      </c>
      <c r="G18" s="24" t="s">
        <v>133</v>
      </c>
      <c r="H18" s="24" t="s">
        <v>134</v>
      </c>
      <c r="I18" s="24" t="s">
        <v>158</v>
      </c>
      <c r="J18" s="16"/>
      <c r="K18" s="24" t="s">
        <v>189</v>
      </c>
      <c r="L18" s="25" t="s">
        <v>144</v>
      </c>
      <c r="M18" s="25" t="s">
        <v>144</v>
      </c>
      <c r="N18" s="16"/>
      <c r="O18" s="24" t="s">
        <v>134</v>
      </c>
      <c r="P18" s="25" t="s">
        <v>196</v>
      </c>
      <c r="Q18" s="24" t="s">
        <v>196</v>
      </c>
      <c r="R18" s="16"/>
      <c r="S18" s="41" t="str">
        <f>"720,0"</f>
        <v>720,0</v>
      </c>
      <c r="T18" s="16" t="str">
        <f>"459,9360"</f>
        <v>459,9360</v>
      </c>
      <c r="U18" s="13" t="s">
        <v>1188</v>
      </c>
    </row>
    <row r="19" spans="1:21">
      <c r="A19" s="37" t="s">
        <v>263</v>
      </c>
      <c r="B19" s="20" t="s">
        <v>197</v>
      </c>
      <c r="C19" s="14" t="s">
        <v>198</v>
      </c>
      <c r="D19" s="14" t="s">
        <v>74</v>
      </c>
      <c r="E19" s="14" t="str">
        <f>"0,6384"</f>
        <v>0,6384</v>
      </c>
      <c r="F19" s="14" t="s">
        <v>199</v>
      </c>
      <c r="G19" s="26" t="s">
        <v>145</v>
      </c>
      <c r="H19" s="22" t="s">
        <v>145</v>
      </c>
      <c r="I19" s="22" t="s">
        <v>200</v>
      </c>
      <c r="J19" s="17"/>
      <c r="K19" s="22" t="s">
        <v>152</v>
      </c>
      <c r="L19" s="26" t="s">
        <v>131</v>
      </c>
      <c r="M19" s="22" t="s">
        <v>131</v>
      </c>
      <c r="N19" s="17"/>
      <c r="O19" s="22" t="s">
        <v>171</v>
      </c>
      <c r="P19" s="22" t="s">
        <v>172</v>
      </c>
      <c r="Q19" s="26" t="s">
        <v>158</v>
      </c>
      <c r="R19" s="17"/>
      <c r="S19" s="42" t="str">
        <f>"677,5"</f>
        <v>677,5</v>
      </c>
      <c r="T19" s="17" t="str">
        <f>"432,5160"</f>
        <v>432,5160</v>
      </c>
      <c r="U19" s="14" t="s">
        <v>1188</v>
      </c>
    </row>
    <row r="20" spans="1:21">
      <c r="B20" s="6" t="s">
        <v>40</v>
      </c>
    </row>
    <row r="21" spans="1:21" ht="16">
      <c r="A21" s="86" t="s">
        <v>20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21">
      <c r="A22" s="35" t="s">
        <v>39</v>
      </c>
      <c r="B22" s="18" t="s">
        <v>201</v>
      </c>
      <c r="C22" s="12" t="s">
        <v>202</v>
      </c>
      <c r="D22" s="12" t="s">
        <v>105</v>
      </c>
      <c r="E22" s="12" t="str">
        <f>"0,6093"</f>
        <v>0,6093</v>
      </c>
      <c r="F22" s="12" t="s">
        <v>203</v>
      </c>
      <c r="G22" s="21" t="s">
        <v>158</v>
      </c>
      <c r="H22" s="21" t="s">
        <v>204</v>
      </c>
      <c r="I22" s="23" t="s">
        <v>129</v>
      </c>
      <c r="J22" s="15"/>
      <c r="K22" s="21" t="s">
        <v>205</v>
      </c>
      <c r="L22" s="21" t="s">
        <v>152</v>
      </c>
      <c r="M22" s="15"/>
      <c r="N22" s="15"/>
      <c r="O22" s="21" t="s">
        <v>173</v>
      </c>
      <c r="P22" s="23" t="s">
        <v>196</v>
      </c>
      <c r="Q22" s="21" t="s">
        <v>196</v>
      </c>
      <c r="R22" s="15"/>
      <c r="S22" s="40" t="str">
        <f>"720,0"</f>
        <v>720,0</v>
      </c>
      <c r="T22" s="15" t="str">
        <f>"438,6960"</f>
        <v>438,6960</v>
      </c>
      <c r="U22" s="12" t="s">
        <v>1213</v>
      </c>
    </row>
    <row r="23" spans="1:21">
      <c r="A23" s="36" t="s">
        <v>45</v>
      </c>
      <c r="B23" s="19" t="s">
        <v>206</v>
      </c>
      <c r="C23" s="13" t="s">
        <v>207</v>
      </c>
      <c r="D23" s="13" t="s">
        <v>208</v>
      </c>
      <c r="E23" s="13" t="str">
        <f>"0,6121"</f>
        <v>0,6121</v>
      </c>
      <c r="F23" s="13" t="s">
        <v>209</v>
      </c>
      <c r="G23" s="25" t="s">
        <v>130</v>
      </c>
      <c r="H23" s="25" t="s">
        <v>130</v>
      </c>
      <c r="I23" s="25" t="s">
        <v>130</v>
      </c>
      <c r="J23" s="16"/>
      <c r="K23" s="25"/>
      <c r="L23" s="16"/>
      <c r="M23" s="16"/>
      <c r="N23" s="16"/>
      <c r="O23" s="25"/>
      <c r="P23" s="25"/>
      <c r="Q23" s="16"/>
      <c r="R23" s="16"/>
      <c r="S23" s="41">
        <v>0</v>
      </c>
      <c r="T23" s="16" t="str">
        <f>"0,0000"</f>
        <v>0,0000</v>
      </c>
      <c r="U23" s="13" t="s">
        <v>211</v>
      </c>
    </row>
    <row r="24" spans="1:21">
      <c r="A24" s="36" t="s">
        <v>45</v>
      </c>
      <c r="B24" s="19" t="s">
        <v>212</v>
      </c>
      <c r="C24" s="13" t="s">
        <v>213</v>
      </c>
      <c r="D24" s="13" t="s">
        <v>214</v>
      </c>
      <c r="E24" s="13" t="str">
        <f>"0,6106"</f>
        <v>0,6106</v>
      </c>
      <c r="F24" s="13" t="s">
        <v>215</v>
      </c>
      <c r="G24" s="25" t="s">
        <v>216</v>
      </c>
      <c r="H24" s="25" t="s">
        <v>216</v>
      </c>
      <c r="I24" s="25" t="s">
        <v>216</v>
      </c>
      <c r="J24" s="16"/>
      <c r="K24" s="25"/>
      <c r="L24" s="16"/>
      <c r="M24" s="16"/>
      <c r="N24" s="16"/>
      <c r="O24" s="16"/>
      <c r="P24" s="16"/>
      <c r="Q24" s="25"/>
      <c r="R24" s="16"/>
      <c r="S24" s="41">
        <v>0</v>
      </c>
      <c r="T24" s="16" t="str">
        <f>"0,0000"</f>
        <v>0,0000</v>
      </c>
      <c r="U24" s="13" t="s">
        <v>1214</v>
      </c>
    </row>
    <row r="25" spans="1:21">
      <c r="A25" s="36" t="s">
        <v>39</v>
      </c>
      <c r="B25" s="19" t="s">
        <v>201</v>
      </c>
      <c r="C25" s="13" t="s">
        <v>217</v>
      </c>
      <c r="D25" s="13" t="s">
        <v>105</v>
      </c>
      <c r="E25" s="13" t="str">
        <f>"0,6093"</f>
        <v>0,6093</v>
      </c>
      <c r="F25" s="13" t="s">
        <v>203</v>
      </c>
      <c r="G25" s="24" t="s">
        <v>158</v>
      </c>
      <c r="H25" s="24" t="s">
        <v>204</v>
      </c>
      <c r="I25" s="25" t="s">
        <v>129</v>
      </c>
      <c r="J25" s="16"/>
      <c r="K25" s="24" t="s">
        <v>205</v>
      </c>
      <c r="L25" s="24" t="s">
        <v>152</v>
      </c>
      <c r="M25" s="16"/>
      <c r="N25" s="16"/>
      <c r="O25" s="24" t="s">
        <v>173</v>
      </c>
      <c r="P25" s="25" t="s">
        <v>196</v>
      </c>
      <c r="Q25" s="24" t="s">
        <v>196</v>
      </c>
      <c r="R25" s="16"/>
      <c r="S25" s="41" t="str">
        <f>"720,0"</f>
        <v>720,0</v>
      </c>
      <c r="T25" s="16" t="str">
        <f>"450,9795"</f>
        <v>450,9795</v>
      </c>
      <c r="U25" s="13" t="s">
        <v>1213</v>
      </c>
    </row>
    <row r="26" spans="1:21">
      <c r="A26" s="37" t="s">
        <v>39</v>
      </c>
      <c r="B26" s="20" t="s">
        <v>218</v>
      </c>
      <c r="C26" s="14" t="s">
        <v>219</v>
      </c>
      <c r="D26" s="14" t="s">
        <v>220</v>
      </c>
      <c r="E26" s="14" t="str">
        <f>"0,6276"</f>
        <v>0,6276</v>
      </c>
      <c r="F26" s="14" t="s">
        <v>43</v>
      </c>
      <c r="G26" s="26" t="s">
        <v>131</v>
      </c>
      <c r="H26" s="22" t="s">
        <v>131</v>
      </c>
      <c r="I26" s="26" t="s">
        <v>141</v>
      </c>
      <c r="J26" s="17"/>
      <c r="K26" s="22" t="s">
        <v>179</v>
      </c>
      <c r="L26" s="22" t="s">
        <v>180</v>
      </c>
      <c r="M26" s="26" t="s">
        <v>106</v>
      </c>
      <c r="N26" s="17"/>
      <c r="O26" s="22" t="s">
        <v>131</v>
      </c>
      <c r="P26" s="26" t="s">
        <v>144</v>
      </c>
      <c r="Q26" s="17"/>
      <c r="R26" s="17"/>
      <c r="S26" s="42" t="str">
        <f>"495,0"</f>
        <v>495,0</v>
      </c>
      <c r="T26" s="17" t="str">
        <f>"516,9416"</f>
        <v>516,9416</v>
      </c>
      <c r="U26" s="14" t="s">
        <v>1188</v>
      </c>
    </row>
    <row r="27" spans="1:21">
      <c r="B27" s="6" t="s">
        <v>40</v>
      </c>
    </row>
    <row r="28" spans="1:21" ht="16">
      <c r="A28" s="86" t="s">
        <v>82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1:21">
      <c r="A29" s="38" t="s">
        <v>39</v>
      </c>
      <c r="B29" s="11" t="s">
        <v>221</v>
      </c>
      <c r="C29" s="4" t="s">
        <v>222</v>
      </c>
      <c r="D29" s="4" t="s">
        <v>223</v>
      </c>
      <c r="E29" s="4" t="str">
        <f>"0,5916"</f>
        <v>0,5916</v>
      </c>
      <c r="F29" s="4" t="s">
        <v>43</v>
      </c>
      <c r="G29" s="9" t="s">
        <v>224</v>
      </c>
      <c r="H29" s="9" t="s">
        <v>225</v>
      </c>
      <c r="I29" s="10" t="s">
        <v>226</v>
      </c>
      <c r="J29" s="8"/>
      <c r="K29" s="9" t="s">
        <v>132</v>
      </c>
      <c r="L29" s="9" t="s">
        <v>144</v>
      </c>
      <c r="M29" s="9" t="s">
        <v>141</v>
      </c>
      <c r="N29" s="8"/>
      <c r="O29" s="9" t="s">
        <v>225</v>
      </c>
      <c r="P29" s="10" t="s">
        <v>192</v>
      </c>
      <c r="Q29" s="10" t="s">
        <v>192</v>
      </c>
      <c r="R29" s="8"/>
      <c r="S29" s="43" t="str">
        <f>"915,0"</f>
        <v>915,0</v>
      </c>
      <c r="T29" s="8" t="str">
        <f>"541,3140"</f>
        <v>541,3140</v>
      </c>
      <c r="U29" s="4" t="s">
        <v>227</v>
      </c>
    </row>
    <row r="30" spans="1:21">
      <c r="B30" s="6" t="s">
        <v>40</v>
      </c>
    </row>
    <row r="31" spans="1:21" ht="16">
      <c r="A31" s="86" t="s">
        <v>118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21">
      <c r="A32" s="35" t="s">
        <v>39</v>
      </c>
      <c r="B32" s="18" t="s">
        <v>228</v>
      </c>
      <c r="C32" s="12" t="s">
        <v>229</v>
      </c>
      <c r="D32" s="12" t="s">
        <v>230</v>
      </c>
      <c r="E32" s="12" t="str">
        <f>"0,5729"</f>
        <v>0,5729</v>
      </c>
      <c r="F32" s="12" t="s">
        <v>231</v>
      </c>
      <c r="G32" s="21" t="s">
        <v>135</v>
      </c>
      <c r="H32" s="23" t="s">
        <v>129</v>
      </c>
      <c r="I32" s="21" t="s">
        <v>129</v>
      </c>
      <c r="J32" s="15"/>
      <c r="K32" s="21" t="s">
        <v>132</v>
      </c>
      <c r="L32" s="21" t="s">
        <v>144</v>
      </c>
      <c r="M32" s="23" t="s">
        <v>141</v>
      </c>
      <c r="N32" s="15"/>
      <c r="O32" s="21" t="s">
        <v>216</v>
      </c>
      <c r="P32" s="21" t="s">
        <v>130</v>
      </c>
      <c r="Q32" s="15"/>
      <c r="R32" s="15"/>
      <c r="S32" s="40" t="str">
        <f>"790,0"</f>
        <v>790,0</v>
      </c>
      <c r="T32" s="15" t="str">
        <f>"452,5910"</f>
        <v>452,5910</v>
      </c>
      <c r="U32" s="12" t="s">
        <v>1188</v>
      </c>
    </row>
    <row r="33" spans="1:21">
      <c r="A33" s="36" t="s">
        <v>45</v>
      </c>
      <c r="B33" s="19" t="s">
        <v>232</v>
      </c>
      <c r="C33" s="13" t="s">
        <v>233</v>
      </c>
      <c r="D33" s="13" t="s">
        <v>234</v>
      </c>
      <c r="E33" s="13" t="str">
        <f>"0,5728"</f>
        <v>0,5728</v>
      </c>
      <c r="F33" s="13" t="s">
        <v>72</v>
      </c>
      <c r="G33" s="25" t="s">
        <v>235</v>
      </c>
      <c r="H33" s="25" t="s">
        <v>235</v>
      </c>
      <c r="I33" s="25" t="s">
        <v>235</v>
      </c>
      <c r="J33" s="16"/>
      <c r="K33" s="25"/>
      <c r="L33" s="16"/>
      <c r="M33" s="16"/>
      <c r="N33" s="16"/>
      <c r="O33" s="25"/>
      <c r="P33" s="16"/>
      <c r="Q33" s="16"/>
      <c r="R33" s="16"/>
      <c r="S33" s="41">
        <v>0</v>
      </c>
      <c r="T33" s="16" t="str">
        <f>"0,0000"</f>
        <v>0,0000</v>
      </c>
      <c r="U33" s="13" t="s">
        <v>1188</v>
      </c>
    </row>
    <row r="34" spans="1:21">
      <c r="A34" s="37" t="s">
        <v>45</v>
      </c>
      <c r="B34" s="20" t="s">
        <v>236</v>
      </c>
      <c r="C34" s="14" t="s">
        <v>237</v>
      </c>
      <c r="D34" s="14" t="s">
        <v>238</v>
      </c>
      <c r="E34" s="14" t="str">
        <f>"0,5722"</f>
        <v>0,5722</v>
      </c>
      <c r="F34" s="14" t="s">
        <v>239</v>
      </c>
      <c r="G34" s="22" t="s">
        <v>240</v>
      </c>
      <c r="H34" s="22" t="s">
        <v>241</v>
      </c>
      <c r="I34" s="26" t="s">
        <v>242</v>
      </c>
      <c r="J34" s="17"/>
      <c r="K34" s="26"/>
      <c r="L34" s="17"/>
      <c r="M34" s="17"/>
      <c r="N34" s="17"/>
      <c r="O34" s="26"/>
      <c r="P34" s="17"/>
      <c r="Q34" s="17"/>
      <c r="R34" s="17"/>
      <c r="S34" s="42">
        <v>0</v>
      </c>
      <c r="T34" s="17" t="str">
        <f>"0,0000"</f>
        <v>0,0000</v>
      </c>
      <c r="U34" s="14" t="s">
        <v>243</v>
      </c>
    </row>
    <row r="35" spans="1:21">
      <c r="B35" s="6" t="s">
        <v>40</v>
      </c>
    </row>
    <row r="36" spans="1:21" ht="16">
      <c r="A36" s="86" t="s">
        <v>244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1:21">
      <c r="A37" s="38" t="s">
        <v>39</v>
      </c>
      <c r="B37" s="11" t="s">
        <v>245</v>
      </c>
      <c r="C37" s="4" t="s">
        <v>246</v>
      </c>
      <c r="D37" s="4" t="s">
        <v>247</v>
      </c>
      <c r="E37" s="4" t="str">
        <f>"0,5624"</f>
        <v>0,5624</v>
      </c>
      <c r="F37" s="4" t="s">
        <v>248</v>
      </c>
      <c r="G37" s="9" t="s">
        <v>249</v>
      </c>
      <c r="H37" s="9" t="s">
        <v>250</v>
      </c>
      <c r="I37" s="10" t="s">
        <v>242</v>
      </c>
      <c r="J37" s="8"/>
      <c r="K37" s="9" t="s">
        <v>132</v>
      </c>
      <c r="L37" s="9" t="s">
        <v>251</v>
      </c>
      <c r="M37" s="9" t="s">
        <v>181</v>
      </c>
      <c r="N37" s="8"/>
      <c r="O37" s="9" t="s">
        <v>249</v>
      </c>
      <c r="P37" s="10" t="s">
        <v>250</v>
      </c>
      <c r="Q37" s="10" t="s">
        <v>250</v>
      </c>
      <c r="R37" s="8"/>
      <c r="S37" s="43" t="str">
        <f>"970,0"</f>
        <v>970,0</v>
      </c>
      <c r="T37" s="8" t="str">
        <f>"545,5280"</f>
        <v>545,5280</v>
      </c>
      <c r="U37" s="4" t="s">
        <v>252</v>
      </c>
    </row>
    <row r="38" spans="1:21">
      <c r="B38" s="6" t="s">
        <v>40</v>
      </c>
    </row>
    <row r="41" spans="1:21" ht="18">
      <c r="B41" s="33" t="s">
        <v>27</v>
      </c>
      <c r="C41" s="33"/>
    </row>
    <row r="42" spans="1:21" ht="16">
      <c r="B42" s="28" t="s">
        <v>28</v>
      </c>
      <c r="C42" s="28"/>
    </row>
    <row r="43" spans="1:21" ht="14">
      <c r="B43" s="34"/>
      <c r="C43" s="34" t="s">
        <v>29</v>
      </c>
    </row>
    <row r="44" spans="1:21" ht="14">
      <c r="B44" s="5" t="s">
        <v>30</v>
      </c>
      <c r="C44" s="5" t="s">
        <v>31</v>
      </c>
      <c r="D44" s="5" t="s">
        <v>1189</v>
      </c>
      <c r="E44" s="5" t="s">
        <v>32</v>
      </c>
      <c r="F44" s="5" t="s">
        <v>253</v>
      </c>
    </row>
    <row r="45" spans="1:21">
      <c r="B45" s="3" t="s">
        <v>182</v>
      </c>
      <c r="C45" s="6" t="s">
        <v>29</v>
      </c>
      <c r="D45" s="7" t="s">
        <v>64</v>
      </c>
      <c r="E45" s="7" t="s">
        <v>254</v>
      </c>
      <c r="F45" s="7" t="s">
        <v>255</v>
      </c>
    </row>
    <row r="46" spans="1:21">
      <c r="B46" s="3" t="s">
        <v>245</v>
      </c>
      <c r="C46" s="6" t="s">
        <v>29</v>
      </c>
      <c r="D46" s="7" t="s">
        <v>256</v>
      </c>
      <c r="E46" s="7" t="s">
        <v>257</v>
      </c>
      <c r="F46" s="7" t="s">
        <v>258</v>
      </c>
    </row>
    <row r="47" spans="1:21">
      <c r="B47" s="3" t="s">
        <v>221</v>
      </c>
      <c r="C47" s="6" t="s">
        <v>29</v>
      </c>
      <c r="D47" s="7" t="s">
        <v>88</v>
      </c>
      <c r="E47" s="7" t="s">
        <v>259</v>
      </c>
      <c r="F47" s="7" t="s">
        <v>260</v>
      </c>
    </row>
    <row r="48" spans="1:21">
      <c r="B48" s="6" t="s">
        <v>40</v>
      </c>
    </row>
  </sheetData>
  <mergeCells count="20">
    <mergeCell ref="A36:R36"/>
    <mergeCell ref="S3:S4"/>
    <mergeCell ref="T3:T4"/>
    <mergeCell ref="U3:U4"/>
    <mergeCell ref="A5:R5"/>
    <mergeCell ref="B3:B4"/>
    <mergeCell ref="A9:R9"/>
    <mergeCell ref="A14:R14"/>
    <mergeCell ref="A21:R21"/>
    <mergeCell ref="A28:R28"/>
    <mergeCell ref="A31:R31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21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2.33203125" style="6" bestFit="1" customWidth="1"/>
    <col min="3" max="3" width="27.83203125" style="3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1" width="10.5" style="39" bestFit="1" customWidth="1"/>
    <col min="12" max="12" width="8.5" style="2" bestFit="1" customWidth="1"/>
    <col min="13" max="13" width="20.6640625" style="3" bestFit="1" customWidth="1"/>
    <col min="14" max="16384" width="9.1640625" style="3"/>
  </cols>
  <sheetData>
    <row r="1" spans="1:13" s="2" customFormat="1" ht="29" customHeight="1">
      <c r="A1" s="74" t="s">
        <v>1196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123</v>
      </c>
      <c r="H3" s="85"/>
      <c r="I3" s="85"/>
      <c r="J3" s="85"/>
      <c r="K3" s="87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8"/>
      <c r="L4" s="84"/>
      <c r="M4" s="90"/>
    </row>
    <row r="5" spans="1:13" ht="16">
      <c r="A5" s="86" t="s">
        <v>89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5" t="s">
        <v>39</v>
      </c>
      <c r="B6" s="18" t="s">
        <v>793</v>
      </c>
      <c r="C6" s="12" t="s">
        <v>794</v>
      </c>
      <c r="D6" s="12" t="s">
        <v>795</v>
      </c>
      <c r="E6" s="12" t="str">
        <f>"1,2730"</f>
        <v>1,2730</v>
      </c>
      <c r="F6" s="12" t="s">
        <v>43</v>
      </c>
      <c r="G6" s="21" t="s">
        <v>270</v>
      </c>
      <c r="H6" s="21" t="s">
        <v>98</v>
      </c>
      <c r="I6" s="21" t="s">
        <v>453</v>
      </c>
      <c r="J6" s="15"/>
      <c r="K6" s="40" t="str">
        <f>"52,5"</f>
        <v>52,5</v>
      </c>
      <c r="L6" s="15" t="str">
        <f>"66,8325"</f>
        <v>66,8325</v>
      </c>
      <c r="M6" s="12" t="s">
        <v>796</v>
      </c>
    </row>
    <row r="7" spans="1:13">
      <c r="A7" s="36" t="s">
        <v>117</v>
      </c>
      <c r="B7" s="19" t="s">
        <v>797</v>
      </c>
      <c r="C7" s="13" t="s">
        <v>798</v>
      </c>
      <c r="D7" s="13" t="s">
        <v>799</v>
      </c>
      <c r="E7" s="13" t="str">
        <f>"1,2616"</f>
        <v>1,2616</v>
      </c>
      <c r="F7" s="13" t="s">
        <v>800</v>
      </c>
      <c r="G7" s="24" t="s">
        <v>25</v>
      </c>
      <c r="H7" s="25" t="s">
        <v>269</v>
      </c>
      <c r="I7" s="25" t="s">
        <v>269</v>
      </c>
      <c r="J7" s="16"/>
      <c r="K7" s="41" t="str">
        <f>"40,0"</f>
        <v>40,0</v>
      </c>
      <c r="L7" s="16" t="str">
        <f>"50,4640"</f>
        <v>50,4640</v>
      </c>
      <c r="M7" s="13" t="s">
        <v>801</v>
      </c>
    </row>
    <row r="8" spans="1:13">
      <c r="A8" s="36" t="s">
        <v>263</v>
      </c>
      <c r="B8" s="19" t="s">
        <v>802</v>
      </c>
      <c r="C8" s="13" t="s">
        <v>803</v>
      </c>
      <c r="D8" s="13" t="s">
        <v>804</v>
      </c>
      <c r="E8" s="13" t="str">
        <f>"1,2560"</f>
        <v>1,2560</v>
      </c>
      <c r="F8" s="13" t="s">
        <v>43</v>
      </c>
      <c r="G8" s="24" t="s">
        <v>14</v>
      </c>
      <c r="H8" s="25" t="s">
        <v>485</v>
      </c>
      <c r="I8" s="25" t="s">
        <v>485</v>
      </c>
      <c r="J8" s="16"/>
      <c r="K8" s="41" t="str">
        <f>"35,0"</f>
        <v>35,0</v>
      </c>
      <c r="L8" s="16" t="str">
        <f>"43,9600"</f>
        <v>43,9600</v>
      </c>
      <c r="M8" s="13" t="s">
        <v>805</v>
      </c>
    </row>
    <row r="9" spans="1:13">
      <c r="A9" s="37" t="s">
        <v>39</v>
      </c>
      <c r="B9" s="20" t="s">
        <v>802</v>
      </c>
      <c r="C9" s="14" t="s">
        <v>806</v>
      </c>
      <c r="D9" s="14" t="s">
        <v>804</v>
      </c>
      <c r="E9" s="14" t="str">
        <f>"1,2560"</f>
        <v>1,2560</v>
      </c>
      <c r="F9" s="14" t="s">
        <v>43</v>
      </c>
      <c r="G9" s="22" t="s">
        <v>14</v>
      </c>
      <c r="H9" s="26" t="s">
        <v>485</v>
      </c>
      <c r="I9" s="26" t="s">
        <v>485</v>
      </c>
      <c r="J9" s="17"/>
      <c r="K9" s="42" t="str">
        <f>"35,0"</f>
        <v>35,0</v>
      </c>
      <c r="L9" s="17" t="str">
        <f>"44,1798"</f>
        <v>44,1798</v>
      </c>
      <c r="M9" s="14" t="s">
        <v>805</v>
      </c>
    </row>
    <row r="10" spans="1:13">
      <c r="B10" s="6" t="s">
        <v>40</v>
      </c>
    </row>
    <row r="11" spans="1:13" ht="16">
      <c r="A11" s="86" t="s">
        <v>272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3">
      <c r="A12" s="35" t="s">
        <v>39</v>
      </c>
      <c r="B12" s="18" t="s">
        <v>807</v>
      </c>
      <c r="C12" s="12" t="s">
        <v>808</v>
      </c>
      <c r="D12" s="12" t="s">
        <v>809</v>
      </c>
      <c r="E12" s="12" t="str">
        <f>"1,1866"</f>
        <v>1,1866</v>
      </c>
      <c r="F12" s="12" t="s">
        <v>810</v>
      </c>
      <c r="G12" s="21" t="s">
        <v>268</v>
      </c>
      <c r="H12" s="21" t="s">
        <v>269</v>
      </c>
      <c r="I12" s="23" t="s">
        <v>270</v>
      </c>
      <c r="J12" s="15"/>
      <c r="K12" s="40" t="str">
        <f>"45,0"</f>
        <v>45,0</v>
      </c>
      <c r="L12" s="15" t="str">
        <f>"53,3970"</f>
        <v>53,3970</v>
      </c>
      <c r="M12" s="12" t="s">
        <v>811</v>
      </c>
    </row>
    <row r="13" spans="1:13">
      <c r="A13" s="36" t="s">
        <v>39</v>
      </c>
      <c r="B13" s="19" t="s">
        <v>812</v>
      </c>
      <c r="C13" s="13" t="s">
        <v>813</v>
      </c>
      <c r="D13" s="13" t="s">
        <v>814</v>
      </c>
      <c r="E13" s="13" t="str">
        <f>"1,1849"</f>
        <v>1,1849</v>
      </c>
      <c r="F13" s="13" t="s">
        <v>43</v>
      </c>
      <c r="G13" s="24" t="s">
        <v>481</v>
      </c>
      <c r="H13" s="25" t="s">
        <v>60</v>
      </c>
      <c r="I13" s="25" t="s">
        <v>60</v>
      </c>
      <c r="J13" s="16"/>
      <c r="K13" s="41" t="str">
        <f>"62,5"</f>
        <v>62,5</v>
      </c>
      <c r="L13" s="16" t="str">
        <f>"74,0563"</f>
        <v>74,0563</v>
      </c>
      <c r="M13" s="13" t="s">
        <v>815</v>
      </c>
    </row>
    <row r="14" spans="1:13">
      <c r="A14" s="37" t="s">
        <v>117</v>
      </c>
      <c r="B14" s="20" t="s">
        <v>816</v>
      </c>
      <c r="C14" s="14" t="s">
        <v>817</v>
      </c>
      <c r="D14" s="14" t="s">
        <v>818</v>
      </c>
      <c r="E14" s="14" t="str">
        <f>"1,2054"</f>
        <v>1,2054</v>
      </c>
      <c r="F14" s="14" t="s">
        <v>819</v>
      </c>
      <c r="G14" s="22" t="s">
        <v>98</v>
      </c>
      <c r="H14" s="22" t="s">
        <v>26</v>
      </c>
      <c r="I14" s="22" t="s">
        <v>58</v>
      </c>
      <c r="J14" s="17"/>
      <c r="K14" s="42" t="str">
        <f>"60,0"</f>
        <v>60,0</v>
      </c>
      <c r="L14" s="17" t="str">
        <f>"72,3240"</f>
        <v>72,3240</v>
      </c>
      <c r="M14" s="14" t="s">
        <v>820</v>
      </c>
    </row>
    <row r="15" spans="1:13">
      <c r="B15" s="6" t="s">
        <v>40</v>
      </c>
    </row>
    <row r="16" spans="1:13" ht="16">
      <c r="A16" s="86" t="s">
        <v>46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13">
      <c r="A17" s="35" t="s">
        <v>39</v>
      </c>
      <c r="B17" s="18" t="s">
        <v>821</v>
      </c>
      <c r="C17" s="12" t="s">
        <v>822</v>
      </c>
      <c r="D17" s="12" t="s">
        <v>823</v>
      </c>
      <c r="E17" s="12" t="str">
        <f>"1,1386"</f>
        <v>1,1386</v>
      </c>
      <c r="F17" s="12" t="s">
        <v>810</v>
      </c>
      <c r="G17" s="21" t="s">
        <v>268</v>
      </c>
      <c r="H17" s="21" t="s">
        <v>269</v>
      </c>
      <c r="I17" s="23" t="s">
        <v>270</v>
      </c>
      <c r="J17" s="15"/>
      <c r="K17" s="40" t="str">
        <f>"45,0"</f>
        <v>45,0</v>
      </c>
      <c r="L17" s="15" t="str">
        <f>"51,2370"</f>
        <v>51,2370</v>
      </c>
      <c r="M17" s="12" t="s">
        <v>811</v>
      </c>
    </row>
    <row r="18" spans="1:13">
      <c r="A18" s="37" t="s">
        <v>39</v>
      </c>
      <c r="B18" s="20" t="s">
        <v>824</v>
      </c>
      <c r="C18" s="14" t="s">
        <v>825</v>
      </c>
      <c r="D18" s="14" t="s">
        <v>826</v>
      </c>
      <c r="E18" s="14" t="str">
        <f>"1,1684"</f>
        <v>1,1684</v>
      </c>
      <c r="F18" s="14" t="s">
        <v>43</v>
      </c>
      <c r="G18" s="22" t="s">
        <v>26</v>
      </c>
      <c r="H18" s="22" t="s">
        <v>480</v>
      </c>
      <c r="I18" s="22" t="s">
        <v>58</v>
      </c>
      <c r="J18" s="17"/>
      <c r="K18" s="42" t="str">
        <f>"60,0"</f>
        <v>60,0</v>
      </c>
      <c r="L18" s="17" t="str">
        <f>"70,1040"</f>
        <v>70,1040</v>
      </c>
      <c r="M18" s="14" t="s">
        <v>827</v>
      </c>
    </row>
    <row r="19" spans="1:13">
      <c r="B19" s="6" t="s">
        <v>40</v>
      </c>
    </row>
    <row r="20" spans="1:13" ht="16">
      <c r="A20" s="86" t="s">
        <v>458</v>
      </c>
      <c r="B20" s="86"/>
      <c r="C20" s="86"/>
      <c r="D20" s="86"/>
      <c r="E20" s="86"/>
      <c r="F20" s="86"/>
      <c r="G20" s="86"/>
      <c r="H20" s="86"/>
      <c r="I20" s="86"/>
      <c r="J20" s="86"/>
    </row>
    <row r="21" spans="1:13">
      <c r="A21" s="38" t="s">
        <v>39</v>
      </c>
      <c r="B21" s="11" t="s">
        <v>459</v>
      </c>
      <c r="C21" s="4" t="s">
        <v>460</v>
      </c>
      <c r="D21" s="4" t="s">
        <v>461</v>
      </c>
      <c r="E21" s="4" t="str">
        <f>"1,0283"</f>
        <v>1,0283</v>
      </c>
      <c r="F21" s="4" t="s">
        <v>43</v>
      </c>
      <c r="G21" s="9" t="s">
        <v>119</v>
      </c>
      <c r="H21" s="9" t="s">
        <v>116</v>
      </c>
      <c r="I21" s="10" t="s">
        <v>277</v>
      </c>
      <c r="J21" s="8"/>
      <c r="K21" s="43" t="str">
        <f>"105,0"</f>
        <v>105,0</v>
      </c>
      <c r="L21" s="8" t="str">
        <f>"107,9715"</f>
        <v>107,9715</v>
      </c>
      <c r="M21" s="4" t="s">
        <v>1190</v>
      </c>
    </row>
    <row r="22" spans="1:13">
      <c r="B22" s="6" t="s">
        <v>40</v>
      </c>
    </row>
    <row r="23" spans="1:13" ht="16">
      <c r="A23" s="86" t="s">
        <v>8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13">
      <c r="A24" s="35" t="s">
        <v>39</v>
      </c>
      <c r="B24" s="18" t="s">
        <v>832</v>
      </c>
      <c r="C24" s="12" t="s">
        <v>833</v>
      </c>
      <c r="D24" s="12" t="s">
        <v>834</v>
      </c>
      <c r="E24" s="12" t="str">
        <f>"0,9646"</f>
        <v>0,9646</v>
      </c>
      <c r="F24" s="12" t="s">
        <v>43</v>
      </c>
      <c r="G24" s="21" t="s">
        <v>55</v>
      </c>
      <c r="H24" s="21" t="s">
        <v>284</v>
      </c>
      <c r="I24" s="23" t="s">
        <v>277</v>
      </c>
      <c r="J24" s="15"/>
      <c r="K24" s="40" t="str">
        <f>"107,5"</f>
        <v>107,5</v>
      </c>
      <c r="L24" s="15" t="str">
        <f>"103,6945"</f>
        <v>103,6945</v>
      </c>
      <c r="M24" s="12" t="s">
        <v>835</v>
      </c>
    </row>
    <row r="25" spans="1:13">
      <c r="A25" s="37" t="s">
        <v>39</v>
      </c>
      <c r="B25" s="20" t="s">
        <v>832</v>
      </c>
      <c r="C25" s="14" t="s">
        <v>836</v>
      </c>
      <c r="D25" s="14" t="s">
        <v>834</v>
      </c>
      <c r="E25" s="14" t="str">
        <f>"0,9646"</f>
        <v>0,9646</v>
      </c>
      <c r="F25" s="14" t="s">
        <v>43</v>
      </c>
      <c r="G25" s="22" t="s">
        <v>55</v>
      </c>
      <c r="H25" s="22" t="s">
        <v>284</v>
      </c>
      <c r="I25" s="26" t="s">
        <v>277</v>
      </c>
      <c r="J25" s="17"/>
      <c r="K25" s="42" t="str">
        <f>"107,5"</f>
        <v>107,5</v>
      </c>
      <c r="L25" s="17" t="str">
        <f>"132,0031"</f>
        <v>132,0031</v>
      </c>
      <c r="M25" s="14" t="s">
        <v>835</v>
      </c>
    </row>
    <row r="26" spans="1:13">
      <c r="B26" s="6" t="s">
        <v>40</v>
      </c>
    </row>
    <row r="27" spans="1:13" ht="16">
      <c r="A27" s="86" t="s">
        <v>46</v>
      </c>
      <c r="B27" s="86"/>
      <c r="C27" s="86"/>
      <c r="D27" s="86"/>
      <c r="E27" s="86"/>
      <c r="F27" s="86"/>
      <c r="G27" s="86"/>
      <c r="H27" s="86"/>
      <c r="I27" s="86"/>
      <c r="J27" s="86"/>
    </row>
    <row r="28" spans="1:13">
      <c r="A28" s="38" t="s">
        <v>39</v>
      </c>
      <c r="B28" s="11" t="s">
        <v>837</v>
      </c>
      <c r="C28" s="4" t="s">
        <v>838</v>
      </c>
      <c r="D28" s="4" t="s">
        <v>839</v>
      </c>
      <c r="E28" s="4" t="str">
        <f>"0,8648"</f>
        <v>0,8648</v>
      </c>
      <c r="F28" s="4" t="s">
        <v>128</v>
      </c>
      <c r="G28" s="9" t="s">
        <v>344</v>
      </c>
      <c r="H28" s="9" t="s">
        <v>96</v>
      </c>
      <c r="I28" s="10" t="s">
        <v>52</v>
      </c>
      <c r="J28" s="8"/>
      <c r="K28" s="43" t="str">
        <f>"90,0"</f>
        <v>90,0</v>
      </c>
      <c r="L28" s="8" t="str">
        <f>"77,8320"</f>
        <v>77,8320</v>
      </c>
      <c r="M28" s="4" t="s">
        <v>136</v>
      </c>
    </row>
    <row r="29" spans="1:13">
      <c r="B29" s="6" t="s">
        <v>40</v>
      </c>
    </row>
    <row r="30" spans="1:13" ht="16">
      <c r="A30" s="86" t="s">
        <v>458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13">
      <c r="A31" s="46" t="s">
        <v>39</v>
      </c>
      <c r="B31" s="54" t="s">
        <v>840</v>
      </c>
      <c r="C31" s="60" t="s">
        <v>841</v>
      </c>
      <c r="D31" s="60" t="s">
        <v>842</v>
      </c>
      <c r="E31" s="60" t="str">
        <f>"0,7872"</f>
        <v>0,7872</v>
      </c>
      <c r="F31" s="12" t="s">
        <v>77</v>
      </c>
      <c r="G31" s="47" t="s">
        <v>119</v>
      </c>
      <c r="H31" s="21" t="s">
        <v>284</v>
      </c>
      <c r="I31" s="63" t="s">
        <v>277</v>
      </c>
      <c r="J31" s="55"/>
      <c r="K31" s="69" t="str">
        <f>"107,5"</f>
        <v>107,5</v>
      </c>
      <c r="L31" s="55" t="str">
        <f>"84,6240"</f>
        <v>84,6240</v>
      </c>
      <c r="M31" s="48" t="s">
        <v>1188</v>
      </c>
    </row>
    <row r="32" spans="1:13">
      <c r="A32" s="49" t="s">
        <v>39</v>
      </c>
      <c r="B32" s="56" t="s">
        <v>843</v>
      </c>
      <c r="C32" s="61" t="s">
        <v>844</v>
      </c>
      <c r="D32" s="61" t="s">
        <v>679</v>
      </c>
      <c r="E32" s="61" t="str">
        <f>"0,7804"</f>
        <v>0,7804</v>
      </c>
      <c r="F32" s="13" t="s">
        <v>43</v>
      </c>
      <c r="G32" s="44" t="s">
        <v>277</v>
      </c>
      <c r="H32" s="24" t="s">
        <v>57</v>
      </c>
      <c r="I32" s="30" t="s">
        <v>294</v>
      </c>
      <c r="J32" s="57"/>
      <c r="K32" s="70" t="str">
        <f>"117,5"</f>
        <v>117,5</v>
      </c>
      <c r="L32" s="57" t="str">
        <f>"91,6970"</f>
        <v>91,6970</v>
      </c>
      <c r="M32" s="50" t="s">
        <v>835</v>
      </c>
    </row>
    <row r="33" spans="1:13">
      <c r="A33" s="49" t="s">
        <v>117</v>
      </c>
      <c r="B33" s="56" t="s">
        <v>845</v>
      </c>
      <c r="C33" s="61" t="s">
        <v>846</v>
      </c>
      <c r="D33" s="61" t="s">
        <v>847</v>
      </c>
      <c r="E33" s="61" t="str">
        <f>"0,8365"</f>
        <v>0,8365</v>
      </c>
      <c r="F33" s="13" t="s">
        <v>848</v>
      </c>
      <c r="G33" s="45" t="s">
        <v>284</v>
      </c>
      <c r="H33" s="24" t="s">
        <v>284</v>
      </c>
      <c r="I33" s="31" t="s">
        <v>277</v>
      </c>
      <c r="J33" s="57"/>
      <c r="K33" s="70" t="str">
        <f>"110,0"</f>
        <v>110,0</v>
      </c>
      <c r="L33" s="57" t="str">
        <f>"92,0150"</f>
        <v>92,0150</v>
      </c>
      <c r="M33" s="50" t="s">
        <v>849</v>
      </c>
    </row>
    <row r="34" spans="1:13">
      <c r="A34" s="49" t="s">
        <v>45</v>
      </c>
      <c r="B34" s="56" t="s">
        <v>828</v>
      </c>
      <c r="C34" s="61" t="s">
        <v>1215</v>
      </c>
      <c r="D34" s="61" t="s">
        <v>829</v>
      </c>
      <c r="E34" s="61" t="str">
        <f>"1,0272"</f>
        <v>1,0272</v>
      </c>
      <c r="F34" s="13" t="s">
        <v>830</v>
      </c>
      <c r="G34" s="45" t="s">
        <v>179</v>
      </c>
      <c r="H34" s="25" t="s">
        <v>179</v>
      </c>
      <c r="I34" s="30" t="s">
        <v>179</v>
      </c>
      <c r="J34" s="57"/>
      <c r="K34" s="70">
        <v>0</v>
      </c>
      <c r="L34" s="57" t="str">
        <f>"0,0000"</f>
        <v>0,0000</v>
      </c>
      <c r="M34" s="50" t="s">
        <v>831</v>
      </c>
    </row>
    <row r="35" spans="1:13">
      <c r="A35" s="49" t="s">
        <v>39</v>
      </c>
      <c r="B35" s="56" t="s">
        <v>850</v>
      </c>
      <c r="C35" s="61" t="s">
        <v>851</v>
      </c>
      <c r="D35" s="61" t="s">
        <v>852</v>
      </c>
      <c r="E35" s="61" t="str">
        <f>"0,7747"</f>
        <v>0,7747</v>
      </c>
      <c r="F35" s="13" t="s">
        <v>43</v>
      </c>
      <c r="G35" s="44" t="s">
        <v>179</v>
      </c>
      <c r="H35" s="24" t="s">
        <v>294</v>
      </c>
      <c r="I35" s="30" t="s">
        <v>315</v>
      </c>
      <c r="J35" s="57"/>
      <c r="K35" s="70" t="str">
        <f>"125,0"</f>
        <v>125,0</v>
      </c>
      <c r="L35" s="57" t="str">
        <f>"96,8375"</f>
        <v>96,8375</v>
      </c>
      <c r="M35" s="50" t="s">
        <v>1188</v>
      </c>
    </row>
    <row r="36" spans="1:13">
      <c r="A36" s="49" t="s">
        <v>117</v>
      </c>
      <c r="B36" s="56" t="s">
        <v>843</v>
      </c>
      <c r="C36" s="61" t="s">
        <v>853</v>
      </c>
      <c r="D36" s="61" t="s">
        <v>679</v>
      </c>
      <c r="E36" s="61" t="str">
        <f>"0,7804"</f>
        <v>0,7804</v>
      </c>
      <c r="F36" s="13" t="s">
        <v>43</v>
      </c>
      <c r="G36" s="44" t="s">
        <v>277</v>
      </c>
      <c r="H36" s="24" t="s">
        <v>57</v>
      </c>
      <c r="I36" s="30" t="s">
        <v>294</v>
      </c>
      <c r="J36" s="57"/>
      <c r="K36" s="70" t="str">
        <f>"117,5"</f>
        <v>117,5</v>
      </c>
      <c r="L36" s="57" t="str">
        <f>"91,6970"</f>
        <v>91,6970</v>
      </c>
      <c r="M36" s="50" t="s">
        <v>835</v>
      </c>
    </row>
    <row r="37" spans="1:13">
      <c r="A37" s="49" t="s">
        <v>263</v>
      </c>
      <c r="B37" s="56" t="s">
        <v>854</v>
      </c>
      <c r="C37" s="61" t="s">
        <v>855</v>
      </c>
      <c r="D37" s="61" t="s">
        <v>675</v>
      </c>
      <c r="E37" s="61" t="str">
        <f>"0,7823"</f>
        <v>0,7823</v>
      </c>
      <c r="F37" s="13" t="s">
        <v>856</v>
      </c>
      <c r="G37" s="44" t="s">
        <v>276</v>
      </c>
      <c r="H37" s="24" t="s">
        <v>284</v>
      </c>
      <c r="I37" s="30" t="s">
        <v>57</v>
      </c>
      <c r="J37" s="57"/>
      <c r="K37" s="70" t="str">
        <f>"107,5"</f>
        <v>107,5</v>
      </c>
      <c r="L37" s="57" t="str">
        <f>"84,0972"</f>
        <v>84,0972</v>
      </c>
      <c r="M37" s="50" t="s">
        <v>857</v>
      </c>
    </row>
    <row r="38" spans="1:13">
      <c r="A38" s="51" t="s">
        <v>39</v>
      </c>
      <c r="B38" s="58" t="s">
        <v>677</v>
      </c>
      <c r="C38" s="62" t="s">
        <v>678</v>
      </c>
      <c r="D38" s="62" t="s">
        <v>679</v>
      </c>
      <c r="E38" s="62" t="str">
        <f>"0,7804"</f>
        <v>0,7804</v>
      </c>
      <c r="F38" s="14" t="s">
        <v>43</v>
      </c>
      <c r="G38" s="52" t="s">
        <v>116</v>
      </c>
      <c r="H38" s="22" t="s">
        <v>278</v>
      </c>
      <c r="I38" s="64" t="s">
        <v>179</v>
      </c>
      <c r="J38" s="59"/>
      <c r="K38" s="71" t="str">
        <f>"115,0"</f>
        <v>115,0</v>
      </c>
      <c r="L38" s="59" t="str">
        <f>"95,1308"</f>
        <v>95,1308</v>
      </c>
      <c r="M38" s="53" t="s">
        <v>1188</v>
      </c>
    </row>
    <row r="39" spans="1:13">
      <c r="B39" s="6" t="s">
        <v>40</v>
      </c>
    </row>
    <row r="40" spans="1:13" ht="16">
      <c r="A40" s="86" t="s">
        <v>8</v>
      </c>
      <c r="B40" s="86"/>
      <c r="C40" s="86"/>
      <c r="D40" s="86"/>
      <c r="E40" s="86"/>
      <c r="F40" s="86"/>
      <c r="G40" s="86"/>
      <c r="H40" s="86"/>
      <c r="I40" s="86"/>
      <c r="J40" s="86"/>
    </row>
    <row r="41" spans="1:13">
      <c r="A41" s="35" t="s">
        <v>39</v>
      </c>
      <c r="B41" s="18" t="s">
        <v>858</v>
      </c>
      <c r="C41" s="12" t="s">
        <v>859</v>
      </c>
      <c r="D41" s="12" t="s">
        <v>860</v>
      </c>
      <c r="E41" s="12" t="str">
        <f>"0,7519"</f>
        <v>0,7519</v>
      </c>
      <c r="F41" s="12" t="s">
        <v>691</v>
      </c>
      <c r="G41" s="21" t="s">
        <v>51</v>
      </c>
      <c r="H41" s="21" t="s">
        <v>276</v>
      </c>
      <c r="I41" s="23" t="s">
        <v>55</v>
      </c>
      <c r="J41" s="15"/>
      <c r="K41" s="40" t="str">
        <f>"97,5"</f>
        <v>97,5</v>
      </c>
      <c r="L41" s="15" t="str">
        <f>"73,3103"</f>
        <v>73,3103</v>
      </c>
      <c r="M41" s="12" t="s">
        <v>782</v>
      </c>
    </row>
    <row r="42" spans="1:13">
      <c r="A42" s="36" t="s">
        <v>39</v>
      </c>
      <c r="B42" s="19" t="s">
        <v>861</v>
      </c>
      <c r="C42" s="13" t="s">
        <v>862</v>
      </c>
      <c r="D42" s="13" t="s">
        <v>860</v>
      </c>
      <c r="E42" s="13" t="str">
        <f>"0,7519"</f>
        <v>0,7519</v>
      </c>
      <c r="F42" s="13" t="s">
        <v>810</v>
      </c>
      <c r="G42" s="24" t="s">
        <v>51</v>
      </c>
      <c r="H42" s="25" t="s">
        <v>52</v>
      </c>
      <c r="I42" s="24" t="s">
        <v>52</v>
      </c>
      <c r="J42" s="16"/>
      <c r="K42" s="41" t="str">
        <f>"95,0"</f>
        <v>95,0</v>
      </c>
      <c r="L42" s="16" t="str">
        <f>"71,4305"</f>
        <v>71,4305</v>
      </c>
      <c r="M42" s="13" t="s">
        <v>811</v>
      </c>
    </row>
    <row r="43" spans="1:13">
      <c r="A43" s="36" t="s">
        <v>117</v>
      </c>
      <c r="B43" s="19" t="s">
        <v>863</v>
      </c>
      <c r="C43" s="13" t="s">
        <v>864</v>
      </c>
      <c r="D43" s="13" t="s">
        <v>865</v>
      </c>
      <c r="E43" s="13" t="str">
        <f>"0,7544"</f>
        <v>0,7544</v>
      </c>
      <c r="F43" s="13" t="s">
        <v>128</v>
      </c>
      <c r="G43" s="24" t="s">
        <v>17</v>
      </c>
      <c r="H43" s="24" t="s">
        <v>18</v>
      </c>
      <c r="I43" s="25" t="s">
        <v>114</v>
      </c>
      <c r="J43" s="16"/>
      <c r="K43" s="41" t="str">
        <f>"75,0"</f>
        <v>75,0</v>
      </c>
      <c r="L43" s="16" t="str">
        <f>"56,5800"</f>
        <v>56,5800</v>
      </c>
      <c r="M43" s="13" t="s">
        <v>866</v>
      </c>
    </row>
    <row r="44" spans="1:13">
      <c r="A44" s="36" t="s">
        <v>39</v>
      </c>
      <c r="B44" s="19" t="s">
        <v>867</v>
      </c>
      <c r="C44" s="13" t="s">
        <v>868</v>
      </c>
      <c r="D44" s="13" t="s">
        <v>682</v>
      </c>
      <c r="E44" s="13" t="str">
        <f>"0,7228"</f>
        <v>0,7228</v>
      </c>
      <c r="F44" s="13" t="s">
        <v>869</v>
      </c>
      <c r="G44" s="24" t="s">
        <v>294</v>
      </c>
      <c r="H44" s="24" t="s">
        <v>61</v>
      </c>
      <c r="I44" s="25" t="s">
        <v>180</v>
      </c>
      <c r="J44" s="16"/>
      <c r="K44" s="41" t="str">
        <f>"130,0"</f>
        <v>130,0</v>
      </c>
      <c r="L44" s="16" t="str">
        <f>"93,9640"</f>
        <v>93,9640</v>
      </c>
      <c r="M44" s="13" t="s">
        <v>1188</v>
      </c>
    </row>
    <row r="45" spans="1:13">
      <c r="A45" s="37" t="s">
        <v>39</v>
      </c>
      <c r="B45" s="20" t="s">
        <v>9</v>
      </c>
      <c r="C45" s="14" t="s">
        <v>359</v>
      </c>
      <c r="D45" s="14" t="s">
        <v>11</v>
      </c>
      <c r="E45" s="14" t="str">
        <f>"0,7578"</f>
        <v>0,7578</v>
      </c>
      <c r="F45" s="14" t="s">
        <v>12</v>
      </c>
      <c r="G45" s="26" t="s">
        <v>19</v>
      </c>
      <c r="H45" s="22" t="s">
        <v>19</v>
      </c>
      <c r="I45" s="26" t="s">
        <v>361</v>
      </c>
      <c r="J45" s="17"/>
      <c r="K45" s="42" t="str">
        <f>"80,0"</f>
        <v>80,0</v>
      </c>
      <c r="L45" s="17" t="str">
        <f>"85,4798"</f>
        <v>85,4798</v>
      </c>
      <c r="M45" s="14" t="s">
        <v>1188</v>
      </c>
    </row>
    <row r="46" spans="1:13">
      <c r="B46" s="6" t="s">
        <v>40</v>
      </c>
    </row>
    <row r="47" spans="1:13" ht="16">
      <c r="A47" s="86" t="s">
        <v>15</v>
      </c>
      <c r="B47" s="86"/>
      <c r="C47" s="86"/>
      <c r="D47" s="86"/>
      <c r="E47" s="86"/>
      <c r="F47" s="86"/>
      <c r="G47" s="86"/>
      <c r="H47" s="86"/>
      <c r="I47" s="86"/>
      <c r="J47" s="86"/>
    </row>
    <row r="48" spans="1:13">
      <c r="A48" s="35" t="s">
        <v>39</v>
      </c>
      <c r="B48" s="18" t="s">
        <v>870</v>
      </c>
      <c r="C48" s="12" t="s">
        <v>871</v>
      </c>
      <c r="D48" s="12" t="s">
        <v>872</v>
      </c>
      <c r="E48" s="12" t="str">
        <f>"0,6838"</f>
        <v>0,6838</v>
      </c>
      <c r="F48" s="12" t="s">
        <v>43</v>
      </c>
      <c r="G48" s="23" t="s">
        <v>180</v>
      </c>
      <c r="H48" s="23" t="s">
        <v>180</v>
      </c>
      <c r="I48" s="21" t="s">
        <v>180</v>
      </c>
      <c r="J48" s="15"/>
      <c r="K48" s="40" t="str">
        <f>"135,0"</f>
        <v>135,0</v>
      </c>
      <c r="L48" s="15" t="str">
        <f>"92,3130"</f>
        <v>92,3130</v>
      </c>
      <c r="M48" s="12" t="s">
        <v>873</v>
      </c>
    </row>
    <row r="49" spans="1:13">
      <c r="A49" s="37" t="s">
        <v>117</v>
      </c>
      <c r="B49" s="20" t="s">
        <v>874</v>
      </c>
      <c r="C49" s="14" t="s">
        <v>875</v>
      </c>
      <c r="D49" s="14" t="s">
        <v>115</v>
      </c>
      <c r="E49" s="14" t="str">
        <f>"0,6774"</f>
        <v>0,6774</v>
      </c>
      <c r="F49" s="14" t="s">
        <v>43</v>
      </c>
      <c r="G49" s="26" t="s">
        <v>277</v>
      </c>
      <c r="H49" s="22" t="s">
        <v>277</v>
      </c>
      <c r="I49" s="26" t="s">
        <v>315</v>
      </c>
      <c r="J49" s="17"/>
      <c r="K49" s="42" t="str">
        <f>"110,0"</f>
        <v>110,0</v>
      </c>
      <c r="L49" s="17" t="str">
        <f>"74,5140"</f>
        <v>74,5140</v>
      </c>
      <c r="M49" s="14" t="s">
        <v>1188</v>
      </c>
    </row>
    <row r="50" spans="1:13">
      <c r="B50" s="6" t="s">
        <v>40</v>
      </c>
    </row>
    <row r="51" spans="1:13" ht="16">
      <c r="A51" s="86" t="s">
        <v>53</v>
      </c>
      <c r="B51" s="86"/>
      <c r="C51" s="86"/>
      <c r="D51" s="86"/>
      <c r="E51" s="86"/>
      <c r="F51" s="86"/>
      <c r="G51" s="86"/>
      <c r="H51" s="86"/>
      <c r="I51" s="86"/>
      <c r="J51" s="86"/>
    </row>
    <row r="52" spans="1:13">
      <c r="A52" s="35" t="s">
        <v>39</v>
      </c>
      <c r="B52" s="18" t="s">
        <v>876</v>
      </c>
      <c r="C52" s="12" t="s">
        <v>877</v>
      </c>
      <c r="D52" s="12" t="s">
        <v>878</v>
      </c>
      <c r="E52" s="12" t="str">
        <f>"0,6656"</f>
        <v>0,6656</v>
      </c>
      <c r="F52" s="12" t="s">
        <v>43</v>
      </c>
      <c r="G52" s="21" t="s">
        <v>179</v>
      </c>
      <c r="H52" s="21" t="s">
        <v>61</v>
      </c>
      <c r="I52" s="21" t="s">
        <v>142</v>
      </c>
      <c r="J52" s="15"/>
      <c r="K52" s="40" t="str">
        <f>"132,5"</f>
        <v>132,5</v>
      </c>
      <c r="L52" s="15" t="str">
        <f>"88,1920"</f>
        <v>88,1920</v>
      </c>
      <c r="M52" s="12" t="s">
        <v>879</v>
      </c>
    </row>
    <row r="53" spans="1:13">
      <c r="A53" s="36" t="s">
        <v>39</v>
      </c>
      <c r="B53" s="19" t="s">
        <v>880</v>
      </c>
      <c r="C53" s="13" t="s">
        <v>881</v>
      </c>
      <c r="D53" s="13" t="s">
        <v>74</v>
      </c>
      <c r="E53" s="13" t="str">
        <f>"0,6384"</f>
        <v>0,6384</v>
      </c>
      <c r="F53" s="13" t="s">
        <v>882</v>
      </c>
      <c r="G53" s="24" t="s">
        <v>283</v>
      </c>
      <c r="H53" s="24" t="s">
        <v>535</v>
      </c>
      <c r="I53" s="24" t="s">
        <v>670</v>
      </c>
      <c r="J53" s="16"/>
      <c r="K53" s="41" t="str">
        <f>"197,5"</f>
        <v>197,5</v>
      </c>
      <c r="L53" s="16" t="str">
        <f>"126,0840"</f>
        <v>126,0840</v>
      </c>
      <c r="M53" s="13" t="s">
        <v>883</v>
      </c>
    </row>
    <row r="54" spans="1:13">
      <c r="A54" s="36" t="s">
        <v>117</v>
      </c>
      <c r="B54" s="19" t="s">
        <v>884</v>
      </c>
      <c r="C54" s="13" t="s">
        <v>885</v>
      </c>
      <c r="D54" s="13" t="s">
        <v>886</v>
      </c>
      <c r="E54" s="13" t="str">
        <f>"0,6398"</f>
        <v>0,6398</v>
      </c>
      <c r="F54" s="13" t="s">
        <v>887</v>
      </c>
      <c r="G54" s="24" t="s">
        <v>152</v>
      </c>
      <c r="H54" s="24" t="s">
        <v>153</v>
      </c>
      <c r="I54" s="24" t="s">
        <v>131</v>
      </c>
      <c r="J54" s="16"/>
      <c r="K54" s="41" t="str">
        <f>"180,0"</f>
        <v>180,0</v>
      </c>
      <c r="L54" s="16" t="str">
        <f>"115,1640"</f>
        <v>115,1640</v>
      </c>
      <c r="M54" s="13" t="s">
        <v>1188</v>
      </c>
    </row>
    <row r="55" spans="1:13">
      <c r="A55" s="36" t="s">
        <v>263</v>
      </c>
      <c r="B55" s="19" t="s">
        <v>78</v>
      </c>
      <c r="C55" s="13" t="s">
        <v>79</v>
      </c>
      <c r="D55" s="13" t="s">
        <v>888</v>
      </c>
      <c r="E55" s="13" t="str">
        <f>"0,6402"</f>
        <v>0,6402</v>
      </c>
      <c r="F55" s="13" t="s">
        <v>43</v>
      </c>
      <c r="G55" s="25" t="s">
        <v>152</v>
      </c>
      <c r="H55" s="24" t="s">
        <v>153</v>
      </c>
      <c r="I55" s="25" t="s">
        <v>131</v>
      </c>
      <c r="J55" s="16"/>
      <c r="K55" s="41" t="str">
        <f>"177,5"</f>
        <v>177,5</v>
      </c>
      <c r="L55" s="16" t="str">
        <f>"113,6355"</f>
        <v>113,6355</v>
      </c>
      <c r="M55" s="13" t="s">
        <v>81</v>
      </c>
    </row>
    <row r="56" spans="1:13">
      <c r="A56" s="36" t="s">
        <v>598</v>
      </c>
      <c r="B56" s="19" t="s">
        <v>889</v>
      </c>
      <c r="C56" s="13" t="s">
        <v>890</v>
      </c>
      <c r="D56" s="13" t="s">
        <v>891</v>
      </c>
      <c r="E56" s="13" t="str">
        <f>"0,6432"</f>
        <v>0,6432</v>
      </c>
      <c r="F56" s="13" t="s">
        <v>43</v>
      </c>
      <c r="G56" s="24" t="s">
        <v>340</v>
      </c>
      <c r="H56" s="24" t="s">
        <v>369</v>
      </c>
      <c r="I56" s="25" t="s">
        <v>131</v>
      </c>
      <c r="J56" s="16"/>
      <c r="K56" s="41" t="str">
        <f>"175,0"</f>
        <v>175,0</v>
      </c>
      <c r="L56" s="16" t="str">
        <f>"112,5600"</f>
        <v>112,5600</v>
      </c>
      <c r="M56" s="13" t="s">
        <v>892</v>
      </c>
    </row>
    <row r="57" spans="1:13">
      <c r="A57" s="36" t="s">
        <v>790</v>
      </c>
      <c r="B57" s="19" t="s">
        <v>893</v>
      </c>
      <c r="C57" s="13" t="s">
        <v>894</v>
      </c>
      <c r="D57" s="13" t="s">
        <v>547</v>
      </c>
      <c r="E57" s="13" t="str">
        <f>"0,6410"</f>
        <v>0,6410</v>
      </c>
      <c r="F57" s="13" t="s">
        <v>895</v>
      </c>
      <c r="G57" s="24" t="s">
        <v>322</v>
      </c>
      <c r="H57" s="24" t="s">
        <v>107</v>
      </c>
      <c r="I57" s="24" t="s">
        <v>205</v>
      </c>
      <c r="J57" s="16"/>
      <c r="K57" s="41" t="str">
        <f>"160,0"</f>
        <v>160,0</v>
      </c>
      <c r="L57" s="16" t="str">
        <f>"102,5600"</f>
        <v>102,5600</v>
      </c>
      <c r="M57" s="13" t="s">
        <v>317</v>
      </c>
    </row>
    <row r="58" spans="1:13">
      <c r="A58" s="36" t="s">
        <v>791</v>
      </c>
      <c r="B58" s="19" t="s">
        <v>896</v>
      </c>
      <c r="C58" s="13" t="s">
        <v>897</v>
      </c>
      <c r="D58" s="13" t="s">
        <v>74</v>
      </c>
      <c r="E58" s="13" t="str">
        <f>"0,6384"</f>
        <v>0,6384</v>
      </c>
      <c r="F58" s="13" t="s">
        <v>691</v>
      </c>
      <c r="G58" s="25" t="s">
        <v>62</v>
      </c>
      <c r="H58" s="24" t="s">
        <v>62</v>
      </c>
      <c r="I58" s="25" t="s">
        <v>322</v>
      </c>
      <c r="J58" s="16"/>
      <c r="K58" s="41" t="str">
        <f>"142,5"</f>
        <v>142,5</v>
      </c>
      <c r="L58" s="16" t="str">
        <f>"90,9720"</f>
        <v>90,9720</v>
      </c>
      <c r="M58" s="13" t="s">
        <v>782</v>
      </c>
    </row>
    <row r="59" spans="1:13">
      <c r="A59" s="36" t="s">
        <v>45</v>
      </c>
      <c r="B59" s="19" t="s">
        <v>545</v>
      </c>
      <c r="C59" s="13" t="s">
        <v>546</v>
      </c>
      <c r="D59" s="13" t="s">
        <v>547</v>
      </c>
      <c r="E59" s="13" t="str">
        <f>"0,6410"</f>
        <v>0,6410</v>
      </c>
      <c r="F59" s="13" t="s">
        <v>548</v>
      </c>
      <c r="G59" s="25" t="s">
        <v>353</v>
      </c>
      <c r="H59" s="25" t="s">
        <v>353</v>
      </c>
      <c r="I59" s="25" t="s">
        <v>353</v>
      </c>
      <c r="J59" s="16"/>
      <c r="K59" s="41">
        <v>0</v>
      </c>
      <c r="L59" s="16" t="str">
        <f>"0,0000"</f>
        <v>0,0000</v>
      </c>
      <c r="M59" s="13" t="s">
        <v>1191</v>
      </c>
    </row>
    <row r="60" spans="1:13">
      <c r="A60" s="36" t="s">
        <v>45</v>
      </c>
      <c r="B60" s="19" t="s">
        <v>898</v>
      </c>
      <c r="C60" s="13" t="s">
        <v>899</v>
      </c>
      <c r="D60" s="13" t="s">
        <v>195</v>
      </c>
      <c r="E60" s="13" t="str">
        <f>"0,6388"</f>
        <v>0,6388</v>
      </c>
      <c r="F60" s="13" t="s">
        <v>43</v>
      </c>
      <c r="G60" s="25" t="s">
        <v>152</v>
      </c>
      <c r="H60" s="25" t="s">
        <v>369</v>
      </c>
      <c r="I60" s="16"/>
      <c r="J60" s="16"/>
      <c r="K60" s="41">
        <v>0</v>
      </c>
      <c r="L60" s="16" t="str">
        <f>"0,0000"</f>
        <v>0,0000</v>
      </c>
      <c r="M60" s="13" t="s">
        <v>1188</v>
      </c>
    </row>
    <row r="61" spans="1:13">
      <c r="A61" s="36" t="s">
        <v>39</v>
      </c>
      <c r="B61" s="19" t="s">
        <v>896</v>
      </c>
      <c r="C61" s="13" t="s">
        <v>900</v>
      </c>
      <c r="D61" s="13" t="s">
        <v>74</v>
      </c>
      <c r="E61" s="13" t="str">
        <f>"0,6384"</f>
        <v>0,6384</v>
      </c>
      <c r="F61" s="13" t="s">
        <v>691</v>
      </c>
      <c r="G61" s="25" t="s">
        <v>62</v>
      </c>
      <c r="H61" s="24" t="s">
        <v>62</v>
      </c>
      <c r="I61" s="25" t="s">
        <v>322</v>
      </c>
      <c r="J61" s="16"/>
      <c r="K61" s="41" t="str">
        <f>"142,5"</f>
        <v>142,5</v>
      </c>
      <c r="L61" s="16" t="str">
        <f>"102,9803"</f>
        <v>102,9803</v>
      </c>
      <c r="M61" s="13" t="s">
        <v>782</v>
      </c>
    </row>
    <row r="62" spans="1:13">
      <c r="A62" s="36" t="s">
        <v>39</v>
      </c>
      <c r="B62" s="19" t="s">
        <v>901</v>
      </c>
      <c r="C62" s="13" t="s">
        <v>902</v>
      </c>
      <c r="D62" s="13" t="s">
        <v>74</v>
      </c>
      <c r="E62" s="13" t="str">
        <f>"0,6384"</f>
        <v>0,6384</v>
      </c>
      <c r="F62" s="13" t="s">
        <v>43</v>
      </c>
      <c r="G62" s="24" t="s">
        <v>57</v>
      </c>
      <c r="H62" s="24" t="s">
        <v>314</v>
      </c>
      <c r="I62" s="25" t="s">
        <v>294</v>
      </c>
      <c r="J62" s="16"/>
      <c r="K62" s="41" t="str">
        <f>"122,5"</f>
        <v>122,5</v>
      </c>
      <c r="L62" s="16" t="str">
        <f>"112,6138"</f>
        <v>112,6138</v>
      </c>
      <c r="M62" s="13" t="s">
        <v>1188</v>
      </c>
    </row>
    <row r="63" spans="1:13">
      <c r="A63" s="36" t="s">
        <v>39</v>
      </c>
      <c r="B63" s="19" t="s">
        <v>903</v>
      </c>
      <c r="C63" s="13" t="s">
        <v>904</v>
      </c>
      <c r="D63" s="13" t="s">
        <v>905</v>
      </c>
      <c r="E63" s="13" t="str">
        <f>"0,6628"</f>
        <v>0,6628</v>
      </c>
      <c r="F63" s="13" t="s">
        <v>906</v>
      </c>
      <c r="G63" s="24" t="s">
        <v>278</v>
      </c>
      <c r="H63" s="24" t="s">
        <v>314</v>
      </c>
      <c r="I63" s="25" t="s">
        <v>294</v>
      </c>
      <c r="J63" s="16"/>
      <c r="K63" s="41" t="str">
        <f>"122,5"</f>
        <v>122,5</v>
      </c>
      <c r="L63" s="16" t="str">
        <f>"154,2667"</f>
        <v>154,2667</v>
      </c>
      <c r="M63" s="13" t="s">
        <v>1188</v>
      </c>
    </row>
    <row r="64" spans="1:13">
      <c r="A64" s="37" t="s">
        <v>117</v>
      </c>
      <c r="B64" s="20" t="s">
        <v>907</v>
      </c>
      <c r="C64" s="14" t="s">
        <v>908</v>
      </c>
      <c r="D64" s="14" t="s">
        <v>54</v>
      </c>
      <c r="E64" s="14" t="str">
        <f>"0,6499"</f>
        <v>0,6499</v>
      </c>
      <c r="F64" s="14" t="s">
        <v>77</v>
      </c>
      <c r="G64" s="22" t="s">
        <v>119</v>
      </c>
      <c r="H64" s="26" t="s">
        <v>277</v>
      </c>
      <c r="I64" s="26" t="s">
        <v>277</v>
      </c>
      <c r="J64" s="17"/>
      <c r="K64" s="42" t="str">
        <f>"100,0"</f>
        <v>100,0</v>
      </c>
      <c r="L64" s="17" t="str">
        <f>"123,4810"</f>
        <v>123,4810</v>
      </c>
      <c r="M64" s="14" t="s">
        <v>909</v>
      </c>
    </row>
    <row r="65" spans="1:13">
      <c r="B65" s="6" t="s">
        <v>40</v>
      </c>
    </row>
    <row r="66" spans="1:13" ht="16">
      <c r="A66" s="86" t="s">
        <v>20</v>
      </c>
      <c r="B66" s="86"/>
      <c r="C66" s="86"/>
      <c r="D66" s="86"/>
      <c r="E66" s="86"/>
      <c r="F66" s="86"/>
      <c r="G66" s="86"/>
      <c r="H66" s="86"/>
      <c r="I66" s="86"/>
      <c r="J66" s="86"/>
    </row>
    <row r="67" spans="1:13">
      <c r="A67" s="35" t="s">
        <v>39</v>
      </c>
      <c r="B67" s="18" t="s">
        <v>550</v>
      </c>
      <c r="C67" s="12" t="s">
        <v>551</v>
      </c>
      <c r="D67" s="12" t="s">
        <v>108</v>
      </c>
      <c r="E67" s="12" t="str">
        <f>"0,6098"</f>
        <v>0,6098</v>
      </c>
      <c r="F67" s="12" t="s">
        <v>313</v>
      </c>
      <c r="G67" s="21" t="s">
        <v>180</v>
      </c>
      <c r="H67" s="21" t="s">
        <v>106</v>
      </c>
      <c r="I67" s="21" t="s">
        <v>62</v>
      </c>
      <c r="J67" s="15"/>
      <c r="K67" s="40" t="str">
        <f>"142,5"</f>
        <v>142,5</v>
      </c>
      <c r="L67" s="15" t="str">
        <f>"86,8965"</f>
        <v>86,8965</v>
      </c>
      <c r="M67" s="12" t="s">
        <v>317</v>
      </c>
    </row>
    <row r="68" spans="1:13">
      <c r="A68" s="36" t="s">
        <v>39</v>
      </c>
      <c r="B68" s="19" t="s">
        <v>910</v>
      </c>
      <c r="C68" s="13" t="s">
        <v>911</v>
      </c>
      <c r="D68" s="13" t="s">
        <v>912</v>
      </c>
      <c r="E68" s="13" t="str">
        <f>"0,6144"</f>
        <v>0,6144</v>
      </c>
      <c r="F68" s="13" t="s">
        <v>43</v>
      </c>
      <c r="G68" s="24" t="s">
        <v>365</v>
      </c>
      <c r="H68" s="25" t="s">
        <v>353</v>
      </c>
      <c r="I68" s="25" t="s">
        <v>152</v>
      </c>
      <c r="J68" s="16"/>
      <c r="K68" s="41" t="str">
        <f>"162,5"</f>
        <v>162,5</v>
      </c>
      <c r="L68" s="16" t="str">
        <f>"99,8400"</f>
        <v>99,8400</v>
      </c>
      <c r="M68" s="13" t="s">
        <v>1188</v>
      </c>
    </row>
    <row r="69" spans="1:13">
      <c r="A69" s="36" t="s">
        <v>117</v>
      </c>
      <c r="B69" s="19" t="s">
        <v>304</v>
      </c>
      <c r="C69" s="13" t="s">
        <v>305</v>
      </c>
      <c r="D69" s="13" t="s">
        <v>306</v>
      </c>
      <c r="E69" s="13" t="str">
        <f>"0,6086"</f>
        <v>0,6086</v>
      </c>
      <c r="F69" s="13" t="s">
        <v>307</v>
      </c>
      <c r="G69" s="24" t="s">
        <v>63</v>
      </c>
      <c r="H69" s="25" t="s">
        <v>302</v>
      </c>
      <c r="I69" s="25" t="s">
        <v>302</v>
      </c>
      <c r="J69" s="16"/>
      <c r="K69" s="41" t="str">
        <f>"150,0"</f>
        <v>150,0</v>
      </c>
      <c r="L69" s="16" t="str">
        <f>"91,2900"</f>
        <v>91,2900</v>
      </c>
      <c r="M69" s="13" t="s">
        <v>309</v>
      </c>
    </row>
    <row r="70" spans="1:13">
      <c r="A70" s="36" t="s">
        <v>39</v>
      </c>
      <c r="B70" s="19" t="s">
        <v>913</v>
      </c>
      <c r="C70" s="13" t="s">
        <v>914</v>
      </c>
      <c r="D70" s="13" t="s">
        <v>915</v>
      </c>
      <c r="E70" s="13" t="str">
        <f>"0,6103"</f>
        <v>0,6103</v>
      </c>
      <c r="F70" s="13" t="s">
        <v>43</v>
      </c>
      <c r="G70" s="24" t="s">
        <v>302</v>
      </c>
      <c r="H70" s="24" t="s">
        <v>365</v>
      </c>
      <c r="I70" s="25" t="s">
        <v>340</v>
      </c>
      <c r="J70" s="16"/>
      <c r="K70" s="41" t="str">
        <f>"162,5"</f>
        <v>162,5</v>
      </c>
      <c r="L70" s="16" t="str">
        <f>"103,5374"</f>
        <v>103,5374</v>
      </c>
      <c r="M70" s="13" t="s">
        <v>671</v>
      </c>
    </row>
    <row r="71" spans="1:13">
      <c r="A71" s="36" t="s">
        <v>39</v>
      </c>
      <c r="B71" s="19" t="s">
        <v>916</v>
      </c>
      <c r="C71" s="13" t="s">
        <v>917</v>
      </c>
      <c r="D71" s="13" t="s">
        <v>918</v>
      </c>
      <c r="E71" s="13" t="str">
        <f>"0,6209"</f>
        <v>0,6209</v>
      </c>
      <c r="F71" s="13" t="s">
        <v>267</v>
      </c>
      <c r="G71" s="24" t="s">
        <v>106</v>
      </c>
      <c r="H71" s="24" t="s">
        <v>143</v>
      </c>
      <c r="I71" s="24" t="s">
        <v>63</v>
      </c>
      <c r="J71" s="16"/>
      <c r="K71" s="41" t="str">
        <f>"150,0"</f>
        <v>150,0</v>
      </c>
      <c r="L71" s="16" t="str">
        <f>"120,7961"</f>
        <v>120,7961</v>
      </c>
      <c r="M71" s="13" t="s">
        <v>919</v>
      </c>
    </row>
    <row r="72" spans="1:13">
      <c r="A72" s="37" t="s">
        <v>39</v>
      </c>
      <c r="B72" s="20" t="s">
        <v>920</v>
      </c>
      <c r="C72" s="14" t="s">
        <v>921</v>
      </c>
      <c r="D72" s="14" t="s">
        <v>915</v>
      </c>
      <c r="E72" s="14" t="str">
        <f>"0,6103"</f>
        <v>0,6103</v>
      </c>
      <c r="F72" s="14" t="s">
        <v>906</v>
      </c>
      <c r="G72" s="22" t="s">
        <v>278</v>
      </c>
      <c r="H72" s="22" t="s">
        <v>179</v>
      </c>
      <c r="I72" s="22" t="s">
        <v>294</v>
      </c>
      <c r="J72" s="17"/>
      <c r="K72" s="42" t="str">
        <f>"125,0"</f>
        <v>125,0</v>
      </c>
      <c r="L72" s="17" t="str">
        <f>"119,3899"</f>
        <v>119,3899</v>
      </c>
      <c r="M72" s="14" t="s">
        <v>1188</v>
      </c>
    </row>
    <row r="73" spans="1:13">
      <c r="B73" s="6" t="s">
        <v>40</v>
      </c>
    </row>
    <row r="74" spans="1:13" ht="16">
      <c r="A74" s="86" t="s">
        <v>82</v>
      </c>
      <c r="B74" s="86"/>
      <c r="C74" s="86"/>
      <c r="D74" s="86"/>
      <c r="E74" s="86"/>
      <c r="F74" s="86"/>
      <c r="G74" s="86"/>
      <c r="H74" s="86"/>
      <c r="I74" s="86"/>
      <c r="J74" s="86"/>
    </row>
    <row r="75" spans="1:13">
      <c r="A75" s="35" t="s">
        <v>39</v>
      </c>
      <c r="B75" s="18" t="s">
        <v>922</v>
      </c>
      <c r="C75" s="12" t="s">
        <v>923</v>
      </c>
      <c r="D75" s="12" t="s">
        <v>924</v>
      </c>
      <c r="E75" s="12" t="str">
        <f>"0,5926"</f>
        <v>0,5926</v>
      </c>
      <c r="F75" s="12" t="s">
        <v>925</v>
      </c>
      <c r="G75" s="21" t="s">
        <v>145</v>
      </c>
      <c r="H75" s="23" t="s">
        <v>926</v>
      </c>
      <c r="I75" s="21" t="s">
        <v>926</v>
      </c>
      <c r="J75" s="15"/>
      <c r="K75" s="40" t="str">
        <f>"231,0"</f>
        <v>231,0</v>
      </c>
      <c r="L75" s="15" t="str">
        <f>"136,8906"</f>
        <v>136,8906</v>
      </c>
      <c r="M75" s="12" t="s">
        <v>1188</v>
      </c>
    </row>
    <row r="76" spans="1:13">
      <c r="A76" s="36" t="s">
        <v>117</v>
      </c>
      <c r="B76" s="19" t="s">
        <v>927</v>
      </c>
      <c r="C76" s="13" t="s">
        <v>928</v>
      </c>
      <c r="D76" s="13" t="s">
        <v>929</v>
      </c>
      <c r="E76" s="13" t="str">
        <f>"0,5948"</f>
        <v>0,5948</v>
      </c>
      <c r="F76" s="13" t="s">
        <v>313</v>
      </c>
      <c r="G76" s="24" t="s">
        <v>535</v>
      </c>
      <c r="H76" s="24" t="s">
        <v>670</v>
      </c>
      <c r="I76" s="24" t="s">
        <v>144</v>
      </c>
      <c r="J76" s="16"/>
      <c r="K76" s="41" t="str">
        <f>"200,0"</f>
        <v>200,0</v>
      </c>
      <c r="L76" s="16" t="str">
        <f>"118,9600"</f>
        <v>118,9600</v>
      </c>
      <c r="M76" s="13" t="s">
        <v>317</v>
      </c>
    </row>
    <row r="77" spans="1:13">
      <c r="A77" s="36" t="s">
        <v>263</v>
      </c>
      <c r="B77" s="19" t="s">
        <v>930</v>
      </c>
      <c r="C77" s="13" t="s">
        <v>931</v>
      </c>
      <c r="D77" s="13" t="s">
        <v>932</v>
      </c>
      <c r="E77" s="13" t="str">
        <f>"0,5933"</f>
        <v>0,5933</v>
      </c>
      <c r="F77" s="13" t="s">
        <v>43</v>
      </c>
      <c r="G77" s="25" t="s">
        <v>107</v>
      </c>
      <c r="H77" s="25" t="s">
        <v>365</v>
      </c>
      <c r="I77" s="24" t="s">
        <v>340</v>
      </c>
      <c r="J77" s="16"/>
      <c r="K77" s="41" t="str">
        <f>"167,5"</f>
        <v>167,5</v>
      </c>
      <c r="L77" s="16" t="str">
        <f>"99,3777"</f>
        <v>99,3777</v>
      </c>
      <c r="M77" s="13" t="s">
        <v>933</v>
      </c>
    </row>
    <row r="78" spans="1:13">
      <c r="A78" s="36" t="s">
        <v>598</v>
      </c>
      <c r="B78" s="19" t="s">
        <v>934</v>
      </c>
      <c r="C78" s="13" t="s">
        <v>935</v>
      </c>
      <c r="D78" s="13" t="s">
        <v>83</v>
      </c>
      <c r="E78" s="13" t="str">
        <f>"0,5914"</f>
        <v>0,5914</v>
      </c>
      <c r="F78" s="13" t="s">
        <v>936</v>
      </c>
      <c r="G78" s="24" t="s">
        <v>106</v>
      </c>
      <c r="H78" s="24" t="s">
        <v>322</v>
      </c>
      <c r="I78" s="25" t="s">
        <v>301</v>
      </c>
      <c r="J78" s="16"/>
      <c r="K78" s="41" t="str">
        <f>"147,5"</f>
        <v>147,5</v>
      </c>
      <c r="L78" s="16" t="str">
        <f>"87,2315"</f>
        <v>87,2315</v>
      </c>
      <c r="M78" s="13" t="s">
        <v>801</v>
      </c>
    </row>
    <row r="79" spans="1:13">
      <c r="A79" s="36" t="s">
        <v>45</v>
      </c>
      <c r="B79" s="19" t="s">
        <v>937</v>
      </c>
      <c r="C79" s="13" t="s">
        <v>938</v>
      </c>
      <c r="D79" s="13" t="s">
        <v>939</v>
      </c>
      <c r="E79" s="13" t="str">
        <f>"0,5895"</f>
        <v>0,5895</v>
      </c>
      <c r="F79" s="13" t="s">
        <v>43</v>
      </c>
      <c r="G79" s="25" t="s">
        <v>132</v>
      </c>
      <c r="H79" s="25" t="s">
        <v>144</v>
      </c>
      <c r="I79" s="25" t="s">
        <v>144</v>
      </c>
      <c r="J79" s="16"/>
      <c r="K79" s="41">
        <v>0</v>
      </c>
      <c r="L79" s="16" t="str">
        <f>"0,0000"</f>
        <v>0,0000</v>
      </c>
      <c r="M79" s="13" t="s">
        <v>1211</v>
      </c>
    </row>
    <row r="80" spans="1:13">
      <c r="A80" s="36" t="s">
        <v>39</v>
      </c>
      <c r="B80" s="19" t="s">
        <v>940</v>
      </c>
      <c r="C80" s="13" t="s">
        <v>941</v>
      </c>
      <c r="D80" s="13" t="s">
        <v>942</v>
      </c>
      <c r="E80" s="13" t="str">
        <f>"0,6037"</f>
        <v>0,6037</v>
      </c>
      <c r="F80" s="13" t="s">
        <v>72</v>
      </c>
      <c r="G80" s="24" t="s">
        <v>353</v>
      </c>
      <c r="H80" s="24" t="s">
        <v>336</v>
      </c>
      <c r="I80" s="24" t="s">
        <v>153</v>
      </c>
      <c r="J80" s="16"/>
      <c r="K80" s="41" t="str">
        <f>"177,5"</f>
        <v>177,5</v>
      </c>
      <c r="L80" s="16" t="str">
        <f>"108,6569"</f>
        <v>108,6569</v>
      </c>
      <c r="M80" s="13" t="s">
        <v>1188</v>
      </c>
    </row>
    <row r="81" spans="1:13">
      <c r="A81" s="36" t="s">
        <v>39</v>
      </c>
      <c r="B81" s="19" t="s">
        <v>943</v>
      </c>
      <c r="C81" s="13" t="s">
        <v>944</v>
      </c>
      <c r="D81" s="13" t="s">
        <v>929</v>
      </c>
      <c r="E81" s="13" t="str">
        <f>"0,5948"</f>
        <v>0,5948</v>
      </c>
      <c r="F81" s="13" t="s">
        <v>313</v>
      </c>
      <c r="G81" s="24" t="s">
        <v>505</v>
      </c>
      <c r="H81" s="24" t="s">
        <v>132</v>
      </c>
      <c r="I81" s="24" t="s">
        <v>670</v>
      </c>
      <c r="J81" s="16"/>
      <c r="K81" s="41" t="str">
        <f>"197,5"</f>
        <v>197,5</v>
      </c>
      <c r="L81" s="16" t="str">
        <f>"139,4404"</f>
        <v>139,4404</v>
      </c>
      <c r="M81" s="13" t="s">
        <v>317</v>
      </c>
    </row>
    <row r="82" spans="1:13">
      <c r="A82" s="37" t="s">
        <v>117</v>
      </c>
      <c r="B82" s="20" t="s">
        <v>945</v>
      </c>
      <c r="C82" s="14" t="s">
        <v>946</v>
      </c>
      <c r="D82" s="14" t="s">
        <v>947</v>
      </c>
      <c r="E82" s="14" t="str">
        <f>"0,5910"</f>
        <v>0,5910</v>
      </c>
      <c r="F82" s="14" t="s">
        <v>43</v>
      </c>
      <c r="G82" s="22" t="s">
        <v>107</v>
      </c>
      <c r="H82" s="22" t="s">
        <v>205</v>
      </c>
      <c r="I82" s="26" t="s">
        <v>365</v>
      </c>
      <c r="J82" s="17"/>
      <c r="K82" s="42" t="str">
        <f>"160,0"</f>
        <v>160,0</v>
      </c>
      <c r="L82" s="17" t="str">
        <f>"114,1339"</f>
        <v>114,1339</v>
      </c>
      <c r="M82" s="14" t="s">
        <v>1188</v>
      </c>
    </row>
    <row r="83" spans="1:13">
      <c r="B83" s="6" t="s">
        <v>40</v>
      </c>
    </row>
    <row r="84" spans="1:13" ht="16">
      <c r="A84" s="86" t="s">
        <v>118</v>
      </c>
      <c r="B84" s="86"/>
      <c r="C84" s="86"/>
      <c r="D84" s="86"/>
      <c r="E84" s="86"/>
      <c r="F84" s="86"/>
      <c r="G84" s="86"/>
      <c r="H84" s="86"/>
      <c r="I84" s="86"/>
      <c r="J84" s="86"/>
    </row>
    <row r="85" spans="1:13">
      <c r="A85" s="35" t="s">
        <v>39</v>
      </c>
      <c r="B85" s="18" t="s">
        <v>948</v>
      </c>
      <c r="C85" s="12" t="s">
        <v>949</v>
      </c>
      <c r="D85" s="12" t="s">
        <v>950</v>
      </c>
      <c r="E85" s="12" t="str">
        <f>"0,5719"</f>
        <v>0,5719</v>
      </c>
      <c r="F85" s="60" t="s">
        <v>43</v>
      </c>
      <c r="G85" s="65" t="s">
        <v>144</v>
      </c>
      <c r="H85" s="23" t="s">
        <v>65</v>
      </c>
      <c r="I85" s="29" t="s">
        <v>65</v>
      </c>
      <c r="J85" s="55"/>
      <c r="K85" s="40" t="str">
        <f>"207,5"</f>
        <v>207,5</v>
      </c>
      <c r="L85" s="15" t="str">
        <f>"118,6693"</f>
        <v>118,6693</v>
      </c>
      <c r="M85" s="12" t="s">
        <v>1188</v>
      </c>
    </row>
    <row r="86" spans="1:13">
      <c r="A86" s="36" t="s">
        <v>39</v>
      </c>
      <c r="B86" s="19" t="s">
        <v>948</v>
      </c>
      <c r="C86" s="13" t="s">
        <v>951</v>
      </c>
      <c r="D86" s="13" t="s">
        <v>950</v>
      </c>
      <c r="E86" s="13" t="str">
        <f>"0,5719"</f>
        <v>0,5719</v>
      </c>
      <c r="F86" s="61" t="s">
        <v>43</v>
      </c>
      <c r="G86" s="66" t="s">
        <v>144</v>
      </c>
      <c r="H86" s="25" t="s">
        <v>65</v>
      </c>
      <c r="I86" s="31" t="s">
        <v>65</v>
      </c>
      <c r="J86" s="57"/>
      <c r="K86" s="41" t="str">
        <f>"207,5"</f>
        <v>207,5</v>
      </c>
      <c r="L86" s="16" t="str">
        <f>"136,4696"</f>
        <v>136,4696</v>
      </c>
      <c r="M86" s="13" t="s">
        <v>1188</v>
      </c>
    </row>
    <row r="87" spans="1:13">
      <c r="A87" s="36" t="s">
        <v>117</v>
      </c>
      <c r="B87" s="19" t="s">
        <v>952</v>
      </c>
      <c r="C87" s="13" t="s">
        <v>953</v>
      </c>
      <c r="D87" s="13" t="s">
        <v>954</v>
      </c>
      <c r="E87" s="13" t="str">
        <f>"0,5806"</f>
        <v>0,5806</v>
      </c>
      <c r="F87" s="61" t="s">
        <v>72</v>
      </c>
      <c r="G87" s="67" t="s">
        <v>205</v>
      </c>
      <c r="H87" s="24" t="s">
        <v>152</v>
      </c>
      <c r="I87" s="31" t="s">
        <v>131</v>
      </c>
      <c r="J87" s="57"/>
      <c r="K87" s="41" t="str">
        <f>"180,0"</f>
        <v>180,0</v>
      </c>
      <c r="L87" s="16" t="str">
        <f>"128,3358"</f>
        <v>128,3358</v>
      </c>
      <c r="M87" s="13" t="s">
        <v>1188</v>
      </c>
    </row>
    <row r="88" spans="1:13">
      <c r="A88" s="37" t="s">
        <v>39</v>
      </c>
      <c r="B88" s="20" t="s">
        <v>955</v>
      </c>
      <c r="C88" s="14" t="s">
        <v>956</v>
      </c>
      <c r="D88" s="14" t="s">
        <v>957</v>
      </c>
      <c r="E88" s="14" t="str">
        <f>"0,5853"</f>
        <v>0,5853</v>
      </c>
      <c r="F88" s="62" t="s">
        <v>958</v>
      </c>
      <c r="G88" s="68" t="s">
        <v>61</v>
      </c>
      <c r="H88" s="22" t="s">
        <v>106</v>
      </c>
      <c r="I88" s="59"/>
      <c r="J88" s="59"/>
      <c r="K88" s="42" t="str">
        <f>"140,0"</f>
        <v>140,0</v>
      </c>
      <c r="L88" s="17" t="str">
        <f>"115,5382"</f>
        <v>115,5382</v>
      </c>
      <c r="M88" s="14" t="s">
        <v>959</v>
      </c>
    </row>
    <row r="89" spans="1:13">
      <c r="B89" s="6" t="s">
        <v>40</v>
      </c>
    </row>
    <row r="90" spans="1:13" ht="16">
      <c r="A90" s="86" t="s">
        <v>244</v>
      </c>
      <c r="B90" s="86"/>
      <c r="C90" s="86"/>
      <c r="D90" s="86"/>
      <c r="E90" s="86"/>
      <c r="F90" s="86"/>
      <c r="G90" s="86"/>
      <c r="H90" s="86"/>
      <c r="I90" s="86"/>
      <c r="J90" s="86"/>
    </row>
    <row r="91" spans="1:13">
      <c r="A91" s="38" t="s">
        <v>39</v>
      </c>
      <c r="B91" s="11" t="s">
        <v>960</v>
      </c>
      <c r="C91" s="4" t="s">
        <v>961</v>
      </c>
      <c r="D91" s="4" t="s">
        <v>962</v>
      </c>
      <c r="E91" s="4" t="str">
        <f>"0,5657"</f>
        <v>0,5657</v>
      </c>
      <c r="F91" s="4" t="s">
        <v>963</v>
      </c>
      <c r="G91" s="9" t="s">
        <v>535</v>
      </c>
      <c r="H91" s="9" t="s">
        <v>144</v>
      </c>
      <c r="I91" s="10" t="s">
        <v>141</v>
      </c>
      <c r="J91" s="8"/>
      <c r="K91" s="43" t="str">
        <f>"200,0"</f>
        <v>200,0</v>
      </c>
      <c r="L91" s="8" t="str">
        <f>"113,1400"</f>
        <v>113,1400</v>
      </c>
      <c r="M91" s="4" t="s">
        <v>1188</v>
      </c>
    </row>
    <row r="92" spans="1:13">
      <c r="I92" s="45"/>
    </row>
    <row r="93" spans="1:13">
      <c r="B93" s="6" t="s">
        <v>40</v>
      </c>
    </row>
    <row r="95" spans="1:13" ht="18">
      <c r="B95" s="33" t="s">
        <v>27</v>
      </c>
      <c r="C95" s="33"/>
    </row>
    <row r="96" spans="1:13" ht="16">
      <c r="B96" s="28" t="s">
        <v>86</v>
      </c>
      <c r="C96" s="28"/>
    </row>
    <row r="97" spans="2:6" ht="14">
      <c r="B97" s="34"/>
      <c r="C97" s="34" t="s">
        <v>29</v>
      </c>
    </row>
    <row r="98" spans="2:6" ht="14">
      <c r="B98" s="5" t="s">
        <v>30</v>
      </c>
      <c r="C98" s="5" t="s">
        <v>31</v>
      </c>
      <c r="D98" s="5" t="s">
        <v>1189</v>
      </c>
      <c r="E98" s="5" t="s">
        <v>38</v>
      </c>
      <c r="F98" s="5" t="s">
        <v>253</v>
      </c>
    </row>
    <row r="99" spans="2:6">
      <c r="B99" s="3" t="s">
        <v>459</v>
      </c>
      <c r="C99" s="6" t="s">
        <v>29</v>
      </c>
      <c r="D99" s="7" t="s">
        <v>584</v>
      </c>
      <c r="E99" s="7" t="s">
        <v>116</v>
      </c>
      <c r="F99" s="7" t="s">
        <v>964</v>
      </c>
    </row>
    <row r="100" spans="2:6">
      <c r="B100" s="3" t="s">
        <v>832</v>
      </c>
      <c r="C100" s="6" t="s">
        <v>29</v>
      </c>
      <c r="D100" s="7" t="s">
        <v>37</v>
      </c>
      <c r="E100" s="7" t="s">
        <v>284</v>
      </c>
      <c r="F100" s="7" t="s">
        <v>965</v>
      </c>
    </row>
    <row r="101" spans="2:6">
      <c r="B101" s="3" t="s">
        <v>812</v>
      </c>
      <c r="C101" s="6" t="s">
        <v>29</v>
      </c>
      <c r="D101" s="7" t="s">
        <v>325</v>
      </c>
      <c r="E101" s="7" t="s">
        <v>481</v>
      </c>
      <c r="F101" s="7" t="s">
        <v>966</v>
      </c>
    </row>
    <row r="102" spans="2:6">
      <c r="B102" s="3"/>
    </row>
    <row r="103" spans="2:6" ht="16">
      <c r="B103" s="28" t="s">
        <v>28</v>
      </c>
      <c r="C103" s="28"/>
    </row>
    <row r="104" spans="2:6" ht="14">
      <c r="B104" s="34"/>
      <c r="C104" s="34" t="s">
        <v>589</v>
      </c>
    </row>
    <row r="105" spans="2:6" ht="14">
      <c r="B105" s="5" t="s">
        <v>30</v>
      </c>
      <c r="C105" s="5" t="s">
        <v>31</v>
      </c>
      <c r="D105" s="5" t="s">
        <v>1189</v>
      </c>
      <c r="E105" s="5" t="s">
        <v>38</v>
      </c>
      <c r="F105" s="5" t="s">
        <v>253</v>
      </c>
    </row>
    <row r="106" spans="2:6">
      <c r="B106" s="3" t="s">
        <v>845</v>
      </c>
      <c r="C106" s="6" t="s">
        <v>590</v>
      </c>
      <c r="D106" s="7" t="s">
        <v>584</v>
      </c>
      <c r="E106" s="7" t="s">
        <v>277</v>
      </c>
      <c r="F106" s="7" t="s">
        <v>967</v>
      </c>
    </row>
    <row r="107" spans="2:6">
      <c r="B107" s="3" t="s">
        <v>843</v>
      </c>
      <c r="C107" s="6" t="s">
        <v>590</v>
      </c>
      <c r="D107" s="7" t="s">
        <v>584</v>
      </c>
      <c r="E107" s="7" t="s">
        <v>57</v>
      </c>
      <c r="F107" s="7" t="s">
        <v>968</v>
      </c>
    </row>
    <row r="108" spans="2:6">
      <c r="B108" s="3" t="s">
        <v>876</v>
      </c>
      <c r="C108" s="6" t="s">
        <v>324</v>
      </c>
      <c r="D108" s="7" t="s">
        <v>64</v>
      </c>
      <c r="E108" s="7" t="s">
        <v>142</v>
      </c>
      <c r="F108" s="7" t="s">
        <v>969</v>
      </c>
    </row>
    <row r="109" spans="2:6">
      <c r="B109" s="3"/>
      <c r="C109" s="6"/>
      <c r="D109" s="7"/>
      <c r="E109" s="7"/>
      <c r="F109" s="7"/>
    </row>
    <row r="110" spans="2:6" ht="14">
      <c r="B110" s="34"/>
      <c r="C110" s="34" t="s">
        <v>29</v>
      </c>
    </row>
    <row r="111" spans="2:6" ht="14">
      <c r="B111" s="5" t="s">
        <v>30</v>
      </c>
      <c r="C111" s="5" t="s">
        <v>31</v>
      </c>
      <c r="D111" s="5" t="s">
        <v>1189</v>
      </c>
      <c r="E111" s="5" t="s">
        <v>38</v>
      </c>
      <c r="F111" s="5" t="s">
        <v>253</v>
      </c>
    </row>
    <row r="112" spans="2:6">
      <c r="B112" s="3" t="s">
        <v>922</v>
      </c>
      <c r="C112" s="6" t="s">
        <v>29</v>
      </c>
      <c r="D112" s="7" t="s">
        <v>88</v>
      </c>
      <c r="E112" s="7" t="s">
        <v>926</v>
      </c>
      <c r="F112" s="7" t="s">
        <v>970</v>
      </c>
    </row>
    <row r="113" spans="2:6">
      <c r="B113" s="3" t="s">
        <v>880</v>
      </c>
      <c r="C113" s="6" t="s">
        <v>29</v>
      </c>
      <c r="D113" s="7" t="s">
        <v>64</v>
      </c>
      <c r="E113" s="7" t="s">
        <v>670</v>
      </c>
      <c r="F113" s="7" t="s">
        <v>971</v>
      </c>
    </row>
    <row r="114" spans="2:6">
      <c r="B114" s="3" t="s">
        <v>927</v>
      </c>
      <c r="C114" s="6" t="s">
        <v>29</v>
      </c>
      <c r="D114" s="7" t="s">
        <v>88</v>
      </c>
      <c r="E114" s="7" t="s">
        <v>144</v>
      </c>
      <c r="F114" s="7" t="s">
        <v>972</v>
      </c>
    </row>
    <row r="115" spans="2:6">
      <c r="B115" s="3"/>
      <c r="C115" s="6"/>
      <c r="D115" s="7"/>
      <c r="E115" s="7"/>
      <c r="F115" s="7"/>
    </row>
    <row r="116" spans="2:6" ht="14">
      <c r="B116" s="34"/>
      <c r="C116" s="34" t="s">
        <v>35</v>
      </c>
    </row>
    <row r="117" spans="2:6" ht="14">
      <c r="B117" s="5" t="s">
        <v>30</v>
      </c>
      <c r="C117" s="5" t="s">
        <v>31</v>
      </c>
      <c r="D117" s="5" t="s">
        <v>1189</v>
      </c>
      <c r="E117" s="5" t="s">
        <v>38</v>
      </c>
      <c r="F117" s="5" t="s">
        <v>253</v>
      </c>
    </row>
    <row r="118" spans="2:6">
      <c r="B118" s="3" t="s">
        <v>903</v>
      </c>
      <c r="C118" s="6" t="s">
        <v>597</v>
      </c>
      <c r="D118" s="7" t="s">
        <v>64</v>
      </c>
      <c r="E118" s="7" t="s">
        <v>314</v>
      </c>
      <c r="F118" s="7" t="s">
        <v>973</v>
      </c>
    </row>
    <row r="119" spans="2:6">
      <c r="B119" s="3" t="s">
        <v>943</v>
      </c>
      <c r="C119" s="6" t="s">
        <v>261</v>
      </c>
      <c r="D119" s="7" t="s">
        <v>88</v>
      </c>
      <c r="E119" s="7" t="s">
        <v>670</v>
      </c>
      <c r="F119" s="7" t="s">
        <v>974</v>
      </c>
    </row>
    <row r="120" spans="2:6">
      <c r="B120" s="3" t="s">
        <v>948</v>
      </c>
      <c r="C120" s="6" t="s">
        <v>261</v>
      </c>
      <c r="D120" s="7" t="s">
        <v>120</v>
      </c>
      <c r="E120" s="7" t="s">
        <v>65</v>
      </c>
      <c r="F120" s="7" t="s">
        <v>975</v>
      </c>
    </row>
    <row r="121" spans="2:6">
      <c r="B121" s="6" t="s">
        <v>40</v>
      </c>
    </row>
  </sheetData>
  <mergeCells count="25">
    <mergeCell ref="A90:J90"/>
    <mergeCell ref="B3:B4"/>
    <mergeCell ref="A40:J40"/>
    <mergeCell ref="A47:J47"/>
    <mergeCell ref="A51:J51"/>
    <mergeCell ref="A66:J66"/>
    <mergeCell ref="A74:J74"/>
    <mergeCell ref="A84:J84"/>
    <mergeCell ref="A11:J11"/>
    <mergeCell ref="A16:J16"/>
    <mergeCell ref="A20:J20"/>
    <mergeCell ref="A23:J23"/>
    <mergeCell ref="A27:J27"/>
    <mergeCell ref="A30:J30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81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1.1640625" style="6" bestFit="1" customWidth="1"/>
    <col min="3" max="3" width="27.83203125" style="3" customWidth="1"/>
    <col min="4" max="4" width="21.5" style="3" bestFit="1" customWidth="1"/>
    <col min="5" max="5" width="10.5" style="3" bestFit="1" customWidth="1"/>
    <col min="6" max="6" width="22.3320312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7" style="3" bestFit="1" customWidth="1"/>
    <col min="14" max="16384" width="9.1640625" style="3"/>
  </cols>
  <sheetData>
    <row r="1" spans="1:13" s="2" customFormat="1" ht="29" customHeight="1">
      <c r="A1" s="74" t="s">
        <v>1197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458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662</v>
      </c>
      <c r="C6" s="4" t="s">
        <v>663</v>
      </c>
      <c r="D6" s="4" t="s">
        <v>664</v>
      </c>
      <c r="E6" s="4" t="str">
        <f>"1,0374"</f>
        <v>1,0374</v>
      </c>
      <c r="F6" s="4" t="s">
        <v>665</v>
      </c>
      <c r="G6" s="9" t="s">
        <v>60</v>
      </c>
      <c r="H6" s="10" t="s">
        <v>449</v>
      </c>
      <c r="I6" s="10" t="s">
        <v>17</v>
      </c>
      <c r="J6" s="8"/>
      <c r="K6" s="8" t="str">
        <f>"65,0"</f>
        <v>65,0</v>
      </c>
      <c r="L6" s="8" t="str">
        <f>"75,1181"</f>
        <v>75,1181</v>
      </c>
      <c r="M6" s="4" t="s">
        <v>1188</v>
      </c>
    </row>
    <row r="7" spans="1:13">
      <c r="B7" s="6" t="s">
        <v>40</v>
      </c>
    </row>
    <row r="8" spans="1:13" ht="16">
      <c r="A8" s="86" t="s">
        <v>8</v>
      </c>
      <c r="B8" s="86"/>
      <c r="C8" s="86"/>
      <c r="D8" s="86"/>
      <c r="E8" s="86"/>
      <c r="F8" s="86"/>
      <c r="G8" s="86"/>
      <c r="H8" s="86"/>
      <c r="I8" s="86"/>
      <c r="J8" s="86"/>
    </row>
    <row r="9" spans="1:13">
      <c r="A9" s="38" t="s">
        <v>39</v>
      </c>
      <c r="B9" s="11" t="s">
        <v>666</v>
      </c>
      <c r="C9" s="4" t="s">
        <v>667</v>
      </c>
      <c r="D9" s="4" t="s">
        <v>668</v>
      </c>
      <c r="E9" s="4" t="str">
        <f>"0,9596"</f>
        <v>0,9596</v>
      </c>
      <c r="F9" s="4" t="s">
        <v>43</v>
      </c>
      <c r="G9" s="9" t="s">
        <v>52</v>
      </c>
      <c r="H9" s="9" t="s">
        <v>55</v>
      </c>
      <c r="I9" s="10" t="s">
        <v>284</v>
      </c>
      <c r="J9" s="8"/>
      <c r="K9" s="8" t="str">
        <f>"102,5"</f>
        <v>102,5</v>
      </c>
      <c r="L9" s="8" t="str">
        <f>"98,8508"</f>
        <v>98,8508</v>
      </c>
      <c r="M9" s="4" t="s">
        <v>1188</v>
      </c>
    </row>
    <row r="10" spans="1:13">
      <c r="B10" s="6" t="s">
        <v>40</v>
      </c>
    </row>
    <row r="11" spans="1:13" ht="16">
      <c r="A11" s="86" t="s">
        <v>15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3">
      <c r="A12" s="38" t="s">
        <v>39</v>
      </c>
      <c r="B12" s="11" t="s">
        <v>350</v>
      </c>
      <c r="C12" s="4" t="s">
        <v>357</v>
      </c>
      <c r="D12" s="4" t="s">
        <v>352</v>
      </c>
      <c r="E12" s="4" t="str">
        <f>"0,9215"</f>
        <v>0,9215</v>
      </c>
      <c r="F12" s="4" t="s">
        <v>43</v>
      </c>
      <c r="G12" s="9" t="s">
        <v>52</v>
      </c>
      <c r="H12" s="9" t="s">
        <v>119</v>
      </c>
      <c r="I12" s="10" t="s">
        <v>116</v>
      </c>
      <c r="J12" s="8"/>
      <c r="K12" s="8" t="str">
        <f>"100,0"</f>
        <v>100,0</v>
      </c>
      <c r="L12" s="8" t="str">
        <f>"92,1500"</f>
        <v>92,1500</v>
      </c>
      <c r="M12" s="4" t="s">
        <v>354</v>
      </c>
    </row>
    <row r="13" spans="1:13">
      <c r="B13" s="6" t="s">
        <v>40</v>
      </c>
    </row>
    <row r="14" spans="1:13" ht="16">
      <c r="A14" s="86" t="s">
        <v>458</v>
      </c>
      <c r="B14" s="86"/>
      <c r="C14" s="86"/>
      <c r="D14" s="86"/>
      <c r="E14" s="86"/>
      <c r="F14" s="86"/>
      <c r="G14" s="86"/>
      <c r="H14" s="86"/>
      <c r="I14" s="86"/>
      <c r="J14" s="86"/>
    </row>
    <row r="15" spans="1:13">
      <c r="A15" s="35" t="s">
        <v>39</v>
      </c>
      <c r="B15" s="18" t="s">
        <v>673</v>
      </c>
      <c r="C15" s="12" t="s">
        <v>674</v>
      </c>
      <c r="D15" s="12" t="s">
        <v>675</v>
      </c>
      <c r="E15" s="12" t="str">
        <f>"0,7823"</f>
        <v>0,7823</v>
      </c>
      <c r="F15" s="12" t="s">
        <v>676</v>
      </c>
      <c r="G15" s="21" t="s">
        <v>301</v>
      </c>
      <c r="H15" s="21" t="s">
        <v>302</v>
      </c>
      <c r="I15" s="23" t="s">
        <v>365</v>
      </c>
      <c r="J15" s="15"/>
      <c r="K15" s="15" t="str">
        <f>"157,5"</f>
        <v>157,5</v>
      </c>
      <c r="L15" s="15" t="str">
        <f>"123,2122"</f>
        <v>123,2122</v>
      </c>
      <c r="M15" s="12" t="s">
        <v>1188</v>
      </c>
    </row>
    <row r="16" spans="1:13">
      <c r="A16" s="37" t="s">
        <v>39</v>
      </c>
      <c r="B16" s="20" t="s">
        <v>677</v>
      </c>
      <c r="C16" s="14" t="s">
        <v>678</v>
      </c>
      <c r="D16" s="14" t="s">
        <v>679</v>
      </c>
      <c r="E16" s="14" t="str">
        <f>"0,7804"</f>
        <v>0,7804</v>
      </c>
      <c r="F16" s="14" t="s">
        <v>43</v>
      </c>
      <c r="G16" s="22" t="s">
        <v>116</v>
      </c>
      <c r="H16" s="22" t="s">
        <v>278</v>
      </c>
      <c r="I16" s="26" t="s">
        <v>179</v>
      </c>
      <c r="J16" s="17"/>
      <c r="K16" s="17" t="str">
        <f>"115,0"</f>
        <v>115,0</v>
      </c>
      <c r="L16" s="17" t="str">
        <f>"95,1308"</f>
        <v>95,1308</v>
      </c>
      <c r="M16" s="14" t="s">
        <v>1188</v>
      </c>
    </row>
    <row r="17" spans="1:13">
      <c r="B17" s="6" t="s">
        <v>40</v>
      </c>
    </row>
    <row r="18" spans="1:13" ht="16">
      <c r="A18" s="86" t="s">
        <v>8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3">
      <c r="A19" s="35" t="s">
        <v>39</v>
      </c>
      <c r="B19" s="18" t="s">
        <v>680</v>
      </c>
      <c r="C19" s="12" t="s">
        <v>681</v>
      </c>
      <c r="D19" s="12" t="s">
        <v>682</v>
      </c>
      <c r="E19" s="12" t="str">
        <f>"0,7228"</f>
        <v>0,7228</v>
      </c>
      <c r="F19" s="12" t="s">
        <v>683</v>
      </c>
      <c r="G19" s="21" t="s">
        <v>61</v>
      </c>
      <c r="H19" s="21" t="s">
        <v>335</v>
      </c>
      <c r="I19" s="21" t="s">
        <v>62</v>
      </c>
      <c r="J19" s="15"/>
      <c r="K19" s="15" t="str">
        <f>"142,5"</f>
        <v>142,5</v>
      </c>
      <c r="L19" s="15" t="str">
        <f>"102,9990"</f>
        <v>102,9990</v>
      </c>
      <c r="M19" s="12" t="s">
        <v>684</v>
      </c>
    </row>
    <row r="20" spans="1:13">
      <c r="A20" s="37" t="s">
        <v>39</v>
      </c>
      <c r="B20" s="20" t="s">
        <v>9</v>
      </c>
      <c r="C20" s="14" t="s">
        <v>359</v>
      </c>
      <c r="D20" s="14" t="s">
        <v>11</v>
      </c>
      <c r="E20" s="14" t="str">
        <f>"0,7578"</f>
        <v>0,7578</v>
      </c>
      <c r="F20" s="14" t="s">
        <v>12</v>
      </c>
      <c r="G20" s="26" t="s">
        <v>19</v>
      </c>
      <c r="H20" s="22" t="s">
        <v>19</v>
      </c>
      <c r="I20" s="26" t="s">
        <v>361</v>
      </c>
      <c r="J20" s="17"/>
      <c r="K20" s="17" t="str">
        <f>"80,0"</f>
        <v>80,0</v>
      </c>
      <c r="L20" s="17" t="str">
        <f>"85,4798"</f>
        <v>85,4798</v>
      </c>
      <c r="M20" s="14" t="s">
        <v>1188</v>
      </c>
    </row>
    <row r="21" spans="1:13">
      <c r="B21" s="6" t="s">
        <v>40</v>
      </c>
    </row>
    <row r="22" spans="1:13" ht="16">
      <c r="A22" s="86" t="s">
        <v>15</v>
      </c>
      <c r="B22" s="86"/>
      <c r="C22" s="86"/>
      <c r="D22" s="86"/>
      <c r="E22" s="86"/>
      <c r="F22" s="86"/>
      <c r="G22" s="86"/>
      <c r="H22" s="86"/>
      <c r="I22" s="86"/>
      <c r="J22" s="86"/>
    </row>
    <row r="23" spans="1:13">
      <c r="A23" s="35" t="s">
        <v>39</v>
      </c>
      <c r="B23" s="18" t="s">
        <v>685</v>
      </c>
      <c r="C23" s="12" t="s">
        <v>686</v>
      </c>
      <c r="D23" s="12" t="s">
        <v>687</v>
      </c>
      <c r="E23" s="12" t="str">
        <f>"0,6734"</f>
        <v>0,6734</v>
      </c>
      <c r="F23" s="12" t="s">
        <v>688</v>
      </c>
      <c r="G23" s="23" t="s">
        <v>63</v>
      </c>
      <c r="H23" s="21" t="s">
        <v>63</v>
      </c>
      <c r="I23" s="23" t="s">
        <v>302</v>
      </c>
      <c r="J23" s="15"/>
      <c r="K23" s="15" t="str">
        <f>"150,0"</f>
        <v>150,0</v>
      </c>
      <c r="L23" s="15" t="str">
        <f>"101,0100"</f>
        <v>101,0100</v>
      </c>
      <c r="M23" s="12" t="s">
        <v>1188</v>
      </c>
    </row>
    <row r="24" spans="1:13">
      <c r="A24" s="36" t="s">
        <v>39</v>
      </c>
      <c r="B24" s="19" t="s">
        <v>689</v>
      </c>
      <c r="C24" s="13" t="s">
        <v>690</v>
      </c>
      <c r="D24" s="13" t="s">
        <v>115</v>
      </c>
      <c r="E24" s="13" t="str">
        <f>"0,6774"</f>
        <v>0,6774</v>
      </c>
      <c r="F24" s="13" t="s">
        <v>691</v>
      </c>
      <c r="G24" s="24" t="s">
        <v>316</v>
      </c>
      <c r="H24" s="25" t="s">
        <v>323</v>
      </c>
      <c r="I24" s="16"/>
      <c r="J24" s="16"/>
      <c r="K24" s="16" t="str">
        <f>"232,5"</f>
        <v>232,5</v>
      </c>
      <c r="L24" s="16" t="str">
        <f>"157,4955"</f>
        <v>157,4955</v>
      </c>
      <c r="M24" s="13" t="s">
        <v>1188</v>
      </c>
    </row>
    <row r="25" spans="1:13">
      <c r="A25" s="36" t="s">
        <v>117</v>
      </c>
      <c r="B25" s="19" t="s">
        <v>692</v>
      </c>
      <c r="C25" s="13" t="s">
        <v>693</v>
      </c>
      <c r="D25" s="13" t="s">
        <v>694</v>
      </c>
      <c r="E25" s="13" t="str">
        <f>"0,6854"</f>
        <v>0,6854</v>
      </c>
      <c r="F25" s="13" t="s">
        <v>93</v>
      </c>
      <c r="G25" s="24" t="s">
        <v>131</v>
      </c>
      <c r="H25" s="25" t="s">
        <v>283</v>
      </c>
      <c r="I25" s="24" t="s">
        <v>283</v>
      </c>
      <c r="J25" s="16"/>
      <c r="K25" s="16" t="str">
        <f>"185,0"</f>
        <v>185,0</v>
      </c>
      <c r="L25" s="16" t="str">
        <f>"126,7990"</f>
        <v>126,7990</v>
      </c>
      <c r="M25" s="13" t="s">
        <v>1188</v>
      </c>
    </row>
    <row r="26" spans="1:13">
      <c r="A26" s="36" t="s">
        <v>263</v>
      </c>
      <c r="B26" s="19" t="s">
        <v>695</v>
      </c>
      <c r="C26" s="13" t="s">
        <v>696</v>
      </c>
      <c r="D26" s="13" t="s">
        <v>697</v>
      </c>
      <c r="E26" s="13" t="str">
        <f>"0,6927"</f>
        <v>0,6927</v>
      </c>
      <c r="F26" s="13" t="s">
        <v>43</v>
      </c>
      <c r="G26" s="24" t="s">
        <v>353</v>
      </c>
      <c r="H26" s="25" t="s">
        <v>336</v>
      </c>
      <c r="I26" s="25" t="s">
        <v>336</v>
      </c>
      <c r="J26" s="16"/>
      <c r="K26" s="16" t="str">
        <f>"165,0"</f>
        <v>165,0</v>
      </c>
      <c r="L26" s="16" t="str">
        <f>"114,2955"</f>
        <v>114,2955</v>
      </c>
      <c r="M26" s="13" t="s">
        <v>295</v>
      </c>
    </row>
    <row r="27" spans="1:13">
      <c r="A27" s="36" t="s">
        <v>598</v>
      </c>
      <c r="B27" s="19" t="s">
        <v>698</v>
      </c>
      <c r="C27" s="13" t="s">
        <v>699</v>
      </c>
      <c r="D27" s="13" t="s">
        <v>700</v>
      </c>
      <c r="E27" s="13" t="str">
        <f>"0,6779"</f>
        <v>0,6779</v>
      </c>
      <c r="F27" s="13" t="s">
        <v>701</v>
      </c>
      <c r="G27" s="24" t="s">
        <v>180</v>
      </c>
      <c r="H27" s="24" t="s">
        <v>143</v>
      </c>
      <c r="I27" s="25" t="s">
        <v>63</v>
      </c>
      <c r="J27" s="16"/>
      <c r="K27" s="16" t="str">
        <f>"145,0"</f>
        <v>145,0</v>
      </c>
      <c r="L27" s="16" t="str">
        <f>"98,2955"</f>
        <v>98,2955</v>
      </c>
      <c r="M27" s="13" t="s">
        <v>1188</v>
      </c>
    </row>
    <row r="28" spans="1:13">
      <c r="A28" s="37" t="s">
        <v>39</v>
      </c>
      <c r="B28" s="20" t="s">
        <v>159</v>
      </c>
      <c r="C28" s="14" t="s">
        <v>160</v>
      </c>
      <c r="D28" s="14" t="s">
        <v>161</v>
      </c>
      <c r="E28" s="14" t="str">
        <f>"0,6704"</f>
        <v>0,6704</v>
      </c>
      <c r="F28" s="14" t="s">
        <v>162</v>
      </c>
      <c r="G28" s="22" t="s">
        <v>61</v>
      </c>
      <c r="H28" s="22" t="s">
        <v>106</v>
      </c>
      <c r="I28" s="26" t="s">
        <v>143</v>
      </c>
      <c r="J28" s="17"/>
      <c r="K28" s="17" t="str">
        <f>"140,0"</f>
        <v>140,0</v>
      </c>
      <c r="L28" s="17" t="str">
        <f>"115,2552"</f>
        <v>115,2552</v>
      </c>
      <c r="M28" s="14" t="s">
        <v>1188</v>
      </c>
    </row>
    <row r="29" spans="1:13">
      <c r="B29" s="6" t="s">
        <v>40</v>
      </c>
    </row>
    <row r="30" spans="1:13" ht="16">
      <c r="A30" s="86" t="s">
        <v>53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13">
      <c r="A31" s="35" t="s">
        <v>39</v>
      </c>
      <c r="B31" s="18" t="s">
        <v>669</v>
      </c>
      <c r="C31" s="12" t="s">
        <v>1187</v>
      </c>
      <c r="D31" s="12" t="s">
        <v>538</v>
      </c>
      <c r="E31" s="12" t="str">
        <f>"0,6436"</f>
        <v>0,6436</v>
      </c>
      <c r="F31" s="12" t="s">
        <v>1185</v>
      </c>
      <c r="G31" s="21" t="s">
        <v>670</v>
      </c>
      <c r="H31" s="21" t="s">
        <v>251</v>
      </c>
      <c r="I31" s="29" t="s">
        <v>141</v>
      </c>
      <c r="J31" s="15"/>
      <c r="K31" s="15" t="str">
        <f>"205,0"</f>
        <v>205,0</v>
      </c>
      <c r="L31" s="15" t="str">
        <f>"180,1540"</f>
        <v>180,1540</v>
      </c>
      <c r="M31" s="12" t="s">
        <v>671</v>
      </c>
    </row>
    <row r="32" spans="1:13">
      <c r="A32" s="36" t="s">
        <v>39</v>
      </c>
      <c r="B32" s="19" t="s">
        <v>702</v>
      </c>
      <c r="C32" s="13" t="s">
        <v>703</v>
      </c>
      <c r="D32" s="13" t="s">
        <v>543</v>
      </c>
      <c r="E32" s="13" t="str">
        <f>"0,6413"</f>
        <v>0,6413</v>
      </c>
      <c r="F32" s="13" t="s">
        <v>110</v>
      </c>
      <c r="G32" s="25" t="s">
        <v>205</v>
      </c>
      <c r="H32" s="24" t="s">
        <v>205</v>
      </c>
      <c r="I32" s="30" t="s">
        <v>353</v>
      </c>
      <c r="J32" s="16"/>
      <c r="K32" s="16" t="str">
        <f>"160,0"</f>
        <v>160,0</v>
      </c>
      <c r="L32" s="16" t="str">
        <f>"102,6080"</f>
        <v>102,6080</v>
      </c>
      <c r="M32" s="13" t="s">
        <v>704</v>
      </c>
    </row>
    <row r="33" spans="1:13">
      <c r="A33" s="36" t="s">
        <v>39</v>
      </c>
      <c r="B33" s="19" t="s">
        <v>705</v>
      </c>
      <c r="C33" s="13" t="s">
        <v>706</v>
      </c>
      <c r="D33" s="13" t="s">
        <v>707</v>
      </c>
      <c r="E33" s="13" t="str">
        <f>"0,6421"</f>
        <v>0,6421</v>
      </c>
      <c r="F33" s="13" t="s">
        <v>708</v>
      </c>
      <c r="G33" s="24" t="s">
        <v>158</v>
      </c>
      <c r="H33" s="24" t="s">
        <v>135</v>
      </c>
      <c r="I33" s="30" t="s">
        <v>709</v>
      </c>
      <c r="J33" s="16"/>
      <c r="K33" s="16" t="str">
        <f>"270,0"</f>
        <v>270,0</v>
      </c>
      <c r="L33" s="16" t="str">
        <f>"173,3670"</f>
        <v>173,3670</v>
      </c>
      <c r="M33" s="13" t="s">
        <v>1188</v>
      </c>
    </row>
    <row r="34" spans="1:13">
      <c r="A34" s="36" t="s">
        <v>117</v>
      </c>
      <c r="B34" s="19" t="s">
        <v>710</v>
      </c>
      <c r="C34" s="13" t="s">
        <v>711</v>
      </c>
      <c r="D34" s="13" t="s">
        <v>364</v>
      </c>
      <c r="E34" s="13" t="str">
        <f>"0,6436"</f>
        <v>0,6436</v>
      </c>
      <c r="F34" s="13" t="s">
        <v>712</v>
      </c>
      <c r="G34" s="24" t="s">
        <v>141</v>
      </c>
      <c r="H34" s="24" t="s">
        <v>321</v>
      </c>
      <c r="I34" s="31" t="s">
        <v>164</v>
      </c>
      <c r="J34" s="16"/>
      <c r="K34" s="16" t="str">
        <f>"225,0"</f>
        <v>225,0</v>
      </c>
      <c r="L34" s="16" t="str">
        <f>"144,8100"</f>
        <v>144,8100</v>
      </c>
      <c r="M34" s="13" t="s">
        <v>713</v>
      </c>
    </row>
    <row r="35" spans="1:13">
      <c r="A35" s="36" t="s">
        <v>263</v>
      </c>
      <c r="B35" s="19" t="s">
        <v>669</v>
      </c>
      <c r="C35" s="13" t="s">
        <v>672</v>
      </c>
      <c r="D35" s="13" t="s">
        <v>538</v>
      </c>
      <c r="E35" s="13" t="str">
        <f>"0,6436"</f>
        <v>0,6436</v>
      </c>
      <c r="F35" s="13" t="s">
        <v>1185</v>
      </c>
      <c r="G35" s="24" t="s">
        <v>670</v>
      </c>
      <c r="H35" s="24" t="s">
        <v>251</v>
      </c>
      <c r="I35" s="31" t="s">
        <v>141</v>
      </c>
      <c r="J35" s="16"/>
      <c r="K35" s="16" t="str">
        <f>"205,0"</f>
        <v>205,0</v>
      </c>
      <c r="L35" s="16" t="str">
        <f>"180,1540"</f>
        <v>180,1540</v>
      </c>
      <c r="M35" s="13" t="s">
        <v>671</v>
      </c>
    </row>
    <row r="36" spans="1:13">
      <c r="A36" s="36" t="s">
        <v>598</v>
      </c>
      <c r="B36" s="19" t="s">
        <v>714</v>
      </c>
      <c r="C36" s="13" t="s">
        <v>715</v>
      </c>
      <c r="D36" s="13" t="s">
        <v>716</v>
      </c>
      <c r="E36" s="13" t="str">
        <f>"0,6424"</f>
        <v>0,6424</v>
      </c>
      <c r="F36" s="13" t="s">
        <v>43</v>
      </c>
      <c r="G36" s="24" t="s">
        <v>189</v>
      </c>
      <c r="H36" s="24" t="s">
        <v>144</v>
      </c>
      <c r="I36" s="30" t="s">
        <v>141</v>
      </c>
      <c r="J36" s="16"/>
      <c r="K36" s="16" t="str">
        <f>"200,0"</f>
        <v>200,0</v>
      </c>
      <c r="L36" s="16" t="str">
        <f>"128,4800"</f>
        <v>128,4800</v>
      </c>
      <c r="M36" s="13" t="s">
        <v>717</v>
      </c>
    </row>
    <row r="37" spans="1:13">
      <c r="A37" s="36" t="s">
        <v>790</v>
      </c>
      <c r="B37" s="19" t="s">
        <v>718</v>
      </c>
      <c r="C37" s="13" t="s">
        <v>719</v>
      </c>
      <c r="D37" s="13" t="s">
        <v>538</v>
      </c>
      <c r="E37" s="13" t="str">
        <f>"0,6515"</f>
        <v>0,6515</v>
      </c>
      <c r="F37" s="13" t="s">
        <v>128</v>
      </c>
      <c r="G37" s="24" t="s">
        <v>205</v>
      </c>
      <c r="H37" s="24" t="s">
        <v>353</v>
      </c>
      <c r="I37" s="30" t="s">
        <v>152</v>
      </c>
      <c r="J37" s="16"/>
      <c r="K37" s="16" t="str">
        <f>"165,0"</f>
        <v>165,0</v>
      </c>
      <c r="L37" s="16" t="str">
        <f>"107,4975"</f>
        <v>107,4975</v>
      </c>
      <c r="M37" s="13" t="s">
        <v>136</v>
      </c>
    </row>
    <row r="38" spans="1:13">
      <c r="A38" s="36" t="s">
        <v>791</v>
      </c>
      <c r="B38" s="19" t="s">
        <v>720</v>
      </c>
      <c r="C38" s="13" t="s">
        <v>721</v>
      </c>
      <c r="D38" s="13" t="s">
        <v>722</v>
      </c>
      <c r="E38" s="13" t="str">
        <f>"0,6428"</f>
        <v>0,6428</v>
      </c>
      <c r="F38" s="13" t="s">
        <v>43</v>
      </c>
      <c r="G38" s="25" t="s">
        <v>107</v>
      </c>
      <c r="H38" s="24" t="s">
        <v>107</v>
      </c>
      <c r="I38" s="31" t="s">
        <v>365</v>
      </c>
      <c r="J38" s="16"/>
      <c r="K38" s="16" t="str">
        <f>"162,5"</f>
        <v>162,5</v>
      </c>
      <c r="L38" s="16" t="str">
        <f>"104,4550"</f>
        <v>104,4550</v>
      </c>
      <c r="M38" s="13" t="s">
        <v>723</v>
      </c>
    </row>
    <row r="39" spans="1:13">
      <c r="A39" s="36" t="s">
        <v>792</v>
      </c>
      <c r="B39" s="19" t="s">
        <v>724</v>
      </c>
      <c r="C39" s="13" t="s">
        <v>725</v>
      </c>
      <c r="D39" s="13" t="s">
        <v>726</v>
      </c>
      <c r="E39" s="13" t="str">
        <f>"0,6459"</f>
        <v>0,6459</v>
      </c>
      <c r="F39" s="13" t="s">
        <v>72</v>
      </c>
      <c r="G39" s="24" t="s">
        <v>205</v>
      </c>
      <c r="H39" s="25" t="s">
        <v>152</v>
      </c>
      <c r="I39" s="30" t="s">
        <v>369</v>
      </c>
      <c r="J39" s="16"/>
      <c r="K39" s="16" t="str">
        <f>"160,0"</f>
        <v>160,0</v>
      </c>
      <c r="L39" s="16" t="str">
        <f>"103,3440"</f>
        <v>103,3440</v>
      </c>
      <c r="M39" s="13" t="s">
        <v>727</v>
      </c>
    </row>
    <row r="40" spans="1:13">
      <c r="A40" s="37" t="s">
        <v>1186</v>
      </c>
      <c r="B40" s="20" t="s">
        <v>728</v>
      </c>
      <c r="C40" s="14" t="s">
        <v>729</v>
      </c>
      <c r="D40" s="14" t="s">
        <v>54</v>
      </c>
      <c r="E40" s="14" t="str">
        <f>"0,6499"</f>
        <v>0,6499</v>
      </c>
      <c r="F40" s="14" t="s">
        <v>730</v>
      </c>
      <c r="G40" s="22" t="s">
        <v>106</v>
      </c>
      <c r="H40" s="22" t="s">
        <v>63</v>
      </c>
      <c r="I40" s="32" t="s">
        <v>301</v>
      </c>
      <c r="J40" s="17"/>
      <c r="K40" s="17" t="str">
        <f>"152,5"</f>
        <v>152,5</v>
      </c>
      <c r="L40" s="17" t="str">
        <f>"99,1098"</f>
        <v>99,1098</v>
      </c>
      <c r="M40" s="14" t="s">
        <v>731</v>
      </c>
    </row>
    <row r="41" spans="1:13">
      <c r="B41" s="6" t="s">
        <v>40</v>
      </c>
    </row>
    <row r="42" spans="1:13" ht="16">
      <c r="A42" s="86" t="s">
        <v>20</v>
      </c>
      <c r="B42" s="86"/>
      <c r="C42" s="86"/>
      <c r="D42" s="86"/>
      <c r="E42" s="86"/>
      <c r="F42" s="86"/>
      <c r="G42" s="86"/>
      <c r="H42" s="86"/>
      <c r="I42" s="86"/>
      <c r="J42" s="86"/>
    </row>
    <row r="43" spans="1:13">
      <c r="A43" s="35" t="s">
        <v>39</v>
      </c>
      <c r="B43" s="18" t="s">
        <v>732</v>
      </c>
      <c r="C43" s="12" t="s">
        <v>733</v>
      </c>
      <c r="D43" s="12" t="s">
        <v>734</v>
      </c>
      <c r="E43" s="12" t="str">
        <f>"0,6169"</f>
        <v>0,6169</v>
      </c>
      <c r="F43" s="12" t="s">
        <v>43</v>
      </c>
      <c r="G43" s="21" t="s">
        <v>165</v>
      </c>
      <c r="H43" s="21" t="s">
        <v>323</v>
      </c>
      <c r="I43" s="23" t="s">
        <v>134</v>
      </c>
      <c r="J43" s="15"/>
      <c r="K43" s="15" t="str">
        <f>"242,5"</f>
        <v>242,5</v>
      </c>
      <c r="L43" s="15" t="str">
        <f>"149,5983"</f>
        <v>149,5983</v>
      </c>
      <c r="M43" s="12" t="s">
        <v>1188</v>
      </c>
    </row>
    <row r="44" spans="1:13">
      <c r="A44" s="36" t="s">
        <v>117</v>
      </c>
      <c r="B44" s="19" t="s">
        <v>735</v>
      </c>
      <c r="C44" s="13" t="s">
        <v>736</v>
      </c>
      <c r="D44" s="13" t="s">
        <v>734</v>
      </c>
      <c r="E44" s="13" t="str">
        <f>"0,6169"</f>
        <v>0,6169</v>
      </c>
      <c r="F44" s="13" t="s">
        <v>43</v>
      </c>
      <c r="G44" s="24" t="s">
        <v>141</v>
      </c>
      <c r="H44" s="24" t="s">
        <v>181</v>
      </c>
      <c r="I44" s="24" t="s">
        <v>163</v>
      </c>
      <c r="J44" s="16"/>
      <c r="K44" s="16" t="str">
        <f>"215,0"</f>
        <v>215,0</v>
      </c>
      <c r="L44" s="16" t="str">
        <f>"132,6335"</f>
        <v>132,6335</v>
      </c>
      <c r="M44" s="13" t="s">
        <v>737</v>
      </c>
    </row>
    <row r="45" spans="1:13">
      <c r="A45" s="36" t="s">
        <v>263</v>
      </c>
      <c r="B45" s="19" t="s">
        <v>738</v>
      </c>
      <c r="C45" s="13" t="s">
        <v>517</v>
      </c>
      <c r="D45" s="13" t="s">
        <v>739</v>
      </c>
      <c r="E45" s="13" t="str">
        <f>"0,6101"</f>
        <v>0,6101</v>
      </c>
      <c r="F45" s="13" t="s">
        <v>72</v>
      </c>
      <c r="G45" s="24" t="s">
        <v>189</v>
      </c>
      <c r="H45" s="25" t="s">
        <v>141</v>
      </c>
      <c r="I45" s="25" t="s">
        <v>141</v>
      </c>
      <c r="J45" s="16"/>
      <c r="K45" s="16" t="str">
        <f>"195,0"</f>
        <v>195,0</v>
      </c>
      <c r="L45" s="16" t="str">
        <f>"118,9695"</f>
        <v>118,9695</v>
      </c>
      <c r="M45" s="13" t="s">
        <v>349</v>
      </c>
    </row>
    <row r="46" spans="1:13">
      <c r="A46" s="36" t="s">
        <v>598</v>
      </c>
      <c r="B46" s="19" t="s">
        <v>740</v>
      </c>
      <c r="C46" s="13" t="s">
        <v>741</v>
      </c>
      <c r="D46" s="13" t="s">
        <v>742</v>
      </c>
      <c r="E46" s="13" t="str">
        <f>"0,6211"</f>
        <v>0,6211</v>
      </c>
      <c r="F46" s="13" t="s">
        <v>43</v>
      </c>
      <c r="G46" s="24" t="s">
        <v>63</v>
      </c>
      <c r="H46" s="24" t="s">
        <v>205</v>
      </c>
      <c r="I46" s="24" t="s">
        <v>340</v>
      </c>
      <c r="J46" s="16"/>
      <c r="K46" s="16" t="str">
        <f>"167,5"</f>
        <v>167,5</v>
      </c>
      <c r="L46" s="16" t="str">
        <f>"104,0343"</f>
        <v>104,0343</v>
      </c>
      <c r="M46" s="13" t="s">
        <v>743</v>
      </c>
    </row>
    <row r="47" spans="1:13">
      <c r="A47" s="36" t="s">
        <v>39</v>
      </c>
      <c r="B47" s="19" t="s">
        <v>744</v>
      </c>
      <c r="C47" s="13" t="s">
        <v>745</v>
      </c>
      <c r="D47" s="13" t="s">
        <v>746</v>
      </c>
      <c r="E47" s="13" t="str">
        <f>"0,6206"</f>
        <v>0,6206</v>
      </c>
      <c r="F47" s="13" t="s">
        <v>43</v>
      </c>
      <c r="G47" s="24" t="s">
        <v>131</v>
      </c>
      <c r="H47" s="25" t="s">
        <v>505</v>
      </c>
      <c r="I47" s="25" t="s">
        <v>505</v>
      </c>
      <c r="J47" s="16"/>
      <c r="K47" s="16" t="str">
        <f>"180,0"</f>
        <v>180,0</v>
      </c>
      <c r="L47" s="16" t="str">
        <f>"112,2665"</f>
        <v>112,2665</v>
      </c>
      <c r="M47" s="13" t="s">
        <v>1188</v>
      </c>
    </row>
    <row r="48" spans="1:13">
      <c r="A48" s="37" t="s">
        <v>39</v>
      </c>
      <c r="B48" s="20" t="s">
        <v>747</v>
      </c>
      <c r="C48" s="14" t="s">
        <v>748</v>
      </c>
      <c r="D48" s="14" t="s">
        <v>749</v>
      </c>
      <c r="E48" s="14" t="str">
        <f>"0,6163"</f>
        <v>0,6163</v>
      </c>
      <c r="F48" s="14" t="s">
        <v>43</v>
      </c>
      <c r="G48" s="26" t="s">
        <v>152</v>
      </c>
      <c r="H48" s="22" t="s">
        <v>152</v>
      </c>
      <c r="I48" s="26" t="s">
        <v>336</v>
      </c>
      <c r="J48" s="17"/>
      <c r="K48" s="17" t="str">
        <f>"170,0"</f>
        <v>170,0</v>
      </c>
      <c r="L48" s="17" t="str">
        <f>"120,4866"</f>
        <v>120,4866</v>
      </c>
      <c r="M48" s="14" t="s">
        <v>1188</v>
      </c>
    </row>
    <row r="49" spans="1:13">
      <c r="B49" s="6" t="s">
        <v>40</v>
      </c>
    </row>
    <row r="50" spans="1:13" ht="16">
      <c r="A50" s="86" t="s">
        <v>82</v>
      </c>
      <c r="B50" s="86"/>
      <c r="C50" s="86"/>
      <c r="D50" s="86"/>
      <c r="E50" s="86"/>
      <c r="F50" s="86"/>
      <c r="G50" s="86"/>
      <c r="H50" s="86"/>
      <c r="I50" s="86"/>
      <c r="J50" s="86"/>
    </row>
    <row r="51" spans="1:13">
      <c r="A51" s="35" t="s">
        <v>39</v>
      </c>
      <c r="B51" s="18" t="s">
        <v>750</v>
      </c>
      <c r="C51" s="12" t="s">
        <v>751</v>
      </c>
      <c r="D51" s="12" t="s">
        <v>752</v>
      </c>
      <c r="E51" s="12" t="str">
        <f>"0,5923"</f>
        <v>0,5923</v>
      </c>
      <c r="F51" s="12" t="s">
        <v>438</v>
      </c>
      <c r="G51" s="21" t="s">
        <v>308</v>
      </c>
      <c r="H51" s="23" t="s">
        <v>173</v>
      </c>
      <c r="I51" s="23" t="s">
        <v>173</v>
      </c>
      <c r="J51" s="15"/>
      <c r="K51" s="15" t="str">
        <f>"227,5"</f>
        <v>227,5</v>
      </c>
      <c r="L51" s="15" t="str">
        <f>"134,7482"</f>
        <v>134,7482</v>
      </c>
      <c r="M51" s="12" t="s">
        <v>1188</v>
      </c>
    </row>
    <row r="52" spans="1:13">
      <c r="A52" s="36" t="s">
        <v>117</v>
      </c>
      <c r="B52" s="19" t="s">
        <v>397</v>
      </c>
      <c r="C52" s="13" t="s">
        <v>398</v>
      </c>
      <c r="D52" s="13" t="s">
        <v>399</v>
      </c>
      <c r="E52" s="13" t="str">
        <f>"0,5907"</f>
        <v>0,5907</v>
      </c>
      <c r="F52" s="13" t="s">
        <v>43</v>
      </c>
      <c r="G52" s="24" t="s">
        <v>144</v>
      </c>
      <c r="H52" s="24" t="s">
        <v>141</v>
      </c>
      <c r="I52" s="24" t="s">
        <v>65</v>
      </c>
      <c r="J52" s="16"/>
      <c r="K52" s="16" t="str">
        <f>"207,5"</f>
        <v>207,5</v>
      </c>
      <c r="L52" s="16" t="str">
        <f>"122,5702"</f>
        <v>122,5702</v>
      </c>
      <c r="M52" s="13" t="s">
        <v>400</v>
      </c>
    </row>
    <row r="53" spans="1:13">
      <c r="A53" s="36" t="s">
        <v>263</v>
      </c>
      <c r="B53" s="19" t="s">
        <v>753</v>
      </c>
      <c r="C53" s="13" t="s">
        <v>754</v>
      </c>
      <c r="D53" s="13" t="s">
        <v>755</v>
      </c>
      <c r="E53" s="13" t="str">
        <f>"0,5935"</f>
        <v>0,5935</v>
      </c>
      <c r="F53" s="13" t="s">
        <v>43</v>
      </c>
      <c r="G53" s="24" t="s">
        <v>152</v>
      </c>
      <c r="H53" s="25" t="s">
        <v>505</v>
      </c>
      <c r="I53" s="25" t="s">
        <v>505</v>
      </c>
      <c r="J53" s="16"/>
      <c r="K53" s="16" t="str">
        <f>"170,0"</f>
        <v>170,0</v>
      </c>
      <c r="L53" s="16" t="str">
        <f>"100,8950"</f>
        <v>100,8950</v>
      </c>
      <c r="M53" s="13" t="s">
        <v>1216</v>
      </c>
    </row>
    <row r="54" spans="1:13">
      <c r="A54" s="36" t="s">
        <v>598</v>
      </c>
      <c r="B54" s="19" t="s">
        <v>756</v>
      </c>
      <c r="C54" s="13" t="s">
        <v>757</v>
      </c>
      <c r="D54" s="13" t="s">
        <v>312</v>
      </c>
      <c r="E54" s="13" t="str">
        <f>"0,5937"</f>
        <v>0,5937</v>
      </c>
      <c r="F54" s="13" t="s">
        <v>624</v>
      </c>
      <c r="G54" s="24" t="s">
        <v>205</v>
      </c>
      <c r="H54" s="25" t="s">
        <v>340</v>
      </c>
      <c r="I54" s="25" t="s">
        <v>340</v>
      </c>
      <c r="J54" s="16"/>
      <c r="K54" s="16" t="str">
        <f>"160,0"</f>
        <v>160,0</v>
      </c>
      <c r="L54" s="16" t="str">
        <f>"94,9920"</f>
        <v>94,9920</v>
      </c>
      <c r="M54" s="13" t="s">
        <v>758</v>
      </c>
    </row>
    <row r="55" spans="1:13">
      <c r="A55" s="37" t="s">
        <v>39</v>
      </c>
      <c r="B55" s="20" t="s">
        <v>759</v>
      </c>
      <c r="C55" s="14" t="s">
        <v>760</v>
      </c>
      <c r="D55" s="14" t="s">
        <v>111</v>
      </c>
      <c r="E55" s="14" t="str">
        <f>"0,5956"</f>
        <v>0,5956</v>
      </c>
      <c r="F55" s="14" t="s">
        <v>43</v>
      </c>
      <c r="G55" s="22" t="s">
        <v>205</v>
      </c>
      <c r="H55" s="22" t="s">
        <v>340</v>
      </c>
      <c r="I55" s="22" t="s">
        <v>336</v>
      </c>
      <c r="J55" s="17"/>
      <c r="K55" s="17" t="str">
        <f>"172,5"</f>
        <v>172,5</v>
      </c>
      <c r="L55" s="17" t="str">
        <f>"118,1522"</f>
        <v>118,1522</v>
      </c>
      <c r="M55" s="14" t="s">
        <v>1188</v>
      </c>
    </row>
    <row r="56" spans="1:13">
      <c r="B56" s="6" t="s">
        <v>40</v>
      </c>
    </row>
    <row r="57" spans="1:13" ht="16">
      <c r="A57" s="86" t="s">
        <v>118</v>
      </c>
      <c r="B57" s="86"/>
      <c r="C57" s="86"/>
      <c r="D57" s="86"/>
      <c r="E57" s="86"/>
      <c r="F57" s="86"/>
      <c r="G57" s="86"/>
      <c r="H57" s="86"/>
      <c r="I57" s="86"/>
      <c r="J57" s="86"/>
    </row>
    <row r="58" spans="1:13">
      <c r="A58" s="35" t="s">
        <v>39</v>
      </c>
      <c r="B58" s="18" t="s">
        <v>761</v>
      </c>
      <c r="C58" s="12" t="s">
        <v>762</v>
      </c>
      <c r="D58" s="12" t="s">
        <v>763</v>
      </c>
      <c r="E58" s="12" t="str">
        <f>"0,5756"</f>
        <v>0,5756</v>
      </c>
      <c r="F58" s="12" t="s">
        <v>624</v>
      </c>
      <c r="G58" s="23" t="s">
        <v>96</v>
      </c>
      <c r="H58" s="21" t="s">
        <v>96</v>
      </c>
      <c r="I58" s="23" t="s">
        <v>119</v>
      </c>
      <c r="J58" s="15"/>
      <c r="K58" s="15" t="str">
        <f>"90,0"</f>
        <v>90,0</v>
      </c>
      <c r="L58" s="15" t="str">
        <f>"51,8040"</f>
        <v>51,8040</v>
      </c>
      <c r="M58" s="12" t="s">
        <v>764</v>
      </c>
    </row>
    <row r="59" spans="1:13">
      <c r="A59" s="36" t="s">
        <v>39</v>
      </c>
      <c r="B59" s="19" t="s">
        <v>765</v>
      </c>
      <c r="C59" s="13" t="s">
        <v>766</v>
      </c>
      <c r="D59" s="13" t="s">
        <v>767</v>
      </c>
      <c r="E59" s="13" t="str">
        <f>"0,5726"</f>
        <v>0,5726</v>
      </c>
      <c r="F59" s="13" t="s">
        <v>624</v>
      </c>
      <c r="G59" s="24" t="s">
        <v>132</v>
      </c>
      <c r="H59" s="24" t="s">
        <v>251</v>
      </c>
      <c r="I59" s="24" t="s">
        <v>506</v>
      </c>
      <c r="J59" s="16"/>
      <c r="K59" s="16" t="str">
        <f>"212,5"</f>
        <v>212,5</v>
      </c>
      <c r="L59" s="16" t="str">
        <f>"121,6775"</f>
        <v>121,6775</v>
      </c>
      <c r="M59" s="13" t="s">
        <v>764</v>
      </c>
    </row>
    <row r="60" spans="1:13">
      <c r="A60" s="36" t="s">
        <v>39</v>
      </c>
      <c r="B60" s="19" t="s">
        <v>768</v>
      </c>
      <c r="C60" s="13" t="s">
        <v>769</v>
      </c>
      <c r="D60" s="13" t="s">
        <v>770</v>
      </c>
      <c r="E60" s="13" t="str">
        <f>"0,5811"</f>
        <v>0,5811</v>
      </c>
      <c r="F60" s="13" t="s">
        <v>771</v>
      </c>
      <c r="G60" s="24" t="s">
        <v>196</v>
      </c>
      <c r="H60" s="24" t="s">
        <v>135</v>
      </c>
      <c r="I60" s="25" t="s">
        <v>772</v>
      </c>
      <c r="J60" s="16"/>
      <c r="K60" s="16" t="str">
        <f>"270,0"</f>
        <v>270,0</v>
      </c>
      <c r="L60" s="16" t="str">
        <f>"156,8970"</f>
        <v>156,8970</v>
      </c>
      <c r="M60" s="13" t="s">
        <v>1188</v>
      </c>
    </row>
    <row r="61" spans="1:13">
      <c r="A61" s="36" t="s">
        <v>117</v>
      </c>
      <c r="B61" s="19" t="s">
        <v>773</v>
      </c>
      <c r="C61" s="13" t="s">
        <v>774</v>
      </c>
      <c r="D61" s="13" t="s">
        <v>320</v>
      </c>
      <c r="E61" s="13" t="str">
        <f>"0,5823"</f>
        <v>0,5823</v>
      </c>
      <c r="F61" s="13" t="s">
        <v>624</v>
      </c>
      <c r="G61" s="24" t="s">
        <v>171</v>
      </c>
      <c r="H61" s="24" t="s">
        <v>172</v>
      </c>
      <c r="I61" s="24" t="s">
        <v>173</v>
      </c>
      <c r="J61" s="16"/>
      <c r="K61" s="16" t="str">
        <f>"255,0"</f>
        <v>255,0</v>
      </c>
      <c r="L61" s="16" t="str">
        <f>"148,4865"</f>
        <v>148,4865</v>
      </c>
      <c r="M61" s="13" t="s">
        <v>1188</v>
      </c>
    </row>
    <row r="62" spans="1:13">
      <c r="A62" s="36" t="s">
        <v>263</v>
      </c>
      <c r="B62" s="19" t="s">
        <v>775</v>
      </c>
      <c r="C62" s="13" t="s">
        <v>776</v>
      </c>
      <c r="D62" s="13" t="s">
        <v>777</v>
      </c>
      <c r="E62" s="13" t="str">
        <f>"0,5765"</f>
        <v>0,5765</v>
      </c>
      <c r="F62" s="13" t="s">
        <v>112</v>
      </c>
      <c r="G62" s="24" t="s">
        <v>141</v>
      </c>
      <c r="H62" s="24" t="s">
        <v>181</v>
      </c>
      <c r="I62" s="24" t="s">
        <v>163</v>
      </c>
      <c r="J62" s="16"/>
      <c r="K62" s="16" t="str">
        <f>"215,0"</f>
        <v>215,0</v>
      </c>
      <c r="L62" s="16" t="str">
        <f>"123,9475"</f>
        <v>123,9475</v>
      </c>
      <c r="M62" s="13" t="s">
        <v>778</v>
      </c>
    </row>
    <row r="63" spans="1:13">
      <c r="A63" s="37" t="s">
        <v>598</v>
      </c>
      <c r="B63" s="20" t="s">
        <v>779</v>
      </c>
      <c r="C63" s="14" t="s">
        <v>780</v>
      </c>
      <c r="D63" s="14" t="s">
        <v>781</v>
      </c>
      <c r="E63" s="14" t="str">
        <f>"0,5795"</f>
        <v>0,5795</v>
      </c>
      <c r="F63" s="14" t="s">
        <v>691</v>
      </c>
      <c r="G63" s="22" t="s">
        <v>144</v>
      </c>
      <c r="H63" s="22" t="s">
        <v>65</v>
      </c>
      <c r="I63" s="26" t="s">
        <v>163</v>
      </c>
      <c r="J63" s="17"/>
      <c r="K63" s="17" t="str">
        <f>"207,5"</f>
        <v>207,5</v>
      </c>
      <c r="L63" s="17" t="str">
        <f>"120,2463"</f>
        <v>120,2463</v>
      </c>
      <c r="M63" s="14" t="s">
        <v>782</v>
      </c>
    </row>
    <row r="64" spans="1:13">
      <c r="B64" s="6" t="s">
        <v>40</v>
      </c>
    </row>
    <row r="65" spans="1:13" ht="16">
      <c r="A65" s="86" t="s">
        <v>244</v>
      </c>
      <c r="B65" s="86"/>
      <c r="C65" s="86"/>
      <c r="D65" s="86"/>
      <c r="E65" s="86"/>
      <c r="F65" s="86"/>
      <c r="G65" s="86"/>
      <c r="H65" s="86"/>
      <c r="I65" s="86"/>
      <c r="J65" s="86"/>
    </row>
    <row r="66" spans="1:13">
      <c r="A66" s="38" t="s">
        <v>39</v>
      </c>
      <c r="B66" s="11" t="s">
        <v>783</v>
      </c>
      <c r="C66" s="4" t="s">
        <v>104</v>
      </c>
      <c r="D66" s="4" t="s">
        <v>784</v>
      </c>
      <c r="E66" s="4" t="str">
        <f>"0,5614"</f>
        <v>0,5614</v>
      </c>
      <c r="F66" s="4" t="s">
        <v>785</v>
      </c>
      <c r="G66" s="9" t="s">
        <v>158</v>
      </c>
      <c r="H66" s="9" t="s">
        <v>150</v>
      </c>
      <c r="I66" s="10" t="s">
        <v>786</v>
      </c>
      <c r="J66" s="8"/>
      <c r="K66" s="8" t="str">
        <f>"275,0"</f>
        <v>275,0</v>
      </c>
      <c r="L66" s="8" t="str">
        <f>"154,3850"</f>
        <v>154,3850</v>
      </c>
      <c r="M66" s="4" t="s">
        <v>243</v>
      </c>
    </row>
    <row r="67" spans="1:13">
      <c r="B67" s="6" t="s">
        <v>40</v>
      </c>
    </row>
    <row r="68" spans="1:13" ht="16">
      <c r="A68" s="86" t="s">
        <v>649</v>
      </c>
      <c r="B68" s="86"/>
      <c r="C68" s="86"/>
      <c r="D68" s="86"/>
      <c r="E68" s="86"/>
      <c r="F68" s="86"/>
      <c r="G68" s="86"/>
      <c r="H68" s="86"/>
      <c r="I68" s="86"/>
      <c r="J68" s="86"/>
    </row>
    <row r="69" spans="1:13">
      <c r="A69" s="35" t="s">
        <v>39</v>
      </c>
      <c r="B69" s="18" t="s">
        <v>650</v>
      </c>
      <c r="C69" s="12" t="s">
        <v>651</v>
      </c>
      <c r="D69" s="12" t="s">
        <v>652</v>
      </c>
      <c r="E69" s="12" t="str">
        <f>"0,5580"</f>
        <v>0,5580</v>
      </c>
      <c r="F69" s="12" t="s">
        <v>566</v>
      </c>
      <c r="G69" s="21" t="s">
        <v>141</v>
      </c>
      <c r="H69" s="21" t="s">
        <v>163</v>
      </c>
      <c r="I69" s="23" t="s">
        <v>145</v>
      </c>
      <c r="J69" s="15"/>
      <c r="K69" s="15" t="str">
        <f>"215,0"</f>
        <v>215,0</v>
      </c>
      <c r="L69" s="15" t="str">
        <f>"119,9700"</f>
        <v>119,9700</v>
      </c>
      <c r="M69" s="12" t="s">
        <v>1188</v>
      </c>
    </row>
    <row r="70" spans="1:13">
      <c r="A70" s="37" t="s">
        <v>39</v>
      </c>
      <c r="B70" s="20" t="s">
        <v>650</v>
      </c>
      <c r="C70" s="14" t="s">
        <v>654</v>
      </c>
      <c r="D70" s="14" t="s">
        <v>652</v>
      </c>
      <c r="E70" s="14" t="str">
        <f>"0,5580"</f>
        <v>0,5580</v>
      </c>
      <c r="F70" s="14" t="s">
        <v>566</v>
      </c>
      <c r="G70" s="22" t="s">
        <v>141</v>
      </c>
      <c r="H70" s="22" t="s">
        <v>163</v>
      </c>
      <c r="I70" s="26" t="s">
        <v>145</v>
      </c>
      <c r="J70" s="17"/>
      <c r="K70" s="17" t="str">
        <f>"215,0"</f>
        <v>215,0</v>
      </c>
      <c r="L70" s="17" t="str">
        <f>"158,6003"</f>
        <v>158,6003</v>
      </c>
      <c r="M70" s="14" t="s">
        <v>1188</v>
      </c>
    </row>
    <row r="71" spans="1:13">
      <c r="B71" s="6" t="s">
        <v>40</v>
      </c>
    </row>
    <row r="74" spans="1:13" ht="18">
      <c r="B74" s="33" t="s">
        <v>27</v>
      </c>
      <c r="C74" s="33"/>
    </row>
    <row r="75" spans="1:13" ht="16">
      <c r="B75" s="28" t="s">
        <v>28</v>
      </c>
      <c r="C75" s="28"/>
    </row>
    <row r="76" spans="1:13" ht="14">
      <c r="B76" s="34"/>
      <c r="C76" s="34" t="s">
        <v>29</v>
      </c>
    </row>
    <row r="77" spans="1:13" ht="14">
      <c r="B77" s="5" t="s">
        <v>30</v>
      </c>
      <c r="C77" s="5" t="s">
        <v>31</v>
      </c>
      <c r="D77" s="5" t="s">
        <v>1189</v>
      </c>
      <c r="E77" s="5" t="s">
        <v>38</v>
      </c>
      <c r="F77" s="5" t="s">
        <v>253</v>
      </c>
    </row>
    <row r="78" spans="1:13">
      <c r="B78" s="3" t="s">
        <v>705</v>
      </c>
      <c r="C78" s="6" t="s">
        <v>29</v>
      </c>
      <c r="D78" s="7" t="s">
        <v>64</v>
      </c>
      <c r="E78" s="7" t="s">
        <v>135</v>
      </c>
      <c r="F78" s="7" t="s">
        <v>787</v>
      </c>
    </row>
    <row r="79" spans="1:13">
      <c r="B79" s="3" t="s">
        <v>689</v>
      </c>
      <c r="C79" s="6" t="s">
        <v>29</v>
      </c>
      <c r="D79" s="7" t="s">
        <v>33</v>
      </c>
      <c r="E79" s="7" t="s">
        <v>316</v>
      </c>
      <c r="F79" s="7" t="s">
        <v>788</v>
      </c>
    </row>
    <row r="80" spans="1:13">
      <c r="B80" s="3" t="s">
        <v>768</v>
      </c>
      <c r="C80" s="6" t="s">
        <v>29</v>
      </c>
      <c r="D80" s="7" t="s">
        <v>120</v>
      </c>
      <c r="E80" s="7" t="s">
        <v>135</v>
      </c>
      <c r="F80" s="7" t="s">
        <v>789</v>
      </c>
    </row>
    <row r="81" spans="2:2">
      <c r="B81" s="6" t="s">
        <v>40</v>
      </c>
    </row>
  </sheetData>
  <mergeCells count="23">
    <mergeCell ref="A5:J5"/>
    <mergeCell ref="B3:B4"/>
    <mergeCell ref="A68:J68"/>
    <mergeCell ref="A8:J8"/>
    <mergeCell ref="A11:J11"/>
    <mergeCell ref="A14:J14"/>
    <mergeCell ref="A18:J18"/>
    <mergeCell ref="A22:J22"/>
    <mergeCell ref="A30:J30"/>
    <mergeCell ref="A42:J42"/>
    <mergeCell ref="A50:J50"/>
    <mergeCell ref="A57:J57"/>
    <mergeCell ref="A65:J65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20.5" style="6" customWidth="1"/>
    <col min="3" max="3" width="26.33203125" style="3" bestFit="1" customWidth="1"/>
    <col min="4" max="4" width="21.5" style="3" bestFit="1" customWidth="1"/>
    <col min="5" max="5" width="10.5" style="3" bestFit="1" customWidth="1"/>
    <col min="6" max="6" width="15.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27" style="3" customWidth="1"/>
    <col min="14" max="16384" width="9.1640625" style="3"/>
  </cols>
  <sheetData>
    <row r="1" spans="1:13" s="2" customFormat="1" ht="29" customHeight="1">
      <c r="A1" s="74" t="s">
        <v>1198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8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8" t="s">
        <v>39</v>
      </c>
      <c r="B6" s="11" t="s">
        <v>987</v>
      </c>
      <c r="C6" s="4" t="s">
        <v>988</v>
      </c>
      <c r="D6" s="4" t="s">
        <v>989</v>
      </c>
      <c r="E6" s="4" t="str">
        <f>"0,9563"</f>
        <v>0,9563</v>
      </c>
      <c r="F6" s="4" t="s">
        <v>43</v>
      </c>
      <c r="G6" s="9" t="s">
        <v>277</v>
      </c>
      <c r="H6" s="9" t="s">
        <v>278</v>
      </c>
      <c r="I6" s="9" t="s">
        <v>179</v>
      </c>
      <c r="J6" s="8"/>
      <c r="K6" s="8" t="str">
        <f>"120,0"</f>
        <v>120,0</v>
      </c>
      <c r="L6" s="8" t="str">
        <f>"114,7560"</f>
        <v>114,7560</v>
      </c>
      <c r="M6" s="4" t="s">
        <v>990</v>
      </c>
    </row>
    <row r="7" spans="1:13">
      <c r="B7" s="6" t="s">
        <v>40</v>
      </c>
    </row>
    <row r="8" spans="1:13">
      <c r="B8" s="6" t="s">
        <v>40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2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8.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15.5" style="3" bestFit="1" customWidth="1"/>
    <col min="7" max="9" width="5.5" style="2" customWidth="1"/>
    <col min="10" max="10" width="4.83203125" style="2" customWidth="1"/>
    <col min="11" max="11" width="10.5" style="2" bestFit="1" customWidth="1"/>
    <col min="12" max="12" width="8.5" style="2" bestFit="1" customWidth="1"/>
    <col min="13" max="13" width="15.5" style="3" bestFit="1" customWidth="1"/>
    <col min="14" max="16384" width="9.1640625" style="3"/>
  </cols>
  <sheetData>
    <row r="1" spans="1:13" s="2" customFormat="1" ht="29" customHeight="1">
      <c r="A1" s="74" t="s">
        <v>1199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121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20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5" t="s">
        <v>39</v>
      </c>
      <c r="B6" s="18" t="s">
        <v>979</v>
      </c>
      <c r="C6" s="12" t="s">
        <v>980</v>
      </c>
      <c r="D6" s="12" t="s">
        <v>306</v>
      </c>
      <c r="E6" s="12" t="str">
        <f>"0,6086"</f>
        <v>0,6086</v>
      </c>
      <c r="F6" s="12" t="s">
        <v>43</v>
      </c>
      <c r="G6" s="23" t="s">
        <v>132</v>
      </c>
      <c r="H6" s="21" t="s">
        <v>141</v>
      </c>
      <c r="I6" s="21" t="s">
        <v>321</v>
      </c>
      <c r="J6" s="15"/>
      <c r="K6" s="15" t="str">
        <f>"217,5"</f>
        <v>217,5</v>
      </c>
      <c r="L6" s="15" t="str">
        <f>"132,3705"</f>
        <v>132,3705</v>
      </c>
      <c r="M6" s="12" t="s">
        <v>1188</v>
      </c>
    </row>
    <row r="7" spans="1:13">
      <c r="A7" s="37" t="s">
        <v>39</v>
      </c>
      <c r="B7" s="20" t="s">
        <v>981</v>
      </c>
      <c r="C7" s="14" t="s">
        <v>982</v>
      </c>
      <c r="D7" s="14" t="s">
        <v>983</v>
      </c>
      <c r="E7" s="14" t="str">
        <f>"0,6111"</f>
        <v>0,6111</v>
      </c>
      <c r="F7" s="14" t="s">
        <v>457</v>
      </c>
      <c r="G7" s="22" t="s">
        <v>196</v>
      </c>
      <c r="H7" s="22" t="s">
        <v>150</v>
      </c>
      <c r="I7" s="22" t="s">
        <v>574</v>
      </c>
      <c r="J7" s="17"/>
      <c r="K7" s="17" t="str">
        <f>"292,5"</f>
        <v>292,5</v>
      </c>
      <c r="L7" s="17" t="str">
        <f>"195,9064"</f>
        <v>195,9064</v>
      </c>
      <c r="M7" s="14" t="s">
        <v>252</v>
      </c>
    </row>
    <row r="8" spans="1:13">
      <c r="B8" s="6" t="s">
        <v>40</v>
      </c>
    </row>
    <row r="9" spans="1:13" ht="16">
      <c r="A9" s="86" t="s">
        <v>82</v>
      </c>
      <c r="B9" s="86"/>
      <c r="C9" s="86"/>
      <c r="D9" s="86"/>
      <c r="E9" s="86"/>
      <c r="F9" s="86"/>
      <c r="G9" s="86"/>
      <c r="H9" s="86"/>
      <c r="I9" s="86"/>
      <c r="J9" s="86"/>
    </row>
    <row r="10" spans="1:13">
      <c r="A10" s="38" t="s">
        <v>39</v>
      </c>
      <c r="B10" s="11" t="s">
        <v>984</v>
      </c>
      <c r="C10" s="4" t="s">
        <v>985</v>
      </c>
      <c r="D10" s="4" t="s">
        <v>986</v>
      </c>
      <c r="E10" s="4" t="str">
        <f>"0,5932"</f>
        <v>0,5932</v>
      </c>
      <c r="F10" s="4" t="s">
        <v>712</v>
      </c>
      <c r="G10" s="9" t="s">
        <v>164</v>
      </c>
      <c r="H10" s="9" t="s">
        <v>133</v>
      </c>
      <c r="I10" s="10" t="s">
        <v>172</v>
      </c>
      <c r="J10" s="8"/>
      <c r="K10" s="8" t="str">
        <f>"240,0"</f>
        <v>240,0</v>
      </c>
      <c r="L10" s="8" t="str">
        <f>"142,3680"</f>
        <v>142,3680</v>
      </c>
      <c r="M10" s="4" t="s">
        <v>1188</v>
      </c>
    </row>
    <row r="11" spans="1:13">
      <c r="B11" s="6" t="s">
        <v>40</v>
      </c>
    </row>
    <row r="12" spans="1:13">
      <c r="B12" s="6" t="s">
        <v>40</v>
      </c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7" bestFit="1" customWidth="1"/>
    <col min="2" max="2" width="17.5" style="6" bestFit="1" customWidth="1"/>
    <col min="3" max="3" width="27.5" style="3" bestFit="1" customWidth="1"/>
    <col min="4" max="4" width="21.5" style="3" bestFit="1" customWidth="1"/>
    <col min="5" max="5" width="10.5" style="3" bestFit="1" customWidth="1"/>
    <col min="6" max="6" width="15.5" style="3" bestFit="1" customWidth="1"/>
    <col min="7" max="10" width="5.5" style="2" customWidth="1"/>
    <col min="11" max="11" width="10.5" style="2" bestFit="1" customWidth="1"/>
    <col min="12" max="12" width="8.5" style="2" bestFit="1" customWidth="1"/>
    <col min="13" max="13" width="19.83203125" style="3" customWidth="1"/>
    <col min="14" max="16384" width="9.1640625" style="3"/>
  </cols>
  <sheetData>
    <row r="1" spans="1:13" s="2" customFormat="1" ht="29" customHeight="1">
      <c r="A1" s="74" t="s">
        <v>1200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s="2" customFormat="1" ht="62" customHeight="1" thickBot="1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s="1" customFormat="1" ht="12.75" customHeight="1">
      <c r="A3" s="81" t="s">
        <v>41</v>
      </c>
      <c r="B3" s="85" t="s">
        <v>0</v>
      </c>
      <c r="C3" s="83" t="s">
        <v>5</v>
      </c>
      <c r="D3" s="83" t="s">
        <v>6</v>
      </c>
      <c r="E3" s="85" t="s">
        <v>66</v>
      </c>
      <c r="F3" s="85" t="s">
        <v>7</v>
      </c>
      <c r="G3" s="85" t="s">
        <v>123</v>
      </c>
      <c r="H3" s="85"/>
      <c r="I3" s="85"/>
      <c r="J3" s="85"/>
      <c r="K3" s="85" t="s">
        <v>38</v>
      </c>
      <c r="L3" s="85" t="s">
        <v>3</v>
      </c>
      <c r="M3" s="89" t="s">
        <v>2</v>
      </c>
    </row>
    <row r="4" spans="1:13" s="1" customFormat="1" ht="21" customHeight="1" thickBot="1">
      <c r="A4" s="82"/>
      <c r="B4" s="92"/>
      <c r="C4" s="84"/>
      <c r="D4" s="84"/>
      <c r="E4" s="84"/>
      <c r="F4" s="84"/>
      <c r="G4" s="27">
        <v>1</v>
      </c>
      <c r="H4" s="27">
        <v>2</v>
      </c>
      <c r="I4" s="27">
        <v>3</v>
      </c>
      <c r="J4" s="27" t="s">
        <v>4</v>
      </c>
      <c r="K4" s="84"/>
      <c r="L4" s="84"/>
      <c r="M4" s="90"/>
    </row>
    <row r="5" spans="1:13" ht="16">
      <c r="A5" s="86" t="s">
        <v>82</v>
      </c>
      <c r="B5" s="86"/>
      <c r="C5" s="91"/>
      <c r="D5" s="91"/>
      <c r="E5" s="91"/>
      <c r="F5" s="91"/>
      <c r="G5" s="91"/>
      <c r="H5" s="91"/>
      <c r="I5" s="91"/>
      <c r="J5" s="91"/>
    </row>
    <row r="6" spans="1:13">
      <c r="A6" s="35" t="s">
        <v>39</v>
      </c>
      <c r="B6" s="18" t="s">
        <v>976</v>
      </c>
      <c r="C6" s="12" t="s">
        <v>977</v>
      </c>
      <c r="D6" s="12" t="s">
        <v>978</v>
      </c>
      <c r="E6" s="12" t="str">
        <f>"0,5716"</f>
        <v>0,5716</v>
      </c>
      <c r="F6" s="12" t="s">
        <v>43</v>
      </c>
      <c r="G6" s="23" t="s">
        <v>353</v>
      </c>
      <c r="H6" s="21" t="s">
        <v>353</v>
      </c>
      <c r="I6" s="21" t="s">
        <v>152</v>
      </c>
      <c r="J6" s="15"/>
      <c r="K6" s="15" t="str">
        <f>"170,0"</f>
        <v>170,0</v>
      </c>
      <c r="L6" s="15" t="str">
        <f>"97,1720"</f>
        <v>97,1720</v>
      </c>
      <c r="M6" s="12" t="s">
        <v>1188</v>
      </c>
    </row>
    <row r="7" spans="1:13">
      <c r="A7" s="37" t="s">
        <v>39</v>
      </c>
      <c r="B7" s="20" t="s">
        <v>642</v>
      </c>
      <c r="C7" s="14" t="s">
        <v>643</v>
      </c>
      <c r="D7" s="14" t="s">
        <v>644</v>
      </c>
      <c r="E7" s="14" t="str">
        <f>"0,5632"</f>
        <v>0,5632</v>
      </c>
      <c r="F7" s="14" t="s">
        <v>43</v>
      </c>
      <c r="G7" s="22" t="s">
        <v>152</v>
      </c>
      <c r="H7" s="26" t="s">
        <v>131</v>
      </c>
      <c r="I7" s="22" t="s">
        <v>131</v>
      </c>
      <c r="J7" s="26" t="s">
        <v>132</v>
      </c>
      <c r="K7" s="17" t="str">
        <f>"180,0"</f>
        <v>180,0</v>
      </c>
      <c r="L7" s="17" t="str">
        <f>"130,8764"</f>
        <v>130,8764</v>
      </c>
      <c r="M7" s="14" t="s">
        <v>1188</v>
      </c>
    </row>
    <row r="8" spans="1:13">
      <c r="B8" s="6" t="s">
        <v>40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Жим лежа без экип ДК</vt:lpstr>
      <vt:lpstr>WRPF Жим лежа без экип</vt:lpstr>
      <vt:lpstr>WEPF Жим однослой ДК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WEPF Тяга экип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2020-08-11T19:06:37Z</dcterms:modified>
</cp:coreProperties>
</file>